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bre\Desktop\Grad School\Thesis\"/>
    </mc:Choice>
  </mc:AlternateContent>
  <xr:revisionPtr revIDLastSave="0" documentId="13_ncr:1_{645EB160-3D8C-4975-A05F-A42211578E43}" xr6:coauthVersionLast="47" xr6:coauthVersionMax="47" xr10:uidLastSave="{00000000-0000-0000-0000-000000000000}"/>
  <bookViews>
    <workbookView xWindow="-108" yWindow="-108" windowWidth="23256" windowHeight="12576" tabRatio="531" activeTab="2" xr2:uid="{FDFB7A04-1E59-463E-957E-F76328D2600B}"/>
  </bookViews>
  <sheets>
    <sheet name="Stream" sheetId="11" r:id="rId1"/>
    <sheet name="Online" sheetId="7" r:id="rId2"/>
    <sheet name="Measurements_N" sheetId="3" r:id="rId3"/>
    <sheet name="Measurements_A" sheetId="4" r:id="rId4"/>
    <sheet name="progomphus" sheetId="1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2" i="3" l="1"/>
  <c r="N59" i="11"/>
  <c r="N58" i="11"/>
  <c r="O59" i="11"/>
  <c r="O58" i="11"/>
  <c r="O57" i="11"/>
  <c r="O56" i="11"/>
  <c r="O52" i="11"/>
  <c r="N34" i="11"/>
  <c r="N33" i="11"/>
  <c r="O37" i="11"/>
  <c r="O36" i="11"/>
  <c r="O35" i="11"/>
  <c r="O34" i="11"/>
  <c r="O33" i="11"/>
  <c r="O32" i="11"/>
  <c r="O31" i="11"/>
  <c r="O30" i="11"/>
  <c r="O29" i="11"/>
  <c r="O28" i="11"/>
  <c r="O26" i="11"/>
  <c r="O25" i="11"/>
  <c r="O24" i="11"/>
  <c r="N31" i="11"/>
  <c r="O23" i="11"/>
  <c r="O22" i="11"/>
  <c r="O21" i="11"/>
  <c r="O20" i="11"/>
  <c r="O19" i="11"/>
  <c r="O18" i="11"/>
  <c r="O14" i="11"/>
  <c r="O12" i="11"/>
  <c r="O11" i="11"/>
  <c r="O10" i="11"/>
  <c r="O9" i="11"/>
  <c r="O7" i="11"/>
  <c r="O8" i="11"/>
  <c r="L56" i="3"/>
  <c r="Q56" i="3" s="1"/>
  <c r="D56" i="3"/>
  <c r="D105" i="3"/>
  <c r="L105" i="3"/>
  <c r="Q105" i="3" s="1"/>
  <c r="D106" i="3"/>
  <c r="L106" i="3"/>
  <c r="Q106" i="3" s="1"/>
  <c r="D107" i="3"/>
  <c r="L107" i="3"/>
  <c r="Q107" i="3" s="1"/>
  <c r="D108" i="3"/>
  <c r="L108" i="3"/>
  <c r="Q108" i="3" s="1"/>
  <c r="D109" i="3"/>
  <c r="L109" i="3"/>
  <c r="Q109" i="3" s="1"/>
  <c r="D110" i="3"/>
  <c r="L110" i="3"/>
  <c r="Q110" i="3" s="1"/>
  <c r="D111" i="3"/>
  <c r="L111" i="3"/>
  <c r="Q111" i="3" s="1"/>
  <c r="D112" i="3"/>
  <c r="L112" i="3"/>
  <c r="Q112" i="3" s="1"/>
  <c r="D113" i="3"/>
  <c r="L113" i="3"/>
  <c r="Q113" i="3" s="1"/>
  <c r="D114" i="3"/>
  <c r="L114" i="3"/>
  <c r="Q114" i="3" s="1"/>
  <c r="D115" i="3"/>
  <c r="L115" i="3"/>
  <c r="Q115" i="3" s="1"/>
  <c r="D116" i="3"/>
  <c r="L116" i="3"/>
  <c r="Q116" i="3" s="1"/>
  <c r="D117" i="3"/>
  <c r="L117" i="3"/>
  <c r="Q117" i="3" s="1"/>
  <c r="D118" i="3"/>
  <c r="L118" i="3"/>
  <c r="Q118" i="3" s="1"/>
  <c r="D119" i="3"/>
  <c r="L119" i="3"/>
  <c r="Q119" i="3" s="1"/>
  <c r="D120" i="3"/>
  <c r="L120" i="3"/>
  <c r="Q120" i="3" s="1"/>
  <c r="D121" i="3"/>
  <c r="L121" i="3"/>
  <c r="Q121" i="3" s="1"/>
  <c r="D122" i="3"/>
  <c r="L122" i="3"/>
  <c r="D123" i="3"/>
  <c r="L123" i="3"/>
  <c r="Q123" i="3" s="1"/>
  <c r="D124" i="3"/>
  <c r="L124" i="3"/>
  <c r="Q124" i="3" s="1"/>
  <c r="D125" i="3"/>
  <c r="L125" i="3"/>
  <c r="Q125" i="3" s="1"/>
  <c r="L34" i="3"/>
  <c r="Q34" i="3" s="1"/>
  <c r="L31" i="3"/>
  <c r="Q31" i="3" s="1"/>
  <c r="M50" i="3"/>
  <c r="J150" i="4"/>
  <c r="J149" i="4"/>
  <c r="L39" i="3"/>
  <c r="Q39" i="3" s="1"/>
  <c r="D39" i="3"/>
  <c r="O38" i="3"/>
  <c r="N38" i="3"/>
  <c r="M38" i="3"/>
  <c r="K38" i="3"/>
  <c r="J38" i="3"/>
  <c r="O59" i="3"/>
  <c r="N59" i="3"/>
  <c r="M59" i="3"/>
  <c r="K59" i="3"/>
  <c r="J59" i="3"/>
  <c r="D59" i="3"/>
  <c r="D55" i="3"/>
  <c r="O66" i="3"/>
  <c r="N66" i="3"/>
  <c r="M66" i="3"/>
  <c r="K66" i="3"/>
  <c r="J66" i="3"/>
  <c r="N68" i="3"/>
  <c r="O68" i="3"/>
  <c r="M68" i="3"/>
  <c r="D66" i="3"/>
  <c r="D68" i="3"/>
  <c r="M19" i="3"/>
  <c r="D19" i="3"/>
  <c r="L19" i="3" l="1"/>
  <c r="Q19" i="3" s="1"/>
  <c r="L66" i="3"/>
  <c r="Q66" i="3" s="1"/>
  <c r="L24" i="3"/>
  <c r="Q24" i="3" s="1"/>
  <c r="L21" i="3"/>
  <c r="Q21" i="3" s="1"/>
  <c r="D24" i="3"/>
  <c r="O90" i="3"/>
  <c r="N90" i="3"/>
  <c r="M90" i="3"/>
  <c r="K90" i="3"/>
  <c r="J90" i="3"/>
  <c r="O84" i="3"/>
  <c r="N84" i="3"/>
  <c r="M84" i="3"/>
  <c r="K84" i="3"/>
  <c r="L84" i="3" s="1"/>
  <c r="Q84" i="3" s="1"/>
  <c r="J84" i="3"/>
  <c r="D90" i="3"/>
  <c r="O91" i="3"/>
  <c r="N91" i="3"/>
  <c r="M91" i="3"/>
  <c r="K91" i="3"/>
  <c r="J91" i="3"/>
  <c r="O9" i="3"/>
  <c r="N9" i="3"/>
  <c r="M9" i="3"/>
  <c r="K9" i="3"/>
  <c r="J9" i="3"/>
  <c r="O61" i="3"/>
  <c r="N61" i="3"/>
  <c r="M61" i="3"/>
  <c r="K61" i="3"/>
  <c r="J61" i="3"/>
  <c r="O65" i="3"/>
  <c r="N65" i="3"/>
  <c r="M65" i="3"/>
  <c r="K65" i="3"/>
  <c r="J65" i="3"/>
  <c r="O54" i="3"/>
  <c r="N54" i="3"/>
  <c r="M54" i="3"/>
  <c r="K54" i="3"/>
  <c r="J54" i="3"/>
  <c r="N29" i="3"/>
  <c r="O29" i="3"/>
  <c r="M29" i="3"/>
  <c r="K29" i="3"/>
  <c r="J29" i="3"/>
  <c r="D54" i="3"/>
  <c r="O51" i="3"/>
  <c r="N51" i="3"/>
  <c r="M51" i="3"/>
  <c r="K51" i="3"/>
  <c r="J51" i="3"/>
  <c r="D51" i="3"/>
  <c r="O71" i="3"/>
  <c r="N71" i="3"/>
  <c r="M71" i="3"/>
  <c r="K71" i="3"/>
  <c r="J71" i="3"/>
  <c r="D41" i="3"/>
  <c r="D43" i="3"/>
  <c r="D82" i="3"/>
  <c r="D89" i="3"/>
  <c r="O92" i="3"/>
  <c r="N92" i="3"/>
  <c r="N85" i="3"/>
  <c r="O85" i="3"/>
  <c r="M92" i="3"/>
  <c r="M85" i="3"/>
  <c r="K85" i="3"/>
  <c r="K92" i="3"/>
  <c r="J85" i="3"/>
  <c r="J92" i="3"/>
  <c r="O87" i="3"/>
  <c r="N87" i="3"/>
  <c r="K87" i="3"/>
  <c r="J87" i="3"/>
  <c r="M87" i="3"/>
  <c r="N86" i="3"/>
  <c r="O86" i="3"/>
  <c r="M86" i="3"/>
  <c r="K86" i="3"/>
  <c r="J86" i="3"/>
  <c r="N45" i="3"/>
  <c r="O45" i="3"/>
  <c r="M45" i="3"/>
  <c r="K45" i="3"/>
  <c r="J45" i="3"/>
  <c r="O44" i="3"/>
  <c r="N44" i="3" s="1"/>
  <c r="M44" i="3"/>
  <c r="K44" i="3"/>
  <c r="J44" i="3"/>
  <c r="D87" i="3"/>
  <c r="D86" i="3"/>
  <c r="D45" i="3"/>
  <c r="D95" i="3"/>
  <c r="L95" i="3"/>
  <c r="Q95" i="3" s="1"/>
  <c r="D40" i="3"/>
  <c r="L40" i="3"/>
  <c r="Q40" i="3" s="1"/>
  <c r="D44" i="3"/>
  <c r="D92" i="3"/>
  <c r="L92" i="3"/>
  <c r="Q92" i="3" s="1"/>
  <c r="D85" i="3"/>
  <c r="D17" i="3"/>
  <c r="L17" i="3"/>
  <c r="Q17" i="3" s="1"/>
  <c r="L89" i="3"/>
  <c r="Q89" i="3" s="1"/>
  <c r="L82" i="3"/>
  <c r="Q82" i="3" s="1"/>
  <c r="L43" i="3"/>
  <c r="Q43" i="3" s="1"/>
  <c r="L41" i="3"/>
  <c r="Q41" i="3" s="1"/>
  <c r="D71" i="3"/>
  <c r="D29" i="3"/>
  <c r="D9" i="3"/>
  <c r="D91" i="3"/>
  <c r="D84" i="3"/>
  <c r="L90" i="3"/>
  <c r="Q90" i="3" s="1"/>
  <c r="D60" i="3"/>
  <c r="L60" i="3"/>
  <c r="Q60" i="3" s="1"/>
  <c r="D37" i="3"/>
  <c r="L37" i="3"/>
  <c r="Q37" i="3" s="1"/>
  <c r="D75" i="3"/>
  <c r="L75" i="3"/>
  <c r="Q75" i="3" s="1"/>
  <c r="D42" i="3"/>
  <c r="L42" i="3"/>
  <c r="Q42" i="3" s="1"/>
  <c r="D80" i="3"/>
  <c r="L80" i="3"/>
  <c r="Q80" i="3" s="1"/>
  <c r="D49" i="3"/>
  <c r="L49" i="3"/>
  <c r="Q49" i="3" s="1"/>
  <c r="D74" i="3"/>
  <c r="L74" i="3"/>
  <c r="Q74" i="3" s="1"/>
  <c r="D83" i="3"/>
  <c r="L83" i="3"/>
  <c r="Q83" i="3" s="1"/>
  <c r="D88" i="3"/>
  <c r="L88" i="3"/>
  <c r="Q88" i="3" s="1"/>
  <c r="D21" i="3"/>
  <c r="L68" i="3"/>
  <c r="Q68" i="3" s="1"/>
  <c r="L55" i="3"/>
  <c r="Q55" i="3" s="1"/>
  <c r="L59" i="3"/>
  <c r="Q59" i="3" s="1"/>
  <c r="D38" i="3"/>
  <c r="L38" i="3"/>
  <c r="Q38" i="3" s="1"/>
  <c r="D50" i="3"/>
  <c r="L50" i="3"/>
  <c r="Q50" i="3" s="1"/>
  <c r="D76" i="3"/>
  <c r="L76" i="3"/>
  <c r="Q76" i="3" s="1"/>
  <c r="D77" i="3"/>
  <c r="L77" i="3"/>
  <c r="Q77" i="3" s="1"/>
  <c r="D72" i="3"/>
  <c r="L72" i="3"/>
  <c r="Q72" i="3" s="1"/>
  <c r="D73" i="3"/>
  <c r="L73" i="3"/>
  <c r="Q73" i="3" s="1"/>
  <c r="D81" i="3"/>
  <c r="L81" i="3"/>
  <c r="Q81" i="3" s="1"/>
  <c r="D78" i="3"/>
  <c r="L78" i="3"/>
  <c r="Q78" i="3" s="1"/>
  <c r="D64" i="3"/>
  <c r="L64" i="3"/>
  <c r="Q64" i="3" s="1"/>
  <c r="D6" i="3"/>
  <c r="L6" i="3"/>
  <c r="Q6" i="3" s="1"/>
  <c r="D31" i="3"/>
  <c r="D34" i="3"/>
  <c r="D33" i="3"/>
  <c r="L33" i="3"/>
  <c r="Q33" i="3" s="1"/>
  <c r="D36" i="3"/>
  <c r="L36" i="3"/>
  <c r="Q36" i="3" s="1"/>
  <c r="D35" i="3"/>
  <c r="L35" i="3"/>
  <c r="Q35" i="3" s="1"/>
  <c r="D32" i="3"/>
  <c r="L32" i="3"/>
  <c r="Q32" i="3" s="1"/>
  <c r="D52" i="3"/>
  <c r="L52" i="3"/>
  <c r="Q52" i="3" s="1"/>
  <c r="L67" i="3"/>
  <c r="Q67" i="3" s="1"/>
  <c r="D69" i="3"/>
  <c r="L69" i="3"/>
  <c r="Q69" i="3" s="1"/>
  <c r="D70" i="3"/>
  <c r="L70" i="3"/>
  <c r="Q70" i="3" s="1"/>
  <c r="D30" i="3"/>
  <c r="L30" i="3"/>
  <c r="Q30" i="3" s="1"/>
  <c r="D63" i="3"/>
  <c r="L63" i="3"/>
  <c r="Q63" i="3" s="1"/>
  <c r="D28" i="3"/>
  <c r="L28" i="3"/>
  <c r="Q28" i="3" s="1"/>
  <c r="D96" i="3"/>
  <c r="L96" i="3"/>
  <c r="Q96" i="3" s="1"/>
  <c r="D97" i="3"/>
  <c r="L97" i="3"/>
  <c r="Q97" i="3" s="1"/>
  <c r="D98" i="3"/>
  <c r="L98" i="3"/>
  <c r="Q98" i="3" s="1"/>
  <c r="D99" i="3"/>
  <c r="L99" i="3"/>
  <c r="Q99" i="3" s="1"/>
  <c r="D100" i="3"/>
  <c r="L100" i="3"/>
  <c r="Q100" i="3" s="1"/>
  <c r="D101" i="3"/>
  <c r="L101" i="3"/>
  <c r="Q101" i="3" s="1"/>
  <c r="D102" i="3"/>
  <c r="L102" i="3"/>
  <c r="Q102" i="3" s="1"/>
  <c r="D103" i="3"/>
  <c r="L103" i="3"/>
  <c r="Q103" i="3" s="1"/>
  <c r="D104" i="3"/>
  <c r="L104" i="3"/>
  <c r="Q104" i="3" s="1"/>
  <c r="D48" i="3"/>
  <c r="D62" i="3"/>
  <c r="D27" i="3"/>
  <c r="D58" i="3"/>
  <c r="D26" i="3"/>
  <c r="D57" i="3"/>
  <c r="D3" i="3"/>
  <c r="D2" i="3"/>
  <c r="D25" i="3"/>
  <c r="D5" i="3"/>
  <c r="D4" i="3"/>
  <c r="L5" i="3"/>
  <c r="Q5" i="3" s="1"/>
  <c r="L25" i="3"/>
  <c r="Q25" i="3" s="1"/>
  <c r="L2" i="3"/>
  <c r="Q2" i="3" s="1"/>
  <c r="L3" i="3"/>
  <c r="Q3" i="3" s="1"/>
  <c r="L57" i="3"/>
  <c r="Q57" i="3" s="1"/>
  <c r="L26" i="3"/>
  <c r="Q26" i="3" s="1"/>
  <c r="L58" i="3"/>
  <c r="Q58" i="3" s="1"/>
  <c r="L27" i="3"/>
  <c r="Q27" i="3" s="1"/>
  <c r="L62" i="3"/>
  <c r="Q62" i="3" s="1"/>
  <c r="L46" i="3"/>
  <c r="Q46" i="3" s="1"/>
  <c r="L48" i="3"/>
  <c r="Q48" i="3" s="1"/>
  <c r="L53" i="3"/>
  <c r="Q53" i="3" s="1"/>
  <c r="D46" i="3"/>
  <c r="D53" i="3"/>
  <c r="D93" i="3"/>
  <c r="D94" i="3"/>
  <c r="D7" i="3"/>
  <c r="D20" i="3"/>
  <c r="D14" i="3"/>
  <c r="D13" i="3"/>
  <c r="D23" i="3"/>
  <c r="D12" i="3"/>
  <c r="D22" i="3"/>
  <c r="D15" i="3"/>
  <c r="D10" i="3"/>
  <c r="D47" i="3"/>
  <c r="L18" i="3"/>
  <c r="Q18" i="3" s="1"/>
  <c r="L11" i="3"/>
  <c r="Q11" i="3" s="1"/>
  <c r="L16" i="3"/>
  <c r="Q16" i="3" s="1"/>
  <c r="L8" i="3"/>
  <c r="Q8" i="3" s="1"/>
  <c r="L47" i="3"/>
  <c r="Q47" i="3" s="1"/>
  <c r="L10" i="3"/>
  <c r="Q10" i="3" s="1"/>
  <c r="L15" i="3"/>
  <c r="Q15" i="3" s="1"/>
  <c r="L22" i="3"/>
  <c r="Q22" i="3" s="1"/>
  <c r="L12" i="3"/>
  <c r="Q12" i="3" s="1"/>
  <c r="L23" i="3"/>
  <c r="Q23" i="3" s="1"/>
  <c r="L13" i="3"/>
  <c r="Q13" i="3" s="1"/>
  <c r="L14" i="3"/>
  <c r="Q14" i="3" s="1"/>
  <c r="L20" i="3"/>
  <c r="Q20" i="3" s="1"/>
  <c r="L7" i="3"/>
  <c r="Q7" i="3" s="1"/>
  <c r="L94" i="3"/>
  <c r="Q94" i="3" s="1"/>
  <c r="L93" i="3"/>
  <c r="Q93" i="3" s="1"/>
  <c r="L4" i="3"/>
  <c r="Q4" i="3" s="1"/>
  <c r="L79" i="3"/>
  <c r="Q79" i="3" s="1"/>
  <c r="D18" i="3"/>
  <c r="D11" i="3"/>
  <c r="D16" i="3"/>
  <c r="D8" i="3"/>
  <c r="D79" i="3"/>
  <c r="L91" i="3" l="1"/>
  <c r="Q91" i="3" s="1"/>
  <c r="L44" i="3"/>
  <c r="Q44" i="3" s="1"/>
  <c r="L54" i="3"/>
  <c r="Q54" i="3" s="1"/>
  <c r="L45" i="3"/>
  <c r="Q45" i="3" s="1"/>
  <c r="L61" i="3"/>
  <c r="Q61" i="3" s="1"/>
  <c r="L85" i="3"/>
  <c r="Q85" i="3" s="1"/>
  <c r="L29" i="3"/>
  <c r="Q29" i="3" s="1"/>
  <c r="L51" i="3"/>
  <c r="Q51" i="3" s="1"/>
  <c r="L87" i="3"/>
  <c r="Q87" i="3" s="1"/>
  <c r="L65" i="3"/>
  <c r="Q65" i="3" s="1"/>
  <c r="L86" i="3"/>
  <c r="Q86" i="3" s="1"/>
  <c r="L71" i="3"/>
  <c r="Q71" i="3" s="1"/>
  <c r="L9" i="3"/>
  <c r="Q9" i="3" s="1"/>
</calcChain>
</file>

<file path=xl/sharedStrings.xml><?xml version="1.0" encoding="utf-8"?>
<sst xmlns="http://schemas.openxmlformats.org/spreadsheetml/2006/main" count="2436" uniqueCount="813">
  <si>
    <t>Notes</t>
  </si>
  <si>
    <t>Long</t>
  </si>
  <si>
    <t>Lat</t>
  </si>
  <si>
    <t xml:space="preserve">Date </t>
  </si>
  <si>
    <t>A-01</t>
  </si>
  <si>
    <t>Description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</si>
  <si>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</si>
  <si>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</si>
  <si>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</si>
  <si>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</si>
  <si>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</si>
  <si>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</si>
  <si>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</si>
  <si>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</si>
  <si>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</si>
  <si>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AL: Escambia Co.</t>
  </si>
  <si>
    <t>Mendenhall Creek; Co. road 53</t>
  </si>
  <si>
    <t>Sex</t>
  </si>
  <si>
    <t>male</t>
  </si>
  <si>
    <t>Blackwater Creek at Bradley</t>
  </si>
  <si>
    <t>female</t>
  </si>
  <si>
    <t>A-11</t>
  </si>
  <si>
    <t>G-01</t>
  </si>
  <si>
    <t>G-02</t>
  </si>
  <si>
    <t>G-03</t>
  </si>
  <si>
    <t>G-04</t>
  </si>
  <si>
    <t>GA: Taylor Co.</t>
  </si>
  <si>
    <t>Cedar Creek, Hwy 19, Rupert</t>
  </si>
  <si>
    <t>G-05</t>
  </si>
  <si>
    <t>G-06</t>
  </si>
  <si>
    <t>G-07</t>
  </si>
  <si>
    <t>G-08</t>
  </si>
  <si>
    <t>M-01</t>
  </si>
  <si>
    <t>M-02</t>
  </si>
  <si>
    <t>T-01</t>
  </si>
  <si>
    <t>Daddy's Creek at Road #70; nymph collected 4/15/1976</t>
  </si>
  <si>
    <t>F-01</t>
  </si>
  <si>
    <t>F-02</t>
  </si>
  <si>
    <t>F-03</t>
  </si>
  <si>
    <t>F-04</t>
  </si>
  <si>
    <t>F-05</t>
  </si>
  <si>
    <t>F-06</t>
  </si>
  <si>
    <t>F-07</t>
  </si>
  <si>
    <t>F-08</t>
  </si>
  <si>
    <t>FL: Walton Co.</t>
  </si>
  <si>
    <t>FL: Santa Rosa Co.</t>
  </si>
  <si>
    <t>FL: Escambia Co.</t>
  </si>
  <si>
    <t>Long Creek at Hwy 2</t>
  </si>
  <si>
    <t>Pond Creek ~4 mi North of Route  191 bridge</t>
  </si>
  <si>
    <t>Pensacola</t>
  </si>
  <si>
    <t>Pond Creek at S-191 NW of Milton</t>
  </si>
  <si>
    <t>no eclosion date</t>
  </si>
  <si>
    <t>n/a</t>
  </si>
  <si>
    <t>Holt Fish Hatchery Middle Creek; nymph collected 03/15/1973</t>
  </si>
  <si>
    <t>F-09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</si>
  <si>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</si>
  <si>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</si>
  <si>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</si>
  <si>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</si>
  <si>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</si>
  <si>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</si>
  <si>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</si>
  <si>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</si>
  <si>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</si>
  <si>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</si>
  <si>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</si>
  <si>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</si>
  <si>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</si>
  <si>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</si>
  <si>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FL: Calhoun Co.</t>
  </si>
  <si>
    <t>Juniper Creek at Hwy 20</t>
  </si>
  <si>
    <t>Juniper Creek at Hwy 20; near Clarksville</t>
  </si>
  <si>
    <t>FL: Gadsden Co.</t>
  </si>
  <si>
    <t>Crooked Creek; Hwy 12</t>
  </si>
  <si>
    <t>F-24</t>
  </si>
  <si>
    <t>F-25</t>
  </si>
  <si>
    <t>F-26</t>
  </si>
  <si>
    <t>F-27</t>
  </si>
  <si>
    <t>F-28</t>
  </si>
  <si>
    <t>F-29</t>
  </si>
  <si>
    <t>F-30</t>
  </si>
  <si>
    <t>F-31</t>
  </si>
  <si>
    <t>F-32</t>
  </si>
  <si>
    <t>F-33</t>
  </si>
  <si>
    <t>F-34</t>
  </si>
  <si>
    <t>F-35</t>
  </si>
  <si>
    <t>F-36</t>
  </si>
  <si>
    <t>F-37</t>
  </si>
  <si>
    <t>F-38</t>
  </si>
  <si>
    <t>FL: Liberty Co.</t>
  </si>
  <si>
    <t>Pond Cr. At S-191 NW of Milton</t>
  </si>
  <si>
    <t>Crooked Creek and Route 270</t>
  </si>
  <si>
    <t>Sweetwater Creek and Route 270</t>
  </si>
  <si>
    <t>Shingle Branch</t>
  </si>
  <si>
    <t>Juniper Creek at Route 20</t>
  </si>
  <si>
    <t>Riley Spring Branch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</si>
  <si>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</si>
  <si>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</si>
  <si>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</si>
  <si>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</si>
  <si>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</si>
  <si>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</si>
  <si>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</si>
  <si>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</si>
  <si>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</si>
  <si>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</si>
  <si>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</si>
  <si>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</si>
  <si>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</si>
  <si>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</si>
  <si>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</si>
  <si>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Juniper Creek at Hwy 20 West of Clarksville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</si>
  <si>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</si>
  <si>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</si>
  <si>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</si>
  <si>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</si>
  <si>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</si>
  <si>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</si>
  <si>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</si>
  <si>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</si>
  <si>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</si>
  <si>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</si>
  <si>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</si>
  <si>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</si>
  <si>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</si>
  <si>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</si>
  <si>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</si>
  <si>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</si>
  <si>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</si>
  <si>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</si>
  <si>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</si>
  <si>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F-73</t>
  </si>
  <si>
    <t>F-74</t>
  </si>
  <si>
    <t>F-75</t>
  </si>
  <si>
    <t>F-76</t>
  </si>
  <si>
    <t>F-77</t>
  </si>
  <si>
    <t>F-78</t>
  </si>
  <si>
    <t>F-79</t>
  </si>
  <si>
    <t>F-80</t>
  </si>
  <si>
    <t>F-81</t>
  </si>
  <si>
    <t>F-82</t>
  </si>
  <si>
    <t>F-83</t>
  </si>
  <si>
    <t>Pond Creek, Hwy 191</t>
  </si>
  <si>
    <t>Carr Lake</t>
  </si>
  <si>
    <t>FL: Washington Co.</t>
  </si>
  <si>
    <t>FL: Bay Co.</t>
  </si>
  <si>
    <t>Middle Creek: Blackwater River SF; (nymph collected 3/16/73)</t>
  </si>
  <si>
    <t>Creek near Riley's Landing; Blackwater River SF</t>
  </si>
  <si>
    <t>Pine Log Creek at metal bridge (Knight Property)</t>
  </si>
  <si>
    <t>Moccasin Creek Farm (small creek)</t>
  </si>
  <si>
    <t>Pine Log Creek NE of metal bridge (Knight Property)</t>
  </si>
  <si>
    <t>Buckhorn Creek at County Line (Rd crossing creek)</t>
  </si>
  <si>
    <t>Mill Branch (small) on Cat Creek Rd</t>
  </si>
  <si>
    <t>Torreya SP</t>
  </si>
  <si>
    <t>Mitchell Creek, Hwy 29</t>
  </si>
  <si>
    <t>F-84</t>
  </si>
  <si>
    <t>F-85</t>
  </si>
  <si>
    <t>F-86</t>
  </si>
  <si>
    <t>F-87</t>
  </si>
  <si>
    <t>F-89</t>
  </si>
  <si>
    <t>F-90</t>
  </si>
  <si>
    <t>F-91</t>
  </si>
  <si>
    <t>F-92</t>
  </si>
  <si>
    <t>F-93</t>
  </si>
  <si>
    <t>F-94</t>
  </si>
  <si>
    <t>F-95</t>
  </si>
  <si>
    <t>F-96</t>
  </si>
  <si>
    <t>F-97</t>
  </si>
  <si>
    <t>F-98</t>
  </si>
  <si>
    <t>F-99</t>
  </si>
  <si>
    <t>Riley Spring Branch NW of Holt</t>
  </si>
  <si>
    <t>Riley's Spring Branch near Holt Fish Hatchery</t>
  </si>
  <si>
    <t>F-100</t>
  </si>
  <si>
    <t>F-101</t>
  </si>
  <si>
    <t>F-102</t>
  </si>
  <si>
    <t>F-103</t>
  </si>
  <si>
    <t>F-104</t>
  </si>
  <si>
    <t>F-105</t>
  </si>
  <si>
    <t>F-106</t>
  </si>
  <si>
    <t>F-107</t>
  </si>
  <si>
    <t>F-108</t>
  </si>
  <si>
    <t>F-109</t>
  </si>
  <si>
    <t>F-110</t>
  </si>
  <si>
    <t>F-111</t>
  </si>
  <si>
    <t>F-112</t>
  </si>
  <si>
    <t>F-113</t>
  </si>
  <si>
    <t>F-114</t>
  </si>
  <si>
    <t>Middle Creek near Holt Fish Hatchery; (nymph collected 3-15-73)</t>
  </si>
  <si>
    <t>F-115</t>
  </si>
  <si>
    <t>F-116</t>
  </si>
  <si>
    <t>F-117</t>
  </si>
  <si>
    <t>F-118</t>
  </si>
  <si>
    <t>F-119</t>
  </si>
  <si>
    <t>F-120</t>
  </si>
  <si>
    <t>F-121</t>
  </si>
  <si>
    <t>F-122</t>
  </si>
  <si>
    <t>F-123</t>
  </si>
  <si>
    <t>F-124</t>
  </si>
  <si>
    <t>F-125</t>
  </si>
  <si>
    <t>F-126</t>
  </si>
  <si>
    <t>F-127</t>
  </si>
  <si>
    <t>F-128</t>
  </si>
  <si>
    <t>F-130</t>
  </si>
  <si>
    <t>Coon Camp Branch</t>
  </si>
  <si>
    <t>FL: Okaloosa Co.</t>
  </si>
  <si>
    <t>Mill Creek at Hwy 397 (Milligan)</t>
  </si>
  <si>
    <t>Sweetwater Creek and Route 270 near Bristol</t>
  </si>
  <si>
    <t>Crooked Creek; (no eclosion date; nymph collected 4/16/72)</t>
  </si>
  <si>
    <t>Crooked Creek at Hwy S-270</t>
  </si>
  <si>
    <t>F-131</t>
  </si>
  <si>
    <t>F-132</t>
  </si>
  <si>
    <t>F-133</t>
  </si>
  <si>
    <t>F-134</t>
  </si>
  <si>
    <t>Pond Creek at Route 182</t>
  </si>
  <si>
    <t>Conecuh NF: Barney Creek; 1 mile West of Hwy 11</t>
  </si>
  <si>
    <t>Conecuh NF: Blackwater Creek at Bradley</t>
  </si>
  <si>
    <t>De Soto NF: Bluff Creek at Bluff Creek Road</t>
  </si>
  <si>
    <t>MS: Stone Co.</t>
  </si>
  <si>
    <t>Blackwater River SF: Middle Creek</t>
  </si>
  <si>
    <t>Blackwater River SF: Lighter Knot Creek</t>
  </si>
  <si>
    <t>Eglin AFB: Point Lookout Cr. Hwy 221</t>
  </si>
  <si>
    <t>Blackwater River SF: 2nd Creek past Riley Bluff near Holt</t>
  </si>
  <si>
    <t>Eglin AFB: Blount Mill Creek</t>
  </si>
  <si>
    <t>Eglin AFB: Seeps; 5 miles NW of Portland</t>
  </si>
  <si>
    <t>Eglin AFB: Point Lookout Cr. At ERR 221</t>
  </si>
  <si>
    <t>Blackwater River SF: Creek near Riley's Landing</t>
  </si>
  <si>
    <t>FAMU Field Station: 2nd Creek at Blackwater River; Holt</t>
  </si>
  <si>
    <t>Eglin AFB: Blount Mill Creek, Road 208</t>
  </si>
  <si>
    <t>Blackwater River SF: Ates Creek bridge North entrance to Hatchery</t>
  </si>
  <si>
    <t>Blackwater River SF</t>
  </si>
  <si>
    <t>Conecuh NF: South of Parker Springs; 1 mile West of SR-11, Barney Creek</t>
  </si>
  <si>
    <t>N-01</t>
  </si>
  <si>
    <t>N-02</t>
  </si>
  <si>
    <t>N-03</t>
  </si>
  <si>
    <t>N-04</t>
  </si>
  <si>
    <t>N-05</t>
  </si>
  <si>
    <t>N-06</t>
  </si>
  <si>
    <t>N-07</t>
  </si>
  <si>
    <t>N-08</t>
  </si>
  <si>
    <t>N-09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</si>
  <si>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</si>
  <si>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</si>
  <si>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</si>
  <si>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</si>
  <si>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</si>
  <si>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</si>
  <si>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</si>
  <si>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</si>
  <si>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</si>
  <si>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Date</t>
  </si>
  <si>
    <t>County</t>
  </si>
  <si>
    <t>State</t>
  </si>
  <si>
    <t>Observation Info</t>
  </si>
  <si>
    <t>Comments</t>
  </si>
  <si>
    <t>Walton</t>
  </si>
  <si>
    <t>Florida</t>
  </si>
  <si>
    <t>John Abbott - OC#342670</t>
  </si>
  <si>
    <t>Eglin AFB; small stream</t>
  </si>
  <si>
    <t>Jim Johnson - OC#369959</t>
  </si>
  <si>
    <r>
      <t xml:space="preserve">Blount Mill Creek at Road 208; 6 mi. NNW of Portland; Eglin Air Force Base; </t>
    </r>
    <r>
      <rPr>
        <sz val="11"/>
        <color rgb="FFFF0000"/>
        <rFont val="Calibri"/>
        <family val="2"/>
        <scheme val="minor"/>
      </rPr>
      <t>GO HERE: (30.607455, -86.214593)</t>
    </r>
  </si>
  <si>
    <t>Jim Johnson - OC#369960</t>
  </si>
  <si>
    <t>Okaloosa</t>
  </si>
  <si>
    <t>John Abbott - OC#349074</t>
  </si>
  <si>
    <t>Eglin AFB; Bear Bay Branch</t>
  </si>
  <si>
    <t>Jim Johnson - OC#369964</t>
  </si>
  <si>
    <t>Bear Bay Branch at Road 381; Eglin Air Force Base</t>
  </si>
  <si>
    <t>Jim Johnson - OC#369966</t>
  </si>
  <si>
    <t>Little Rocky Creek at Old Hwy 285; just east of Hwy 285; Eglin Air Force Base</t>
  </si>
  <si>
    <t>Jim Johnson - OC#369967</t>
  </si>
  <si>
    <t>Taylor</t>
  </si>
  <si>
    <t>Georgia</t>
  </si>
  <si>
    <t>Twin Striped Clubtail (Hylogomphus geminatus) in May 2003 by Giff Beaton · iNaturalist</t>
  </si>
  <si>
    <t>Cedar Creek at US 19</t>
  </si>
  <si>
    <t>Twin Striped Clubtail (Hylogomphus geminatus) in April 2004 by Giff Beaton · iNaturalist</t>
  </si>
  <si>
    <t xml:space="preserve"> Little Rocky Creek, Eglin AFB (Probably here: 30.609771, -86.425094)</t>
  </si>
  <si>
    <t>Giff Beaton Unpublished</t>
  </si>
  <si>
    <t>Stone</t>
  </si>
  <si>
    <t>Mississippi</t>
  </si>
  <si>
    <t>Steve Krotzer - OC#380545</t>
  </si>
  <si>
    <t>Male emerging</t>
  </si>
  <si>
    <t>Steve Krotzer - OC#380546</t>
  </si>
  <si>
    <t>2 males</t>
  </si>
  <si>
    <t>Bay</t>
  </si>
  <si>
    <t>Edwin Keppner - OC#459439</t>
  </si>
  <si>
    <t>Freshwater creek in forest with sand bottom.  Private property.</t>
  </si>
  <si>
    <t>Santa Rosa</t>
  </si>
  <si>
    <t>Marion Dobbs - OC#1687515</t>
  </si>
  <si>
    <t>FL - Blackwater State Fish Hatchery; Fish hatching ponds, stream, large pond, forest</t>
  </si>
  <si>
    <t>Washington</t>
  </si>
  <si>
    <t>Edwin Keppner - OC#459438</t>
  </si>
  <si>
    <t>Small freshwater Creek, in forest with sand bottom, clear water. Private property.</t>
  </si>
  <si>
    <t>Escambia</t>
  </si>
  <si>
    <t>Greg Lasley - OC#398630</t>
  </si>
  <si>
    <t xml:space="preserve">Boggy Creek, La Florista Perdida Management Area; Collectors: G.W. Lasley and J.J. Daigle; private timber company property; not normally open to public. </t>
  </si>
  <si>
    <t>Greg Lasley - OC#398633</t>
  </si>
  <si>
    <t>Near Blackwater River, Rileys Bluff, near parking lot of recreation area.; Collectors: G.W. Lasley and J.J. Daigle; lone female</t>
  </si>
  <si>
    <t>Twin Striped Clubtail (Hylogomphus geminatus) in March 2014 by Rick Nirschl · iNaturalist</t>
  </si>
  <si>
    <t>user_5757 - OC#453620</t>
  </si>
  <si>
    <t>Blackwater River State Fish Hatchery and Ates Creek</t>
  </si>
  <si>
    <t>Talbot</t>
  </si>
  <si>
    <t>Odonata Central - 2016-05-30 at Chattahoochee Fall Lines WMA by Andrew Theus</t>
  </si>
  <si>
    <t>Chattahoochee Fall Line WMA</t>
  </si>
  <si>
    <t>Baldwin</t>
  </si>
  <si>
    <t>Alabama</t>
  </si>
  <si>
    <t>Karen Chiasson - OC#462319</t>
  </si>
  <si>
    <t>The eastern portion of the Middle Fish River watershed includes all or parts of Robertsdale, Summerdale and Silverhill,  The Perone is a small sandy bottomed creek which is fed from the Fish River and meanders through the forest.</t>
  </si>
  <si>
    <t>Troy Hibbitts - OC#1612537</t>
  </si>
  <si>
    <t>Big Juniper Creek at Munson Highway; shallow sandy stream through pine forest</t>
  </si>
  <si>
    <t>Troy Hibbitts - OC#1612538</t>
  </si>
  <si>
    <t>Sweetwater Creek at Sandy Forest Road; wide shallow sandy creek through pine forest (This is actually Big Juniper Creek - JSG 10/12)</t>
  </si>
  <si>
    <t>Troy Hibbitts - OC#1612539</t>
  </si>
  <si>
    <t>Big Juniper Creek at Bryant Bridge/Red Rock Road; wide, shallow, sandy clearwater stream through pine forest</t>
  </si>
  <si>
    <t>Twin Striped Clubtail (Hylogomphus geminatus) in March 2019 by Joshua Lincoln · iNaturalist</t>
  </si>
  <si>
    <t>Twin Striped Clubtail (Hylogomphus geminatus) in March 2019 by Richard Yank. · iNaturalist</t>
  </si>
  <si>
    <t>Riley Bluff, Blackwater River, Holt, Santa Rosa County, Florida</t>
  </si>
  <si>
    <t xml:space="preserve">Blackwater River Fish Hatchery, Blackwater River State Forest, Santa Rosa County, Holt, Florida </t>
  </si>
  <si>
    <t>Twin Striped Clubtail (Hylogomphus geminatus) in March 2019 by Mike Hannisian. · iNaturalist</t>
  </si>
  <si>
    <t xml:space="preserve">Eastern Santa Rosa County near Blackwater River </t>
  </si>
  <si>
    <t>Twin Striped Clubtail (Hylogomphus geminatus) in March 2019 by Steve Collins · iNaturalist</t>
  </si>
  <si>
    <t>Twin Striped Clubtail (Hylogomphus geminatus) in March 2019 by Justin Jones · iNaturalist</t>
  </si>
  <si>
    <t>Twin Striped Clubtail (Hylogomphus geminatus) in March 2019 by Laura Gaudette · iNaturalist</t>
  </si>
  <si>
    <t>"What I remember about this is that we hiked in from a forest service road to a trickle stream in a recently burned area. There was a very small wet area where I was surprised to find this dragonfly."</t>
  </si>
  <si>
    <t>Twin Striped Clubtail (Hylogomphus geminatus) in March 2019 by Judy Gallagher · iNaturalist</t>
  </si>
  <si>
    <t>Twin Striped Clubtail (Hylogomphus geminatus) in March 2019 by Bryan Pfeiffer · iNaturalist</t>
  </si>
  <si>
    <t>Calhoun</t>
  </si>
  <si>
    <t>Twin Striped Clubtail (Hylogomphus geminatus) in March 2019 by Steve Collins. Juniper Creek. · iNaturalist</t>
  </si>
  <si>
    <t>Unfortunately this area was completely trashed by the hurricane. All trees are down.</t>
  </si>
  <si>
    <t>Liberty</t>
  </si>
  <si>
    <t>Twin Striped Clubtail (Hylogomphus geminatus) in April 2021 by Daniel Folds · iNaturalist</t>
  </si>
  <si>
    <t>Early</t>
  </si>
  <si>
    <t>Twin Striped Clubtail (Hylogomphus geminatus) in April 2021 by Giff Beaton · iNaturalist</t>
  </si>
  <si>
    <t>Williams Bluffs TNC Preserve</t>
  </si>
  <si>
    <t>Steven Glynn - OC#1654606</t>
  </si>
  <si>
    <t>Blackwater River SF- Red Rock Rd @Big Juniper Creek Area; Blackwater River SF- Red Rock Rd @Big Juniper Creek Area</t>
  </si>
  <si>
    <t>05/02-11/??</t>
  </si>
  <si>
    <t>Southeast 2 (edlam.net)</t>
  </si>
  <si>
    <t>Sweetwater Creek near/part of Torreya SP (Ed Lam and Jerrell Daigle)</t>
  </si>
  <si>
    <t>April</t>
  </si>
  <si>
    <t>Gadsden</t>
  </si>
  <si>
    <t>Email correspondance with Jerrell Daigle</t>
  </si>
  <si>
    <t>Crooked Creek at CR. 270 near Sycamore, April.</t>
  </si>
  <si>
    <t>Flat Creek at CR. 269 and CR. 270A, April.  Off I-10 on way to Chattahoochee</t>
  </si>
  <si>
    <t>4/?/1982</t>
  </si>
  <si>
    <t>Yellow River at CR. 2, April 1982,1983</t>
  </si>
  <si>
    <t>Big Coldwater Creek at CR. 191, 1979</t>
  </si>
  <si>
    <t>Pine Log Creek, Hwy 20</t>
  </si>
  <si>
    <t>Ates Creek, W of Holt, off Bryant Bridge Rd</t>
  </si>
  <si>
    <t>Male</t>
  </si>
  <si>
    <t>Female</t>
  </si>
  <si>
    <t>Lighter Knot Cr., Blackwater River SF</t>
  </si>
  <si>
    <t>Long Creek, Eglin AFB</t>
  </si>
  <si>
    <t>N-19</t>
  </si>
  <si>
    <t>N-20</t>
  </si>
  <si>
    <t>N-21</t>
  </si>
  <si>
    <t>N-22</t>
  </si>
  <si>
    <t>N-23</t>
  </si>
  <si>
    <t>N-24</t>
  </si>
  <si>
    <t>N-25</t>
  </si>
  <si>
    <t>N-26</t>
  </si>
  <si>
    <t>N-27</t>
  </si>
  <si>
    <t>N-28</t>
  </si>
  <si>
    <t>N-29</t>
  </si>
  <si>
    <t>N-30</t>
  </si>
  <si>
    <t>Unknown</t>
  </si>
  <si>
    <t>Bear Creek, Hwy 267, W of Lake Talquin</t>
  </si>
  <si>
    <t>Instar</t>
  </si>
  <si>
    <t>Blackwater Fish Hatchery - Ates Creek</t>
  </si>
  <si>
    <t>(30.6713120, -86.6613954)</t>
  </si>
  <si>
    <t>(30.732738, -86.804002)</t>
  </si>
  <si>
    <t>(30.8751736, -89.0026008)</t>
  </si>
  <si>
    <t>sand w/ some grasses, gravel</t>
  </si>
  <si>
    <t>sand</t>
  </si>
  <si>
    <t>sand, tanic</t>
  </si>
  <si>
    <t>1 tiny individual found as well; deep pools and channelization; smoky rubyspot adults</t>
  </si>
  <si>
    <t>Downstream of bridge; tanic water, margins w/ lots of deposition + overhanging tree roots. H. apomyius found in overhanging roots and deposition</t>
  </si>
  <si>
    <t>Turkey Gobbler Creek - Eglin</t>
  </si>
  <si>
    <t>Springhead Creek - Twin Rivers SF</t>
  </si>
  <si>
    <t>(30.276585, -83.245662)</t>
  </si>
  <si>
    <t>sand, moss, roots, covered in organic matter</t>
  </si>
  <si>
    <t>sand = 100%
CPOM = 85%
Aquatic plants</t>
  </si>
  <si>
    <t>Long Creek - Eglin</t>
  </si>
  <si>
    <t>Little Rocky Creek 1 - Eglin</t>
  </si>
  <si>
    <t>Little Rocky Creek 2 - Eglin</t>
  </si>
  <si>
    <t>Liveoak Branch - Eglin</t>
  </si>
  <si>
    <t>Milligan Creek - Eglin</t>
  </si>
  <si>
    <t>(30.544605, -86.413710)</t>
  </si>
  <si>
    <t>(30.585356, -86.403834)</t>
  </si>
  <si>
    <t>(30.610006, -86.426220)</t>
  </si>
  <si>
    <t>(30.71942, -86.281391)</t>
  </si>
  <si>
    <t>(30.638510, -86.7749786)</t>
  </si>
  <si>
    <t>12</t>
  </si>
  <si>
    <t>sand w/ vegetation; grasses at edges</t>
  </si>
  <si>
    <t>sand, leaves on margins</t>
  </si>
  <si>
    <t>sand + gravel, POM/detritus on margins</t>
  </si>
  <si>
    <t>dolania</t>
  </si>
  <si>
    <t>nymphs in margins or detritus + creek grass</t>
  </si>
  <si>
    <t>Perone Branch</t>
  </si>
  <si>
    <t>N-31</t>
  </si>
  <si>
    <t>N-32</t>
  </si>
  <si>
    <t>N-33</t>
  </si>
  <si>
    <t>N-34</t>
  </si>
  <si>
    <t>N-35</t>
  </si>
  <si>
    <t>N-36</t>
  </si>
  <si>
    <t>N-37</t>
  </si>
  <si>
    <t>N-38</t>
  </si>
  <si>
    <t>N-39</t>
  </si>
  <si>
    <t>N-40</t>
  </si>
  <si>
    <t>N-41</t>
  </si>
  <si>
    <t>N-42</t>
  </si>
  <si>
    <t>N-43</t>
  </si>
  <si>
    <t>N-44</t>
  </si>
  <si>
    <t>N-45</t>
  </si>
  <si>
    <t>N-46</t>
  </si>
  <si>
    <t>N-47</t>
  </si>
  <si>
    <t>N-48</t>
  </si>
  <si>
    <t>N-49</t>
  </si>
  <si>
    <t>N-50</t>
  </si>
  <si>
    <t>N-51</t>
  </si>
  <si>
    <t>N-52</t>
  </si>
  <si>
    <t>N-53</t>
  </si>
  <si>
    <t>N-54</t>
  </si>
  <si>
    <t>N-55</t>
  </si>
  <si>
    <t>N-56</t>
  </si>
  <si>
    <t>N-57</t>
  </si>
  <si>
    <t>N-58</t>
  </si>
  <si>
    <t>N-59</t>
  </si>
  <si>
    <t>N-60</t>
  </si>
  <si>
    <t>N-61</t>
  </si>
  <si>
    <t>N-62</t>
  </si>
  <si>
    <t>N-63</t>
  </si>
  <si>
    <t>N-64</t>
  </si>
  <si>
    <t>N-65</t>
  </si>
  <si>
    <t>N-66</t>
  </si>
  <si>
    <t>N-67</t>
  </si>
  <si>
    <t>N-68</t>
  </si>
  <si>
    <t>N-69</t>
  </si>
  <si>
    <t>N-70</t>
  </si>
  <si>
    <t>N-71</t>
  </si>
  <si>
    <t>N-72</t>
  </si>
  <si>
    <t>N-73</t>
  </si>
  <si>
    <t>N-74</t>
  </si>
  <si>
    <t>N-75</t>
  </si>
  <si>
    <t>N-76</t>
  </si>
  <si>
    <t>N-77</t>
  </si>
  <si>
    <t>N-78</t>
  </si>
  <si>
    <t>N-79</t>
  </si>
  <si>
    <t>N-80</t>
  </si>
  <si>
    <t>N-81</t>
  </si>
  <si>
    <t>N-82</t>
  </si>
  <si>
    <t>N-83</t>
  </si>
  <si>
    <t>N-84</t>
  </si>
  <si>
    <t>N-85</t>
  </si>
  <si>
    <t>N-86</t>
  </si>
  <si>
    <t>N-87</t>
  </si>
  <si>
    <t>N-88</t>
  </si>
  <si>
    <t>N-89</t>
  </si>
  <si>
    <t>N-90</t>
  </si>
  <si>
    <t>N-91</t>
  </si>
  <si>
    <t>N-92</t>
  </si>
  <si>
    <t>N-93</t>
  </si>
  <si>
    <t>N-94</t>
  </si>
  <si>
    <t>N-95</t>
  </si>
  <si>
    <t>N-96</t>
  </si>
  <si>
    <t>N-97</t>
  </si>
  <si>
    <t>N-98</t>
  </si>
  <si>
    <t>N-99</t>
  </si>
  <si>
    <t>N-100</t>
  </si>
  <si>
    <t>N-101</t>
  </si>
  <si>
    <t>MAC-01</t>
  </si>
  <si>
    <t>Ates Cr. &amp; Blackwater River, Blackwater River SF</t>
  </si>
  <si>
    <t>FAC-01</t>
  </si>
  <si>
    <t>MMC-03</t>
  </si>
  <si>
    <t>Milligan Creek - Eglin AFB</t>
  </si>
  <si>
    <t>De Soto NF - Bluff Creek</t>
  </si>
  <si>
    <t>De Soto NF - Morgan Branch</t>
  </si>
  <si>
    <t>Perone Branch, AL</t>
  </si>
  <si>
    <t>Little Rocky Creek</t>
  </si>
  <si>
    <t>(30.87560, -86.90546)</t>
  </si>
  <si>
    <t>(30.541, -87.790)</t>
  </si>
  <si>
    <t>De Soto NF - Bluff Creek 1 (Morgan Branch)</t>
  </si>
  <si>
    <t>(30.893, -89.015)</t>
  </si>
  <si>
    <t>mostly sand w/ some gravel</t>
  </si>
  <si>
    <t>100% sand; 20% gravel; dep/silt on banks</t>
  </si>
  <si>
    <t>sand/gravel; dep on margins</t>
  </si>
  <si>
    <t>baetisca</t>
  </si>
  <si>
    <t>sand; sand/veg margins</t>
  </si>
  <si>
    <t>sand; sand/CPOM banks</t>
  </si>
  <si>
    <t>sand; sand/FPOM margins</t>
  </si>
  <si>
    <t>0 (1 small)</t>
  </si>
  <si>
    <t>Milligan Creek</t>
  </si>
  <si>
    <t>Turkey Gobbler Creek</t>
  </si>
  <si>
    <t>PB-01</t>
  </si>
  <si>
    <t>PB-02</t>
  </si>
  <si>
    <t>PB-03</t>
  </si>
  <si>
    <t>BC-01</t>
  </si>
  <si>
    <t>BC-02</t>
  </si>
  <si>
    <t>AL: Baldwin Co.</t>
  </si>
  <si>
    <t>Boiling Creek Steephead, Eglin</t>
  </si>
  <si>
    <t>Perone Branch, Silverhill</t>
  </si>
  <si>
    <t>Magnolia Creek</t>
  </si>
  <si>
    <t>(30.530290, -86.087452)</t>
  </si>
  <si>
    <t>Sand, gravel, FPOM, LWD</t>
  </si>
  <si>
    <t>1 adult seen</t>
  </si>
  <si>
    <t>Ates Cr @ Blackwater River</t>
  </si>
  <si>
    <t>Black Creek - Talbot, GA</t>
  </si>
  <si>
    <t>Williams Bluff TNC - Early, GA</t>
  </si>
  <si>
    <t>(30.725534, -86.794836)</t>
  </si>
  <si>
    <t>(32.5502755, -84.5149630)</t>
  </si>
  <si>
    <t>Turkey Creek - BRSF</t>
  </si>
  <si>
    <t>(31.195029, -85.096153)</t>
  </si>
  <si>
    <t>Sand, FPOM, roots, &lt;CPOM mostly sand</t>
  </si>
  <si>
    <t>Sand, LWD, FPOM, CPOM, roots</t>
  </si>
  <si>
    <t>Sand, FPOM, &lt;CPOM, roots, LWD</t>
  </si>
  <si>
    <t>Black Creek</t>
  </si>
  <si>
    <t>Williams Bluff TNC</t>
  </si>
  <si>
    <t>East</t>
  </si>
  <si>
    <t>Little Rocky Creek 2</t>
  </si>
  <si>
    <t>ARB-02 (HANNAH)</t>
  </si>
  <si>
    <t>sand, CPOM, roots</t>
  </si>
  <si>
    <t>10+ nymphs seen</t>
  </si>
  <si>
    <t>(30.513054, -86.914311)</t>
  </si>
  <si>
    <t>(30.458896, -84.980746)</t>
  </si>
  <si>
    <t>Weaver Steephead - donwstream (EAFB-01)</t>
  </si>
  <si>
    <t>TNC Apalachicola Bluffs Reserve (ABR-02)</t>
  </si>
  <si>
    <t>Sand, FPOM, CPOM</t>
  </si>
  <si>
    <t>Collected by Jeff V. - Eglin</t>
  </si>
  <si>
    <t>(30.71803, -86.31504)</t>
  </si>
  <si>
    <t>Titi Creek</t>
  </si>
  <si>
    <t>Titi Creek@409 - Eglin; JMV22-027</t>
  </si>
  <si>
    <t>Hog Creek@207 - Eglin; JMV22-026</t>
  </si>
  <si>
    <t>(30.70854, -86.34454)</t>
  </si>
  <si>
    <t>Hog Creek</t>
  </si>
  <si>
    <t>Turkey Hen West</t>
  </si>
  <si>
    <t>Turkey Hen West - JMV22-025</t>
  </si>
  <si>
    <t>(30.65768, -86.58864)</t>
  </si>
  <si>
    <t>Unique.ID</t>
  </si>
  <si>
    <t>Site.name</t>
  </si>
  <si>
    <t>L.HW.mm</t>
  </si>
  <si>
    <t>L.FW.mm</t>
  </si>
  <si>
    <t>Total.Length.mm</t>
  </si>
  <si>
    <t>HwL.mm</t>
  </si>
  <si>
    <t>HW.mm</t>
  </si>
  <si>
    <t>Prementum.W.mm</t>
  </si>
  <si>
    <t>Epiproct.L.mm</t>
  </si>
  <si>
    <t>Prementum.L.mm</t>
  </si>
  <si>
    <t xml:space="preserve">Unique.ID </t>
  </si>
  <si>
    <t>HwL.HW</t>
  </si>
  <si>
    <t>TN: Cumberland Co.</t>
  </si>
  <si>
    <t>LTSF-01 (HANNAH)</t>
  </si>
  <si>
    <t>ARB-01 (HANNAH)</t>
  </si>
  <si>
    <t>Bone Creek (HANNAH)</t>
  </si>
  <si>
    <t>Time</t>
  </si>
  <si>
    <t>Coordinates</t>
  </si>
  <si>
    <t>pH</t>
  </si>
  <si>
    <t>Unique.site</t>
  </si>
  <si>
    <t>1tgcr</t>
  </si>
  <si>
    <t>1atcr</t>
  </si>
  <si>
    <t>1shcr</t>
  </si>
  <si>
    <t>1locr</t>
  </si>
  <si>
    <t>1lrcr1</t>
  </si>
  <si>
    <t>1lrcr2</t>
  </si>
  <si>
    <t>1lobr</t>
  </si>
  <si>
    <t>1micr</t>
  </si>
  <si>
    <t>2mobr</t>
  </si>
  <si>
    <t>2blcr</t>
  </si>
  <si>
    <t>1mobr</t>
  </si>
  <si>
    <t>2pebr</t>
  </si>
  <si>
    <t>2tucr</t>
  </si>
  <si>
    <t>2micr</t>
  </si>
  <si>
    <t>2locr</t>
  </si>
  <si>
    <t>2tgcr</t>
  </si>
  <si>
    <t>2lrcr1</t>
  </si>
  <si>
    <t>3macr</t>
  </si>
  <si>
    <t>3blcr</t>
  </si>
  <si>
    <t>3pebr</t>
  </si>
  <si>
    <t>3atcr</t>
  </si>
  <si>
    <t>3tucr</t>
  </si>
  <si>
    <t>3micr</t>
  </si>
  <si>
    <t>3wibl</t>
  </si>
  <si>
    <t>3blac</t>
  </si>
  <si>
    <t>3abre</t>
  </si>
  <si>
    <t>3west</t>
  </si>
  <si>
    <t>Little Rocky Creek 1</t>
  </si>
  <si>
    <t>Canopy.cov</t>
  </si>
  <si>
    <t>Water.temp</t>
  </si>
  <si>
    <t>Velocity</t>
  </si>
  <si>
    <t>DO</t>
  </si>
  <si>
    <t>TDS</t>
  </si>
  <si>
    <t>Sp.cond</t>
  </si>
  <si>
    <t>Turbidity</t>
  </si>
  <si>
    <t>Stream.width</t>
  </si>
  <si>
    <t>Depth</t>
  </si>
  <si>
    <t>Stream.composition</t>
  </si>
  <si>
    <t>Nymphs.collected</t>
  </si>
  <si>
    <t>3bocr</t>
  </si>
  <si>
    <t>Bone Creek</t>
  </si>
  <si>
    <t>(30.733, -86.758)</t>
  </si>
  <si>
    <t>sand, FPOM, CPOM, woody debris</t>
  </si>
  <si>
    <t>Bear Creek</t>
  </si>
  <si>
    <t>(30.472, -84.625)</t>
  </si>
  <si>
    <t>3becr</t>
  </si>
  <si>
    <t>sand, fpom, cpom</t>
  </si>
  <si>
    <t>H. apomyius</t>
  </si>
  <si>
    <t>EW.River</t>
  </si>
  <si>
    <t>JMVtiti</t>
  </si>
  <si>
    <t>JMVthw</t>
  </si>
  <si>
    <t>JMVhog</t>
  </si>
  <si>
    <t>KTbecr1</t>
  </si>
  <si>
    <t>KTatcr1</t>
  </si>
  <si>
    <t>KTlkc1</t>
  </si>
  <si>
    <t>KTplc1</t>
  </si>
  <si>
    <t>(30.725319, -86.794539)</t>
  </si>
  <si>
    <t>(30.786522, -86.797717)</t>
  </si>
  <si>
    <t>(30.4478, -85.84164)</t>
  </si>
  <si>
    <t>Metathoracic.Femur.Length.mm</t>
  </si>
  <si>
    <t>MMC-02</t>
  </si>
  <si>
    <t>teneral</t>
  </si>
  <si>
    <t>F-135</t>
  </si>
  <si>
    <t>F-136</t>
  </si>
  <si>
    <t>F-137</t>
  </si>
  <si>
    <t>F-138</t>
  </si>
  <si>
    <t>F-139</t>
  </si>
  <si>
    <t>Lafayette Creek WMA: Wolf Creek</t>
  </si>
  <si>
    <t>4blcr</t>
  </si>
  <si>
    <t>4mobr</t>
  </si>
  <si>
    <t>Sand w/ overlaying CPOM</t>
  </si>
  <si>
    <t>H. apomyius emerging</t>
  </si>
  <si>
    <t>4pebr</t>
  </si>
  <si>
    <t>mostly sand</t>
  </si>
  <si>
    <t>4atcr</t>
  </si>
  <si>
    <t>sand, CPOM, FPOM</t>
  </si>
  <si>
    <t>2 nymphs seen; 4 exuviae</t>
  </si>
  <si>
    <t>3 nymphs seen; 2 exuviae</t>
  </si>
  <si>
    <t>Blackwater River</t>
  </si>
  <si>
    <t>(30.7841443, -86.787084)</t>
  </si>
  <si>
    <t>4blri</t>
  </si>
  <si>
    <t>sand, gravel, CPOM on margins</t>
  </si>
  <si>
    <t>3 nymphs seen, many many exuviae</t>
  </si>
  <si>
    <t>4micr</t>
  </si>
  <si>
    <t>sandw/ veg + FPOM margins + overlying CPOM</t>
  </si>
  <si>
    <t>4west</t>
  </si>
  <si>
    <t>mostly sand w/ some CPOM</t>
  </si>
  <si>
    <t>~10 nymphs seen</t>
  </si>
  <si>
    <t>(30.527003, -86.055300)</t>
  </si>
  <si>
    <t>Lafayette WMA: Wolf Creek</t>
  </si>
  <si>
    <t>4wocr</t>
  </si>
  <si>
    <t>mostly sand w/ some CPOM at margins</t>
  </si>
  <si>
    <t>6 nymphs seen; 5+ adults seen</t>
  </si>
  <si>
    <t>4abre</t>
  </si>
  <si>
    <t>4 nymphs seen</t>
  </si>
  <si>
    <t>mostly sand w/ veg on margins</t>
  </si>
  <si>
    <t>4wibl</t>
  </si>
  <si>
    <t>Sand w/ underlying muck; veg + CPOM at margins</t>
  </si>
  <si>
    <t>Sweetwater Creek</t>
  </si>
  <si>
    <t>(30.5251105, -84.9700306)</t>
  </si>
  <si>
    <t>4swcr</t>
  </si>
  <si>
    <t>sand, undercut banks, mud, little CPOM</t>
  </si>
  <si>
    <t>2 nymphs seen</t>
  </si>
  <si>
    <t>4becr</t>
  </si>
  <si>
    <t>mostly sand with veg at margins, some CPOM</t>
  </si>
  <si>
    <t>several nymphs seen (&lt;5)</t>
  </si>
  <si>
    <t>EAFB: Boiling Creek Steephead</t>
  </si>
  <si>
    <t>(30.5157200 -86.8595690)</t>
  </si>
  <si>
    <t>4boic</t>
  </si>
  <si>
    <t>steephead sand and stuff</t>
  </si>
  <si>
    <t>EAFB: Indigo Creek Steephead</t>
  </si>
  <si>
    <t>4incr</t>
  </si>
  <si>
    <t>(30.51634, -86.829165)</t>
  </si>
  <si>
    <t>https://www.inaturalist.org/observations/151053168</t>
  </si>
  <si>
    <t>12:39 PM CDT; It was along a sandy roadside close to the main springs access point</t>
  </si>
  <si>
    <t>N-102</t>
  </si>
  <si>
    <t>Apalachicola Bluffs</t>
  </si>
  <si>
    <t>https://www.inaturalist.org/observations/155241775</t>
  </si>
  <si>
    <t>Twin-striped Clubtail (Hylogomphus geminatus) in March 2023 by edporopat · iNaturalist</t>
  </si>
  <si>
    <t>3:12pm. It was on the rocks on the N side of the Youngstown Frink Rd. where Juniper Creek crosses.</t>
  </si>
  <si>
    <t>2:24pm. She was again on the N side of Hwy 20 (State Rd.</t>
  </si>
  <si>
    <t>Carroll Creek, Eglin AFB</t>
  </si>
  <si>
    <t>Carr Spring Branch, Eglin AFB</t>
  </si>
  <si>
    <t>Turkey Gobbler Creek, Eglin AFB</t>
  </si>
  <si>
    <t>Lafayette Creek WMA: Lafayette Creek</t>
  </si>
  <si>
    <t>5micr</t>
  </si>
  <si>
    <t>5wocr</t>
  </si>
  <si>
    <t>5wibl</t>
  </si>
  <si>
    <t>5pebr</t>
  </si>
  <si>
    <t>G-09</t>
  </si>
  <si>
    <t>Bear Creek @ Hwy 280, Iona</t>
  </si>
  <si>
    <t>Eglin AFB: Bear Bay Branch (This is actually Little Rocky Creek)</t>
  </si>
  <si>
    <t>Tiny stream in Blackwater River SP; 4 mi N of Harold; the coordinates are approximate</t>
  </si>
  <si>
    <t>Turkey Creek @ NW Stokes Pl Rd</t>
  </si>
  <si>
    <t>Juniper Creek @ Youngstown Frink Rd</t>
  </si>
  <si>
    <t>Whittle Rd; 3 mi E Red Bluff</t>
  </si>
  <si>
    <t>Juniper Cr @ Hwy 20</t>
  </si>
  <si>
    <t>Little Rocky River</t>
  </si>
  <si>
    <t>FL: Bradford Co.</t>
  </si>
  <si>
    <t>Sampson Cr @ Rt. 18</t>
  </si>
  <si>
    <t>FL: Alachua Co.</t>
  </si>
  <si>
    <t>Hog Town Cr; Gainesville</t>
  </si>
  <si>
    <t>FL: Union Co.</t>
  </si>
  <si>
    <t>Hatchet Cr @ Hwy S-325</t>
  </si>
  <si>
    <t>Blues Cr; UF Hort Unit; 9 mi NW Gainesville</t>
  </si>
  <si>
    <t>Hatchet Cr; 8 mi NE Gainesville</t>
  </si>
  <si>
    <t>HWY 241 @ Santa Fe River</t>
  </si>
  <si>
    <t>Hatchet Cr @ Hwy 26</t>
  </si>
  <si>
    <t>Sandy stream; east Gainesville</t>
  </si>
  <si>
    <t>Devil's Mill Hopper, San Felasco Hammock</t>
  </si>
  <si>
    <t>Devil's Mill Hopper</t>
  </si>
  <si>
    <t>Stream crossing Hwy S-232, San Felasco Hammock; ~7 mi NW of Gainesville</t>
  </si>
  <si>
    <t>Hwy 67; 0.8 mi S of jct 20</t>
  </si>
  <si>
    <t>Juniper Cr @ Hwy 20; inlet 100 yds NE near pond</t>
  </si>
  <si>
    <t>Blackwater River SP</t>
  </si>
  <si>
    <t>Big Juniper Cr @ Indian Ford Rd.</t>
  </si>
  <si>
    <t>Sumatra; 8 mi E @ Owens Bridge, New River</t>
  </si>
  <si>
    <t>Blackwater River @ Riley Bridge; Holt</t>
  </si>
  <si>
    <t>Juniper Cr; 0.25 mi S of Route 20 @ spring run trib</t>
  </si>
  <si>
    <t>Sweetwater Cr @ Rt. 270</t>
  </si>
  <si>
    <t>Whittle Rd</t>
  </si>
  <si>
    <t>Scott Rd @ Econfina Cr</t>
  </si>
  <si>
    <t>Stream in woods S of Caryville</t>
  </si>
  <si>
    <t>Near Shoal River</t>
  </si>
  <si>
    <t>Crooked Cr near Chattahoochee</t>
  </si>
  <si>
    <t>Crooked Cr near Torreya SP</t>
  </si>
  <si>
    <t>Flat Cr.; Chattahoochee</t>
  </si>
  <si>
    <t>Pond Cr @ S-191 NW of Milton</t>
  </si>
  <si>
    <t>Apalachicola NF; 181-C @ Black Cr., Township 5 South, Range 7 West, Section 17</t>
  </si>
  <si>
    <t>Apalachicola NF; 181-C @ Black Cr.</t>
  </si>
  <si>
    <t>Sweetwater Cr @ Rt. 231</t>
  </si>
  <si>
    <t>Blackwater River @ Bryant Bridge</t>
  </si>
  <si>
    <t xml:space="preserve">AL: Escambia Co. </t>
  </si>
  <si>
    <t xml:space="preserve">AL: Dale Co. </t>
  </si>
  <si>
    <t xml:space="preserve">AL: Covington Co. </t>
  </si>
  <si>
    <t xml:space="preserve">GA: Talbot Co. </t>
  </si>
  <si>
    <t>Blackwater Cr @ Bradley</t>
  </si>
  <si>
    <t>Uriah; S on SR-21 @ Little River</t>
  </si>
  <si>
    <t>Fort Rucker</t>
  </si>
  <si>
    <t>Conecuh River @ 84 W of Andalusia</t>
  </si>
  <si>
    <t>Yellow River @ 55</t>
  </si>
  <si>
    <t>Hatchet Cr @ Hwy 26 E of Gainesville</t>
  </si>
  <si>
    <t>Upatoi Cr @ US 80</t>
  </si>
  <si>
    <t>FL: Jefferson Co.</t>
  </si>
  <si>
    <t>Little Hatchet Cr @ Rt. 225</t>
  </si>
  <si>
    <t>Santa Fe River @ Hwy 241</t>
  </si>
  <si>
    <t>Monteoca</t>
  </si>
  <si>
    <t>Gainesville</t>
  </si>
  <si>
    <t xml:space="preserve">SR 26 @ Hatchet Cr. </t>
  </si>
  <si>
    <t>Aucilla River @ Hwy 19-27</t>
  </si>
  <si>
    <t>FL: Clay Co.</t>
  </si>
  <si>
    <t>Gold Head Branch SP</t>
  </si>
  <si>
    <t>Hatchet Cr @ Hwy 225</t>
  </si>
  <si>
    <t>Gainesville; 10 mi E on SR-26</t>
  </si>
  <si>
    <t>Hatchet Cr 4 mi E of Gainesville</t>
  </si>
  <si>
    <t>Aucilla River @ Hwy 19</t>
  </si>
  <si>
    <t>S. Prong, Black Cr. Hwy 21</t>
  </si>
  <si>
    <t>N. Prong, Black Cr., Hwy 218</t>
  </si>
  <si>
    <t>Bull Cr. Hwy 21, 3 mi S. Middleburg</t>
  </si>
  <si>
    <t>Aucilla River @ Rt. 19</t>
  </si>
  <si>
    <t>NW Gainesville, San Felasco Hammock</t>
  </si>
  <si>
    <t xml:space="preserve">FL: Nassau Co. </t>
  </si>
  <si>
    <t>FL: Jackson Co.</t>
  </si>
  <si>
    <t>Prairie Cr., SE Gainesville</t>
  </si>
  <si>
    <t>NW Gainesville</t>
  </si>
  <si>
    <t>Brandy Branch @ US-301, 6.1 mi N Baldwin</t>
  </si>
  <si>
    <t>Small Stream W side of Compass Lake</t>
  </si>
  <si>
    <t>FL: Madison Co.</t>
  </si>
  <si>
    <t>FL: Putnam Co.</t>
  </si>
  <si>
    <t>FL: Holmes Co.</t>
  </si>
  <si>
    <t>Swift Creek, Rt. 100, 5 mi W Lake Butler</t>
  </si>
  <si>
    <t>Aucilla River, 3 mi E Lamont</t>
  </si>
  <si>
    <t>Aucilla River @ Rt. 27</t>
  </si>
  <si>
    <t>Orange Creek</t>
  </si>
  <si>
    <t>Etonia Cr. NE of Florahome</t>
  </si>
  <si>
    <t>Wrights Creek @ SR-79 Bridge</t>
  </si>
  <si>
    <t>Stream @ Airport</t>
  </si>
  <si>
    <t>Weaver Steephead downstream</t>
  </si>
  <si>
    <t>Boiling Creek</t>
  </si>
  <si>
    <t>N-103</t>
  </si>
  <si>
    <t>N-104</t>
  </si>
  <si>
    <t>N-105</t>
  </si>
  <si>
    <t>N-106</t>
  </si>
  <si>
    <t>N-107</t>
  </si>
  <si>
    <t>N-108</t>
  </si>
  <si>
    <t>N-109</t>
  </si>
  <si>
    <t>N-110</t>
  </si>
  <si>
    <t>N-111</t>
  </si>
  <si>
    <t>N-112</t>
  </si>
  <si>
    <t>N-113</t>
  </si>
  <si>
    <t>N-114</t>
  </si>
  <si>
    <t>N-115</t>
  </si>
  <si>
    <t>N-116</t>
  </si>
  <si>
    <t>N-117</t>
  </si>
  <si>
    <t>N-118</t>
  </si>
  <si>
    <t>N-119</t>
  </si>
  <si>
    <t>N-120</t>
  </si>
  <si>
    <t>N-121</t>
  </si>
  <si>
    <t>N-122</t>
  </si>
  <si>
    <t>N-123</t>
  </si>
  <si>
    <t>BRSF-01 (Hannah)</t>
  </si>
  <si>
    <t>2</t>
  </si>
  <si>
    <t>N-124</t>
  </si>
  <si>
    <t>6 (apomyius)</t>
  </si>
  <si>
    <t>TSP-01 (Hannah)</t>
  </si>
  <si>
    <t>BRSF-01</t>
  </si>
  <si>
    <t>(30.7308653, -86.8486539)</t>
  </si>
  <si>
    <t>ABRP-01 (Hannah)</t>
  </si>
  <si>
    <t>ABRP-01</t>
  </si>
  <si>
    <t>TSP-01</t>
  </si>
  <si>
    <t>(30.5000828, -84.9516971)</t>
  </si>
  <si>
    <t>sand, with FPOM and CPOM; some woody debris, lots of moss</t>
  </si>
  <si>
    <t>sand, some gravel, mostly FPOM, some CPOM, more wood, some moss</t>
  </si>
  <si>
    <t>sand, some gravel, equal FPOM and CPOM and wood</t>
  </si>
  <si>
    <t>5tucr</t>
  </si>
  <si>
    <t>5abre</t>
  </si>
  <si>
    <t>5tsp</t>
  </si>
  <si>
    <t>5west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</si>
</sst>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[$-F400]h:mm:ss\ AM/PM"/>
    <numFmt numFmtId="166" formatCode="h:mm;@"/>
    <numFmt numFmtId="167" formatCode="0.0"/>
    <numFmt numFmtId="168" formatCode="yyyy\-mm\-dd;@"/>
    <numFmt numFmtId="169" formatCode="0.0000000"/>
    <numFmt numFmtId="170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 wrapText="1"/>
    </xf>
    <xf numFmtId="2" fontId="0" fillId="0" borderId="0" xfId="0" applyNumberFormat="1"/>
    <xf numFmtId="0" fontId="1" fillId="0" borderId="0" xfId="0" applyFont="1"/>
    <xf numFmtId="14" fontId="7" fillId="0" borderId="0" xfId="0" applyNumberFormat="1" applyFont="1"/>
    <xf numFmtId="0" fontId="6" fillId="0" borderId="0" xfId="1"/>
    <xf numFmtId="0" fontId="5" fillId="0" borderId="0" xfId="1" applyFont="1"/>
    <xf numFmtId="0" fontId="0" fillId="3" borderId="0" xfId="0" applyFill="1"/>
    <xf numFmtId="14" fontId="0" fillId="3" borderId="0" xfId="0" applyNumberFormat="1" applyFill="1"/>
    <xf numFmtId="14" fontId="0" fillId="2" borderId="0" xfId="0" applyNumberFormat="1" applyFill="1"/>
    <xf numFmtId="0" fontId="9" fillId="0" borderId="0" xfId="0" applyFont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3" fillId="0" borderId="1" xfId="0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2" fontId="0" fillId="2" borderId="1" xfId="0" applyNumberFormat="1" applyFill="1" applyBorder="1"/>
    <xf numFmtId="2" fontId="3" fillId="2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0" fontId="0" fillId="0" borderId="0" xfId="0" applyAlignment="1">
      <alignment vertical="top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3" xfId="0" applyBorder="1"/>
    <xf numFmtId="168" fontId="1" fillId="0" borderId="1" xfId="0" applyNumberFormat="1" applyFont="1" applyBorder="1" applyAlignment="1">
      <alignment horizontal="center" vertical="center" wrapText="1"/>
    </xf>
    <xf numFmtId="168" fontId="0" fillId="0" borderId="1" xfId="0" applyNumberFormat="1" applyBorder="1"/>
    <xf numFmtId="168" fontId="0" fillId="0" borderId="1" xfId="0" applyNumberFormat="1" applyBorder="1" applyAlignment="1">
      <alignment wrapText="1"/>
    </xf>
    <xf numFmtId="168" fontId="0" fillId="2" borderId="1" xfId="0" applyNumberFormat="1" applyFill="1" applyBorder="1"/>
    <xf numFmtId="168" fontId="0" fillId="0" borderId="2" xfId="0" applyNumberFormat="1" applyBorder="1"/>
    <xf numFmtId="168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169" fontId="0" fillId="0" borderId="1" xfId="0" quotePrefix="1" applyNumberFormat="1" applyBorder="1"/>
    <xf numFmtId="169" fontId="0" fillId="0" borderId="1" xfId="0" applyNumberFormat="1" applyBorder="1"/>
    <xf numFmtId="169" fontId="0" fillId="0" borderId="2" xfId="0" applyNumberFormat="1" applyBorder="1"/>
    <xf numFmtId="169" fontId="0" fillId="2" borderId="1" xfId="0" applyNumberFormat="1" applyFill="1" applyBorder="1"/>
    <xf numFmtId="169" fontId="0" fillId="0" borderId="1" xfId="0" quotePrefix="1" applyNumberFormat="1" applyBorder="1" applyAlignment="1">
      <alignment wrapText="1"/>
    </xf>
    <xf numFmtId="169" fontId="0" fillId="2" borderId="1" xfId="0" applyNumberFormat="1" applyFill="1" applyBorder="1" applyAlignment="1">
      <alignment horizontal="right"/>
    </xf>
    <xf numFmtId="169" fontId="0" fillId="0" borderId="0" xfId="0" applyNumberFormat="1"/>
    <xf numFmtId="169" fontId="0" fillId="3" borderId="0" xfId="0" applyNumberFormat="1" applyFill="1"/>
    <xf numFmtId="169" fontId="7" fillId="0" borderId="0" xfId="0" applyNumberFormat="1" applyFont="1"/>
    <xf numFmtId="169" fontId="8" fillId="0" borderId="0" xfId="0" applyNumberFormat="1" applyFont="1" applyAlignment="1">
      <alignment horizontal="left" vertical="center" wrapText="1"/>
    </xf>
    <xf numFmtId="16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70" fontId="0" fillId="0" borderId="1" xfId="0" applyNumberFormat="1" applyBorder="1"/>
    <xf numFmtId="0" fontId="0" fillId="0" borderId="1" xfId="0" applyBorder="1" applyAlignment="1">
      <alignment horizontal="left" vertical="top"/>
    </xf>
    <xf numFmtId="0" fontId="7" fillId="0" borderId="0" xfId="0" applyFont="1"/>
    <xf numFmtId="0" fontId="6" fillId="0" borderId="0" xfId="1" applyFill="1" applyBorder="1"/>
    <xf numFmtId="168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5" xfId="0" applyFont="1" applyBorder="1"/>
    <xf numFmtId="164" fontId="5" fillId="0" borderId="1" xfId="0" applyNumberFormat="1" applyFont="1" applyBorder="1"/>
    <xf numFmtId="0" fontId="5" fillId="0" borderId="0" xfId="0" applyFont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35315072" TargetMode="External"/><Relationship Id="rId13" Type="http://schemas.openxmlformats.org/officeDocument/2006/relationships/hyperlink" Target="https://www.inaturalist.org/observations/21996870" TargetMode="External"/><Relationship Id="rId18" Type="http://schemas.openxmlformats.org/officeDocument/2006/relationships/hyperlink" Target="https://www.inaturalist.org/observations/35955206" TargetMode="External"/><Relationship Id="rId26" Type="http://schemas.openxmlformats.org/officeDocument/2006/relationships/hyperlink" Target="https://www.inaturalist.org/observations/151053168" TargetMode="External"/><Relationship Id="rId3" Type="http://schemas.openxmlformats.org/officeDocument/2006/relationships/hyperlink" Target="https://www.inaturalist.org/observations/23173563" TargetMode="External"/><Relationship Id="rId21" Type="http://schemas.openxmlformats.org/officeDocument/2006/relationships/hyperlink" Target="https://www.inaturalist.org/observations/39226360" TargetMode="External"/><Relationship Id="rId7" Type="http://schemas.openxmlformats.org/officeDocument/2006/relationships/hyperlink" Target="https://www.inaturalist.org/observations/69650947" TargetMode="External"/><Relationship Id="rId12" Type="http://schemas.openxmlformats.org/officeDocument/2006/relationships/hyperlink" Target="https://www.inaturalist.org/observations/21994795" TargetMode="External"/><Relationship Id="rId17" Type="http://schemas.openxmlformats.org/officeDocument/2006/relationships/hyperlink" Target="https://www.inaturalist.org/observations/22061616" TargetMode="External"/><Relationship Id="rId25" Type="http://schemas.openxmlformats.org/officeDocument/2006/relationships/hyperlink" Target="http://www.edlam.net/dragonflyroad/5_07SE.html" TargetMode="External"/><Relationship Id="rId2" Type="http://schemas.openxmlformats.org/officeDocument/2006/relationships/hyperlink" Target="https://www.inaturalist.org/observations/22918698" TargetMode="External"/><Relationship Id="rId16" Type="http://schemas.openxmlformats.org/officeDocument/2006/relationships/hyperlink" Target="https://www.inaturalist.org/observations/22087785" TargetMode="External"/><Relationship Id="rId20" Type="http://schemas.openxmlformats.org/officeDocument/2006/relationships/hyperlink" Target="https://www.inaturalist.org/observations/80508318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inaturalist.org/observations/22067134" TargetMode="External"/><Relationship Id="rId6" Type="http://schemas.openxmlformats.org/officeDocument/2006/relationships/hyperlink" Target="https://www.inaturalist.org/observations/69650951" TargetMode="External"/><Relationship Id="rId11" Type="http://schemas.openxmlformats.org/officeDocument/2006/relationships/hyperlink" Target="https://www.inaturalist.org/observations/22206856" TargetMode="External"/><Relationship Id="rId24" Type="http://schemas.openxmlformats.org/officeDocument/2006/relationships/hyperlink" Target="https://www.odonatacentral.org/app/" TargetMode="External"/><Relationship Id="rId5" Type="http://schemas.openxmlformats.org/officeDocument/2006/relationships/hyperlink" Target="https://www.inaturalist.org/observations/77401634" TargetMode="External"/><Relationship Id="rId15" Type="http://schemas.openxmlformats.org/officeDocument/2006/relationships/hyperlink" Target="https://www.inaturalist.org/observations/22087790" TargetMode="External"/><Relationship Id="rId23" Type="http://schemas.openxmlformats.org/officeDocument/2006/relationships/hyperlink" Target="https://www.inaturalist.org/observations/24248122" TargetMode="External"/><Relationship Id="rId28" Type="http://schemas.openxmlformats.org/officeDocument/2006/relationships/hyperlink" Target="https://www.inaturalist.org/observations/155242344" TargetMode="External"/><Relationship Id="rId10" Type="http://schemas.openxmlformats.org/officeDocument/2006/relationships/hyperlink" Target="https://www.inaturalist.org/observations/22863463" TargetMode="External"/><Relationship Id="rId19" Type="http://schemas.openxmlformats.org/officeDocument/2006/relationships/hyperlink" Target="https://www.inaturalist.org/observations/59980259" TargetMode="External"/><Relationship Id="rId4" Type="http://schemas.openxmlformats.org/officeDocument/2006/relationships/hyperlink" Target="https://www.inaturalist.org/observations/23175079" TargetMode="External"/><Relationship Id="rId9" Type="http://schemas.openxmlformats.org/officeDocument/2006/relationships/hyperlink" Target="https://www.inaturalist.org/observations/35315033" TargetMode="External"/><Relationship Id="rId14" Type="http://schemas.openxmlformats.org/officeDocument/2006/relationships/hyperlink" Target="https://www.inaturalist.org/observations/36133159" TargetMode="External"/><Relationship Id="rId22" Type="http://schemas.openxmlformats.org/officeDocument/2006/relationships/hyperlink" Target="https://www.inaturalist.org/observations/21819120" TargetMode="External"/><Relationship Id="rId27" Type="http://schemas.openxmlformats.org/officeDocument/2006/relationships/hyperlink" Target="https://www.inaturalist.org/observations/1552417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6763-A328-4234-A1EA-6C19D84CB26F}">
  <dimension ref="A1:R254"/>
  <sheetViews>
    <sheetView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10.77734375" style="2" bestFit="1" customWidth="1"/>
    <col min="2" max="2" width="10" style="36" customWidth="1"/>
    <col min="3" max="3" width="18.33203125" customWidth="1"/>
    <col min="4" max="4" width="11.6640625" style="34" bestFit="1" customWidth="1"/>
    <col min="5" max="5" width="11.6640625" style="36" customWidth="1"/>
    <col min="6" max="6" width="11.21875" style="36" customWidth="1"/>
    <col min="7" max="7" width="9.33203125" style="36" bestFit="1" customWidth="1"/>
    <col min="8" max="8" width="9.21875" style="36" customWidth="1"/>
    <col min="9" max="9" width="5.5546875" style="40" customWidth="1"/>
    <col min="10" max="10" width="7.33203125" style="39" bestFit="1" customWidth="1"/>
    <col min="11" max="11" width="7.6640625" style="36" customWidth="1"/>
    <col min="12" max="12" width="12" style="36" customWidth="1"/>
    <col min="13" max="13" width="9.33203125" style="36" customWidth="1"/>
    <col min="14" max="14" width="11.44140625" style="36" customWidth="1"/>
    <col min="15" max="15" width="11" style="36" bestFit="1" customWidth="1"/>
    <col min="16" max="16" width="14.6640625" style="36" customWidth="1"/>
    <col min="17" max="17" width="10.21875" style="36" customWidth="1"/>
    <col min="18" max="18" width="49.44140625" style="36" customWidth="1"/>
    <col min="19" max="16384" width="8.88671875" style="36"/>
  </cols>
  <sheetData>
    <row r="1" spans="1:18" customFormat="1" x14ac:dyDescent="0.3">
      <c r="A1" s="3" t="s">
        <v>249</v>
      </c>
      <c r="B1" s="35" t="s">
        <v>551</v>
      </c>
      <c r="C1" s="3" t="s">
        <v>536</v>
      </c>
      <c r="D1" s="3" t="s">
        <v>552</v>
      </c>
      <c r="E1" s="3" t="s">
        <v>554</v>
      </c>
      <c r="F1" s="3" t="s">
        <v>583</v>
      </c>
      <c r="G1" s="3" t="s">
        <v>584</v>
      </c>
      <c r="H1" s="3" t="s">
        <v>585</v>
      </c>
      <c r="I1" s="3" t="s">
        <v>553</v>
      </c>
      <c r="J1" s="3" t="s">
        <v>586</v>
      </c>
      <c r="K1" s="3" t="s">
        <v>587</v>
      </c>
      <c r="L1" s="3" t="s">
        <v>588</v>
      </c>
      <c r="M1" s="3" t="s">
        <v>589</v>
      </c>
      <c r="N1" s="75" t="s">
        <v>590</v>
      </c>
      <c r="O1" s="3" t="s">
        <v>591</v>
      </c>
      <c r="P1" s="3" t="s">
        <v>592</v>
      </c>
      <c r="Q1" s="3" t="s">
        <v>593</v>
      </c>
      <c r="R1" s="3" t="s">
        <v>0</v>
      </c>
    </row>
    <row r="2" spans="1:18" customFormat="1" x14ac:dyDescent="0.3">
      <c r="A2" s="19">
        <v>26739</v>
      </c>
      <c r="B2" s="17" t="s">
        <v>52</v>
      </c>
      <c r="C2" s="1" t="s">
        <v>349</v>
      </c>
      <c r="D2" s="41" t="s">
        <v>612</v>
      </c>
      <c r="E2" s="17" t="s">
        <v>609</v>
      </c>
      <c r="F2" s="17" t="s">
        <v>52</v>
      </c>
      <c r="G2" s="17" t="s">
        <v>52</v>
      </c>
      <c r="H2" s="17" t="s">
        <v>52</v>
      </c>
      <c r="I2" s="17" t="s">
        <v>52</v>
      </c>
      <c r="J2" s="17" t="s">
        <v>52</v>
      </c>
      <c r="K2" s="17" t="s">
        <v>52</v>
      </c>
      <c r="L2" s="17" t="s">
        <v>52</v>
      </c>
      <c r="M2" s="17" t="s">
        <v>52</v>
      </c>
      <c r="N2" s="17" t="s">
        <v>52</v>
      </c>
      <c r="O2" s="17" t="s">
        <v>52</v>
      </c>
      <c r="P2" s="17" t="s">
        <v>52</v>
      </c>
      <c r="Q2" s="17">
        <v>3</v>
      </c>
      <c r="R2" s="17"/>
    </row>
    <row r="3" spans="1:18" customFormat="1" x14ac:dyDescent="0.3">
      <c r="A3" s="19">
        <v>38025</v>
      </c>
      <c r="B3" s="17" t="s">
        <v>52</v>
      </c>
      <c r="C3" s="1" t="s">
        <v>598</v>
      </c>
      <c r="D3" s="41" t="s">
        <v>599</v>
      </c>
      <c r="E3" s="17" t="s">
        <v>607</v>
      </c>
      <c r="F3" s="17" t="s">
        <v>52</v>
      </c>
      <c r="G3" s="17" t="s">
        <v>52</v>
      </c>
      <c r="H3" s="17" t="s">
        <v>52</v>
      </c>
      <c r="I3" s="17" t="s">
        <v>52</v>
      </c>
      <c r="J3" s="17" t="s">
        <v>52</v>
      </c>
      <c r="K3" s="17" t="s">
        <v>52</v>
      </c>
      <c r="L3" s="17" t="s">
        <v>52</v>
      </c>
      <c r="M3" s="17" t="s">
        <v>52</v>
      </c>
      <c r="N3" s="17" t="s">
        <v>52</v>
      </c>
      <c r="O3" s="17" t="s">
        <v>52</v>
      </c>
      <c r="P3" s="17" t="s">
        <v>52</v>
      </c>
      <c r="Q3" s="17">
        <v>10</v>
      </c>
      <c r="R3" s="17"/>
    </row>
    <row r="4" spans="1:18" customFormat="1" x14ac:dyDescent="0.3">
      <c r="A4" s="19">
        <v>39748</v>
      </c>
      <c r="B4" s="17" t="s">
        <v>52</v>
      </c>
      <c r="C4" s="1" t="s">
        <v>503</v>
      </c>
      <c r="D4" s="41" t="s">
        <v>611</v>
      </c>
      <c r="E4" s="17" t="s">
        <v>608</v>
      </c>
      <c r="F4" s="17" t="s">
        <v>52</v>
      </c>
      <c r="G4" s="17" t="s">
        <v>52</v>
      </c>
      <c r="H4" s="17" t="s">
        <v>52</v>
      </c>
      <c r="I4" s="17" t="s">
        <v>52</v>
      </c>
      <c r="J4" s="17" t="s">
        <v>52</v>
      </c>
      <c r="K4" s="17" t="s">
        <v>52</v>
      </c>
      <c r="L4" s="17" t="s">
        <v>52</v>
      </c>
      <c r="M4" s="17" t="s">
        <v>52</v>
      </c>
      <c r="N4" s="17" t="s">
        <v>52</v>
      </c>
      <c r="O4" s="17" t="s">
        <v>52</v>
      </c>
      <c r="P4" s="17" t="s">
        <v>52</v>
      </c>
      <c r="Q4" s="17">
        <v>5</v>
      </c>
      <c r="R4" s="17"/>
    </row>
    <row r="5" spans="1:18" customFormat="1" x14ac:dyDescent="0.3">
      <c r="A5" s="19">
        <v>41310</v>
      </c>
      <c r="B5" s="17" t="s">
        <v>52</v>
      </c>
      <c r="C5" s="1" t="s">
        <v>345</v>
      </c>
      <c r="D5" s="41" t="s">
        <v>613</v>
      </c>
      <c r="E5" s="17" t="s">
        <v>610</v>
      </c>
      <c r="F5" s="17" t="s">
        <v>52</v>
      </c>
      <c r="G5" s="17" t="s">
        <v>52</v>
      </c>
      <c r="H5" s="17" t="s">
        <v>52</v>
      </c>
      <c r="I5" s="17" t="s">
        <v>52</v>
      </c>
      <c r="J5" s="17" t="s">
        <v>52</v>
      </c>
      <c r="K5" s="17" t="s">
        <v>52</v>
      </c>
      <c r="L5" s="17" t="s">
        <v>52</v>
      </c>
      <c r="M5" s="17" t="s">
        <v>52</v>
      </c>
      <c r="N5" s="17" t="s">
        <v>52</v>
      </c>
      <c r="O5" s="17" t="s">
        <v>52</v>
      </c>
      <c r="P5" s="17" t="s">
        <v>52</v>
      </c>
      <c r="Q5" s="17">
        <v>6</v>
      </c>
      <c r="R5" s="17"/>
    </row>
    <row r="6" spans="1:18" customFormat="1" x14ac:dyDescent="0.3">
      <c r="A6" s="19">
        <v>44540</v>
      </c>
      <c r="B6" s="37">
        <v>0.625</v>
      </c>
      <c r="C6" s="69" t="s">
        <v>376</v>
      </c>
      <c r="D6" s="41" t="s">
        <v>377</v>
      </c>
      <c r="E6" s="17" t="s">
        <v>557</v>
      </c>
      <c r="F6" s="17">
        <v>20</v>
      </c>
      <c r="G6" s="17">
        <v>20</v>
      </c>
      <c r="H6" s="17">
        <v>0.1</v>
      </c>
      <c r="I6" s="42">
        <v>7.85</v>
      </c>
      <c r="J6" s="17">
        <v>27</v>
      </c>
      <c r="K6" s="17">
        <v>219</v>
      </c>
      <c r="L6" s="17">
        <v>316</v>
      </c>
      <c r="M6" s="17">
        <v>4.5</v>
      </c>
      <c r="N6" s="17">
        <v>378</v>
      </c>
      <c r="O6" s="76" t="s">
        <v>390</v>
      </c>
      <c r="P6" s="74" t="s">
        <v>378</v>
      </c>
      <c r="Q6" s="17">
        <v>0</v>
      </c>
      <c r="R6" s="41" t="s">
        <v>379</v>
      </c>
    </row>
    <row r="7" spans="1:18" customFormat="1" x14ac:dyDescent="0.3">
      <c r="A7" s="19">
        <v>44543</v>
      </c>
      <c r="B7" s="37">
        <v>0.375</v>
      </c>
      <c r="C7" s="69" t="s">
        <v>380</v>
      </c>
      <c r="D7" s="41" t="s">
        <v>385</v>
      </c>
      <c r="E7" s="17" t="s">
        <v>558</v>
      </c>
      <c r="F7" s="17">
        <v>75</v>
      </c>
      <c r="G7" s="17">
        <v>16.3</v>
      </c>
      <c r="H7" s="17">
        <v>0.2</v>
      </c>
      <c r="I7" s="42">
        <v>8.51</v>
      </c>
      <c r="J7" s="17">
        <v>65</v>
      </c>
      <c r="K7" s="17">
        <v>11.2</v>
      </c>
      <c r="L7" s="17">
        <v>15.7</v>
      </c>
      <c r="M7" s="17">
        <v>3.51</v>
      </c>
      <c r="N7" s="17">
        <v>350</v>
      </c>
      <c r="O7" s="17">
        <f>AVERAGE(20, 35,20)</f>
        <v>25</v>
      </c>
      <c r="P7" s="74" t="s">
        <v>371</v>
      </c>
      <c r="Q7" s="17">
        <v>3</v>
      </c>
      <c r="R7" s="41"/>
    </row>
    <row r="8" spans="1:18" customFormat="1" x14ac:dyDescent="0.3">
      <c r="A8" s="19">
        <v>44543</v>
      </c>
      <c r="B8" s="37">
        <v>0.42430555555555555</v>
      </c>
      <c r="C8" s="69" t="s">
        <v>381</v>
      </c>
      <c r="D8" s="41" t="s">
        <v>386</v>
      </c>
      <c r="E8" s="17" t="s">
        <v>559</v>
      </c>
      <c r="F8" s="17">
        <v>50</v>
      </c>
      <c r="G8" s="17">
        <v>15.3</v>
      </c>
      <c r="H8" s="17">
        <v>0.3</v>
      </c>
      <c r="I8" s="42">
        <v>8.15</v>
      </c>
      <c r="J8" s="17">
        <v>77</v>
      </c>
      <c r="K8" s="17">
        <v>11.5</v>
      </c>
      <c r="L8" s="17">
        <v>8.6</v>
      </c>
      <c r="M8" s="17">
        <v>1.29</v>
      </c>
      <c r="N8" s="17">
        <v>600</v>
      </c>
      <c r="O8" s="77">
        <f>AVERAGE(12,25)</f>
        <v>18.5</v>
      </c>
      <c r="P8" s="74" t="s">
        <v>371</v>
      </c>
      <c r="Q8" s="17">
        <v>0</v>
      </c>
      <c r="R8" s="41" t="s">
        <v>394</v>
      </c>
    </row>
    <row r="9" spans="1:18" customFormat="1" x14ac:dyDescent="0.3">
      <c r="A9" s="19">
        <v>44543</v>
      </c>
      <c r="B9" s="37">
        <v>0.48888888888888887</v>
      </c>
      <c r="C9" s="69" t="s">
        <v>382</v>
      </c>
      <c r="D9" s="41" t="s">
        <v>387</v>
      </c>
      <c r="E9" s="17" t="s">
        <v>560</v>
      </c>
      <c r="F9" s="17">
        <v>0</v>
      </c>
      <c r="G9" s="17">
        <v>17.8</v>
      </c>
      <c r="H9" s="17">
        <v>0.3</v>
      </c>
      <c r="I9" s="42">
        <v>7.6</v>
      </c>
      <c r="J9" s="17">
        <v>74</v>
      </c>
      <c r="K9" s="17">
        <v>9.6999999999999993</v>
      </c>
      <c r="L9" s="17">
        <v>13.8</v>
      </c>
      <c r="M9" s="17">
        <v>1.1000000000000001</v>
      </c>
      <c r="N9" s="17">
        <v>300</v>
      </c>
      <c r="O9" s="17">
        <f>AVERAGE(30,35,40)</f>
        <v>35</v>
      </c>
      <c r="P9" s="74" t="s">
        <v>391</v>
      </c>
      <c r="Q9" s="77" t="s">
        <v>796</v>
      </c>
      <c r="R9" s="41"/>
    </row>
    <row r="10" spans="1:18" customFormat="1" x14ac:dyDescent="0.3">
      <c r="A10" s="19">
        <v>44543</v>
      </c>
      <c r="B10" s="37">
        <v>0.52361111111111114</v>
      </c>
      <c r="C10" s="69" t="s">
        <v>383</v>
      </c>
      <c r="D10" s="41" t="s">
        <v>388</v>
      </c>
      <c r="E10" s="17" t="s">
        <v>561</v>
      </c>
      <c r="F10" s="17">
        <v>85</v>
      </c>
      <c r="G10" s="17">
        <v>16.5</v>
      </c>
      <c r="H10" s="17">
        <v>0.15</v>
      </c>
      <c r="I10" s="42">
        <v>8.1999999999999993</v>
      </c>
      <c r="J10" s="17">
        <v>75</v>
      </c>
      <c r="K10" s="17">
        <v>10.3</v>
      </c>
      <c r="L10" s="17">
        <v>15.4</v>
      </c>
      <c r="M10" s="17">
        <v>3.79</v>
      </c>
      <c r="N10" s="17">
        <v>350</v>
      </c>
      <c r="O10" s="77">
        <f>AVERAGE(10,100)</f>
        <v>55</v>
      </c>
      <c r="P10" s="74" t="s">
        <v>392</v>
      </c>
      <c r="Q10" s="17">
        <v>0</v>
      </c>
      <c r="R10" s="41"/>
    </row>
    <row r="11" spans="1:18" customFormat="1" x14ac:dyDescent="0.3">
      <c r="A11" s="19">
        <v>44544</v>
      </c>
      <c r="B11" s="37">
        <v>0.54166666666666663</v>
      </c>
      <c r="C11" s="78" t="s">
        <v>375</v>
      </c>
      <c r="D11" s="69" t="s">
        <v>367</v>
      </c>
      <c r="E11" s="17" t="s">
        <v>555</v>
      </c>
      <c r="F11" s="17">
        <v>50</v>
      </c>
      <c r="G11" s="17">
        <v>18.5</v>
      </c>
      <c r="H11" s="17">
        <v>0.2</v>
      </c>
      <c r="I11" s="42">
        <v>7.94</v>
      </c>
      <c r="J11" s="17">
        <v>62.6</v>
      </c>
      <c r="K11" s="17">
        <v>7.1</v>
      </c>
      <c r="L11" s="17">
        <v>10.4</v>
      </c>
      <c r="M11" s="17">
        <v>3.26</v>
      </c>
      <c r="N11" s="17">
        <v>450</v>
      </c>
      <c r="O11" s="17">
        <f>AVERAGE(30,60)</f>
        <v>45</v>
      </c>
      <c r="P11" s="74" t="s">
        <v>370</v>
      </c>
      <c r="Q11" s="17">
        <v>1</v>
      </c>
      <c r="R11" s="41" t="s">
        <v>373</v>
      </c>
    </row>
    <row r="12" spans="1:18" customFormat="1" x14ac:dyDescent="0.3">
      <c r="A12" s="19">
        <v>44544</v>
      </c>
      <c r="B12" s="37">
        <v>0.45277777777777778</v>
      </c>
      <c r="C12" s="69" t="s">
        <v>384</v>
      </c>
      <c r="D12" s="41" t="s">
        <v>389</v>
      </c>
      <c r="E12" s="17" t="s">
        <v>562</v>
      </c>
      <c r="F12" s="17">
        <v>20</v>
      </c>
      <c r="G12" s="17">
        <v>19</v>
      </c>
      <c r="H12" s="17">
        <v>0.3</v>
      </c>
      <c r="I12" s="42">
        <v>8.14</v>
      </c>
      <c r="J12" s="17">
        <v>60.4</v>
      </c>
      <c r="K12" s="17">
        <v>7</v>
      </c>
      <c r="L12" s="17">
        <v>13.6</v>
      </c>
      <c r="M12" s="17">
        <v>1.55</v>
      </c>
      <c r="N12" s="17">
        <v>600</v>
      </c>
      <c r="O12" s="77">
        <f>AVERAGE(50,80)</f>
        <v>65</v>
      </c>
      <c r="P12" s="74" t="s">
        <v>393</v>
      </c>
      <c r="Q12" s="17">
        <v>5</v>
      </c>
      <c r="R12" s="41" t="s">
        <v>395</v>
      </c>
    </row>
    <row r="13" spans="1:18" customFormat="1" x14ac:dyDescent="0.3">
      <c r="A13" s="19">
        <v>44545</v>
      </c>
      <c r="B13" s="37">
        <v>0.35416666666666669</v>
      </c>
      <c r="C13" s="78" t="s">
        <v>366</v>
      </c>
      <c r="D13" s="41" t="s">
        <v>368</v>
      </c>
      <c r="E13" s="17" t="s">
        <v>556</v>
      </c>
      <c r="F13" s="17">
        <v>50</v>
      </c>
      <c r="G13" s="17">
        <v>15.9</v>
      </c>
      <c r="H13" s="17">
        <v>0.1</v>
      </c>
      <c r="I13" s="42">
        <v>7.99</v>
      </c>
      <c r="J13" s="17">
        <v>51.6</v>
      </c>
      <c r="K13" s="17">
        <v>10.8</v>
      </c>
      <c r="L13" s="17">
        <v>17.8</v>
      </c>
      <c r="M13" s="17">
        <v>1.98</v>
      </c>
      <c r="N13" s="17">
        <v>250</v>
      </c>
      <c r="O13" s="77">
        <v>20</v>
      </c>
      <c r="P13" s="74" t="s">
        <v>371</v>
      </c>
      <c r="Q13" s="17">
        <v>1</v>
      </c>
      <c r="R13" s="41"/>
    </row>
    <row r="14" spans="1:18" customFormat="1" x14ac:dyDescent="0.3">
      <c r="A14" s="19">
        <v>44546</v>
      </c>
      <c r="B14" s="37">
        <v>0.48958333333333331</v>
      </c>
      <c r="C14" s="69" t="s">
        <v>479</v>
      </c>
      <c r="D14" s="41" t="s">
        <v>369</v>
      </c>
      <c r="E14" s="17" t="s">
        <v>565</v>
      </c>
      <c r="F14" s="17">
        <v>50</v>
      </c>
      <c r="G14" s="17">
        <v>17.100000000000001</v>
      </c>
      <c r="H14" s="17">
        <v>0.2</v>
      </c>
      <c r="I14" s="42">
        <v>8.7799999999999994</v>
      </c>
      <c r="J14" s="17">
        <v>58.2</v>
      </c>
      <c r="K14" s="17">
        <v>15.1</v>
      </c>
      <c r="L14" s="17">
        <v>20.9</v>
      </c>
      <c r="M14" s="17">
        <v>4.37</v>
      </c>
      <c r="N14" s="17">
        <v>400</v>
      </c>
      <c r="O14" s="77">
        <f>AVERAGE(5,40)</f>
        <v>22.5</v>
      </c>
      <c r="P14" s="74" t="s">
        <v>372</v>
      </c>
      <c r="Q14" s="17" t="s">
        <v>798</v>
      </c>
      <c r="R14" s="41" t="s">
        <v>374</v>
      </c>
    </row>
    <row r="15" spans="1:18" customFormat="1" x14ac:dyDescent="0.3">
      <c r="A15" s="19">
        <v>44624</v>
      </c>
      <c r="B15" s="17" t="s">
        <v>52</v>
      </c>
      <c r="C15" s="1" t="s">
        <v>533</v>
      </c>
      <c r="D15" s="41" t="s">
        <v>534</v>
      </c>
      <c r="E15" s="17" t="s">
        <v>605</v>
      </c>
      <c r="F15" s="17" t="s">
        <v>52</v>
      </c>
      <c r="G15" s="17" t="s">
        <v>52</v>
      </c>
      <c r="H15" s="17" t="s">
        <v>52</v>
      </c>
      <c r="I15" s="17" t="s">
        <v>52</v>
      </c>
      <c r="J15" s="17" t="s">
        <v>52</v>
      </c>
      <c r="K15" s="17" t="s">
        <v>52</v>
      </c>
      <c r="L15" s="17" t="s">
        <v>52</v>
      </c>
      <c r="M15" s="17" t="s">
        <v>52</v>
      </c>
      <c r="N15" s="17" t="s">
        <v>52</v>
      </c>
      <c r="O15" s="17" t="s">
        <v>52</v>
      </c>
      <c r="P15" s="17" t="s">
        <v>52</v>
      </c>
      <c r="Q15" s="17">
        <v>4</v>
      </c>
      <c r="R15" s="17" t="s">
        <v>525</v>
      </c>
    </row>
    <row r="16" spans="1:18" customFormat="1" x14ac:dyDescent="0.3">
      <c r="A16" s="19">
        <v>44628</v>
      </c>
      <c r="B16" s="17" t="s">
        <v>52</v>
      </c>
      <c r="C16" s="1" t="s">
        <v>528</v>
      </c>
      <c r="D16" s="41" t="s">
        <v>526</v>
      </c>
      <c r="E16" s="17" t="s">
        <v>604</v>
      </c>
      <c r="F16" s="17" t="s">
        <v>52</v>
      </c>
      <c r="G16" s="17" t="s">
        <v>52</v>
      </c>
      <c r="H16" s="17" t="s">
        <v>52</v>
      </c>
      <c r="I16" s="17" t="s">
        <v>52</v>
      </c>
      <c r="J16" s="17" t="s">
        <v>52</v>
      </c>
      <c r="K16" s="17" t="s">
        <v>52</v>
      </c>
      <c r="L16" s="17" t="s">
        <v>52</v>
      </c>
      <c r="M16" s="17" t="s">
        <v>52</v>
      </c>
      <c r="N16" s="17" t="s">
        <v>52</v>
      </c>
      <c r="O16" s="17" t="s">
        <v>52</v>
      </c>
      <c r="P16" s="17" t="s">
        <v>52</v>
      </c>
      <c r="Q16" s="17">
        <v>1</v>
      </c>
      <c r="R16" s="17" t="s">
        <v>525</v>
      </c>
    </row>
    <row r="17" spans="1:18" customFormat="1" x14ac:dyDescent="0.3">
      <c r="A17" s="19">
        <v>44628</v>
      </c>
      <c r="B17" s="17" t="s">
        <v>52</v>
      </c>
      <c r="C17" s="1" t="s">
        <v>529</v>
      </c>
      <c r="D17" s="41" t="s">
        <v>530</v>
      </c>
      <c r="E17" s="17" t="s">
        <v>606</v>
      </c>
      <c r="F17" s="17" t="s">
        <v>52</v>
      </c>
      <c r="G17" s="17" t="s">
        <v>52</v>
      </c>
      <c r="H17" s="17" t="s">
        <v>52</v>
      </c>
      <c r="I17" s="17" t="s">
        <v>52</v>
      </c>
      <c r="J17" s="17" t="s">
        <v>52</v>
      </c>
      <c r="K17" s="17" t="s">
        <v>52</v>
      </c>
      <c r="L17" s="17" t="s">
        <v>52</v>
      </c>
      <c r="M17" s="17" t="s">
        <v>52</v>
      </c>
      <c r="N17" s="17" t="s">
        <v>52</v>
      </c>
      <c r="O17" s="17" t="s">
        <v>52</v>
      </c>
      <c r="P17" s="17" t="s">
        <v>52</v>
      </c>
      <c r="Q17" s="17">
        <v>1</v>
      </c>
      <c r="R17" s="17" t="s">
        <v>525</v>
      </c>
    </row>
    <row r="18" spans="1:18" customFormat="1" x14ac:dyDescent="0.3">
      <c r="A18" s="19">
        <v>44632</v>
      </c>
      <c r="B18" s="37">
        <v>0.56666666666666665</v>
      </c>
      <c r="C18" s="69" t="s">
        <v>473</v>
      </c>
      <c r="D18" s="41" t="s">
        <v>480</v>
      </c>
      <c r="E18" s="17" t="s">
        <v>564</v>
      </c>
      <c r="F18" s="17">
        <v>40</v>
      </c>
      <c r="G18" s="17">
        <v>13.3</v>
      </c>
      <c r="H18" s="17">
        <v>0.1</v>
      </c>
      <c r="I18" s="42">
        <v>6.25</v>
      </c>
      <c r="J18" s="17">
        <v>62.8</v>
      </c>
      <c r="K18" s="17">
        <v>12</v>
      </c>
      <c r="L18" s="17">
        <v>17.3</v>
      </c>
      <c r="M18" s="79">
        <v>32.5</v>
      </c>
      <c r="N18" s="17">
        <v>300</v>
      </c>
      <c r="O18" s="17">
        <f>AVERAGE(34,10,35)</f>
        <v>26.333333333333332</v>
      </c>
      <c r="P18" s="74" t="s">
        <v>481</v>
      </c>
      <c r="Q18" s="17">
        <v>1</v>
      </c>
      <c r="R18" s="41" t="s">
        <v>602</v>
      </c>
    </row>
    <row r="19" spans="1:18" x14ac:dyDescent="0.3">
      <c r="A19" s="19">
        <v>44632</v>
      </c>
      <c r="B19" s="37">
        <v>0.63263888888888886</v>
      </c>
      <c r="C19" s="69" t="s">
        <v>474</v>
      </c>
      <c r="D19" s="41" t="s">
        <v>369</v>
      </c>
      <c r="E19" s="17" t="s">
        <v>563</v>
      </c>
      <c r="F19" s="17">
        <v>70</v>
      </c>
      <c r="G19" s="17">
        <v>13.7</v>
      </c>
      <c r="H19" s="17">
        <v>0</v>
      </c>
      <c r="I19" s="42">
        <v>6.3</v>
      </c>
      <c r="J19" s="17">
        <v>92.8</v>
      </c>
      <c r="K19" s="17">
        <v>18.899999999999999</v>
      </c>
      <c r="L19" s="17">
        <v>27.9</v>
      </c>
      <c r="M19" s="17">
        <v>10.199999999999999</v>
      </c>
      <c r="N19" s="17">
        <v>450</v>
      </c>
      <c r="O19" s="17">
        <f>AVERAGE(28,40,54)</f>
        <v>40.666666666666664</v>
      </c>
      <c r="P19" s="74" t="s">
        <v>371</v>
      </c>
      <c r="Q19" s="17">
        <v>1</v>
      </c>
      <c r="R19" s="41" t="s">
        <v>602</v>
      </c>
    </row>
    <row r="20" spans="1:18" x14ac:dyDescent="0.3">
      <c r="A20" s="19">
        <v>44633</v>
      </c>
      <c r="B20" s="37">
        <v>0.38541666666666669</v>
      </c>
      <c r="C20" s="69" t="s">
        <v>475</v>
      </c>
      <c r="D20" s="41" t="s">
        <v>478</v>
      </c>
      <c r="E20" s="17" t="s">
        <v>566</v>
      </c>
      <c r="F20" s="17">
        <v>5</v>
      </c>
      <c r="G20" s="17">
        <v>14.6</v>
      </c>
      <c r="H20" s="17">
        <v>0.2</v>
      </c>
      <c r="I20" s="42">
        <v>6.27</v>
      </c>
      <c r="J20" s="17">
        <v>91.3</v>
      </c>
      <c r="K20" s="17">
        <v>35.700000000000003</v>
      </c>
      <c r="L20" s="17">
        <v>49.7</v>
      </c>
      <c r="M20" s="17">
        <v>4.13</v>
      </c>
      <c r="N20" s="17">
        <v>450</v>
      </c>
      <c r="O20" s="17">
        <f>AVERAGE(25,50,22)</f>
        <v>32.333333333333336</v>
      </c>
      <c r="P20" s="74" t="s">
        <v>482</v>
      </c>
      <c r="Q20" s="77">
        <v>2</v>
      </c>
      <c r="R20" s="41"/>
    </row>
    <row r="21" spans="1:18" x14ac:dyDescent="0.3">
      <c r="A21" s="19">
        <v>44633</v>
      </c>
      <c r="B21" s="37">
        <v>0.61458333333333337</v>
      </c>
      <c r="C21" s="69" t="s">
        <v>508</v>
      </c>
      <c r="D21" s="41" t="s">
        <v>477</v>
      </c>
      <c r="E21" s="17" t="s">
        <v>567</v>
      </c>
      <c r="F21" s="17">
        <v>90</v>
      </c>
      <c r="G21" s="17">
        <v>11.6</v>
      </c>
      <c r="H21" s="17">
        <v>0.1</v>
      </c>
      <c r="I21" s="42">
        <v>5.61</v>
      </c>
      <c r="J21" s="17">
        <v>50.4</v>
      </c>
      <c r="K21" s="17">
        <v>11.9</v>
      </c>
      <c r="L21" s="17">
        <v>15.1</v>
      </c>
      <c r="M21" s="17">
        <v>2.98</v>
      </c>
      <c r="N21" s="17">
        <v>305</v>
      </c>
      <c r="O21" s="17">
        <f>AVERAGE(15,22)</f>
        <v>18.5</v>
      </c>
      <c r="P21" s="74" t="s">
        <v>483</v>
      </c>
      <c r="Q21" s="17">
        <v>0</v>
      </c>
      <c r="R21" s="41" t="s">
        <v>484</v>
      </c>
    </row>
    <row r="22" spans="1:18" x14ac:dyDescent="0.3">
      <c r="A22" s="19">
        <v>44634</v>
      </c>
      <c r="B22" s="37">
        <v>0.5625</v>
      </c>
      <c r="C22" s="69" t="s">
        <v>384</v>
      </c>
      <c r="D22" s="41" t="s">
        <v>389</v>
      </c>
      <c r="E22" s="17" t="s">
        <v>568</v>
      </c>
      <c r="F22" s="17">
        <v>45</v>
      </c>
      <c r="G22" s="17">
        <v>18.7</v>
      </c>
      <c r="H22" s="17">
        <v>0.2</v>
      </c>
      <c r="I22" s="42">
        <v>5.9</v>
      </c>
      <c r="J22" s="17">
        <v>52.6</v>
      </c>
      <c r="K22" s="17">
        <v>8.5</v>
      </c>
      <c r="L22" s="17">
        <v>12.8</v>
      </c>
      <c r="M22" s="17">
        <v>1.36</v>
      </c>
      <c r="N22" s="17">
        <v>530</v>
      </c>
      <c r="O22" s="17">
        <f>AVERAGE(30,47,50)</f>
        <v>42.333333333333336</v>
      </c>
      <c r="P22" s="74" t="s">
        <v>371</v>
      </c>
      <c r="Q22" s="17">
        <v>3</v>
      </c>
      <c r="R22" s="41"/>
    </row>
    <row r="23" spans="1:18" x14ac:dyDescent="0.3">
      <c r="A23" s="19">
        <v>44634</v>
      </c>
      <c r="B23" s="37">
        <v>0.66319444444444442</v>
      </c>
      <c r="C23" s="69" t="s">
        <v>375</v>
      </c>
      <c r="D23" s="69" t="s">
        <v>367</v>
      </c>
      <c r="E23" s="17" t="s">
        <v>570</v>
      </c>
      <c r="F23" s="17">
        <v>90</v>
      </c>
      <c r="G23" s="17">
        <v>17.600000000000001</v>
      </c>
      <c r="H23" s="17">
        <v>0.1</v>
      </c>
      <c r="I23" s="42">
        <v>5.76</v>
      </c>
      <c r="J23" s="17">
        <v>52.1</v>
      </c>
      <c r="K23" s="17">
        <v>10.5</v>
      </c>
      <c r="L23" s="17">
        <v>12.8</v>
      </c>
      <c r="M23" s="17">
        <v>1.21</v>
      </c>
      <c r="N23" s="17">
        <v>500</v>
      </c>
      <c r="O23" s="17">
        <f>AVERAGE(39,40,38)</f>
        <v>39</v>
      </c>
      <c r="P23" s="74" t="s">
        <v>485</v>
      </c>
      <c r="Q23" s="17">
        <v>2</v>
      </c>
      <c r="R23" s="41"/>
    </row>
    <row r="24" spans="1:18" x14ac:dyDescent="0.3">
      <c r="A24" s="19">
        <v>44634</v>
      </c>
      <c r="B24" s="37">
        <v>0.72916666666666663</v>
      </c>
      <c r="C24" s="69" t="s">
        <v>476</v>
      </c>
      <c r="D24" s="41" t="s">
        <v>386</v>
      </c>
      <c r="E24" s="17" t="s">
        <v>571</v>
      </c>
      <c r="F24" s="17">
        <v>30</v>
      </c>
      <c r="G24" s="17">
        <v>16.2</v>
      </c>
      <c r="H24" s="17">
        <v>0.1</v>
      </c>
      <c r="I24" s="42">
        <v>5.87</v>
      </c>
      <c r="J24" s="17">
        <v>49.1</v>
      </c>
      <c r="K24" s="17">
        <v>8.4</v>
      </c>
      <c r="L24" s="17">
        <v>12.8</v>
      </c>
      <c r="M24" s="17">
        <v>2.4700000000000002</v>
      </c>
      <c r="N24" s="17">
        <v>400</v>
      </c>
      <c r="O24" s="17">
        <f>AVERAGE(20,52,50)</f>
        <v>40.666666666666664</v>
      </c>
      <c r="P24" s="74" t="s">
        <v>486</v>
      </c>
      <c r="Q24" s="17">
        <v>4</v>
      </c>
      <c r="R24" s="41"/>
    </row>
    <row r="25" spans="1:18" x14ac:dyDescent="0.3">
      <c r="A25" s="19">
        <v>44635</v>
      </c>
      <c r="B25" s="37">
        <v>0.40972222222222227</v>
      </c>
      <c r="C25" s="69" t="s">
        <v>380</v>
      </c>
      <c r="D25" s="41" t="s">
        <v>385</v>
      </c>
      <c r="E25" s="17" t="s">
        <v>569</v>
      </c>
      <c r="F25" s="17">
        <v>85</v>
      </c>
      <c r="G25" s="17">
        <v>17.100000000000001</v>
      </c>
      <c r="H25" s="17">
        <v>0.1</v>
      </c>
      <c r="I25" s="42">
        <v>5.33</v>
      </c>
      <c r="J25" s="17">
        <v>43.1</v>
      </c>
      <c r="K25" s="17">
        <v>11.6</v>
      </c>
      <c r="L25" s="17">
        <v>17.100000000000001</v>
      </c>
      <c r="M25" s="17">
        <v>1.18</v>
      </c>
      <c r="N25" s="17">
        <v>250</v>
      </c>
      <c r="O25" s="17">
        <f>AVERAGE(26,10,24)</f>
        <v>20</v>
      </c>
      <c r="P25" s="74" t="s">
        <v>487</v>
      </c>
      <c r="Q25" s="17" t="s">
        <v>488</v>
      </c>
      <c r="R25" s="41"/>
    </row>
    <row r="26" spans="1:18" x14ac:dyDescent="0.3">
      <c r="A26" s="19">
        <v>44688</v>
      </c>
      <c r="B26" s="38">
        <v>0.6875</v>
      </c>
      <c r="C26" s="69" t="s">
        <v>475</v>
      </c>
      <c r="D26" s="41" t="s">
        <v>478</v>
      </c>
      <c r="E26" s="17" t="s">
        <v>574</v>
      </c>
      <c r="F26" s="17">
        <v>50</v>
      </c>
      <c r="G26" s="43">
        <v>24</v>
      </c>
      <c r="H26" s="17">
        <v>0.1</v>
      </c>
      <c r="I26" s="42">
        <v>6.3</v>
      </c>
      <c r="J26" s="43">
        <v>105</v>
      </c>
      <c r="K26" s="17">
        <v>33.4</v>
      </c>
      <c r="L26" s="17">
        <v>47.7</v>
      </c>
      <c r="M26" s="17">
        <v>2.61</v>
      </c>
      <c r="N26" s="17">
        <v>450</v>
      </c>
      <c r="O26" s="17">
        <f>AVERAGE(25,50,22)</f>
        <v>32.333333333333336</v>
      </c>
      <c r="P26" s="17" t="s">
        <v>510</v>
      </c>
      <c r="Q26" s="17">
        <v>1</v>
      </c>
      <c r="R26" s="17"/>
    </row>
    <row r="27" spans="1:18" x14ac:dyDescent="0.3">
      <c r="A27" s="19">
        <v>44689</v>
      </c>
      <c r="B27" s="38">
        <v>0.3923611111111111</v>
      </c>
      <c r="C27" s="69" t="s">
        <v>503</v>
      </c>
      <c r="D27" s="41" t="s">
        <v>506</v>
      </c>
      <c r="E27" s="17" t="s">
        <v>575</v>
      </c>
      <c r="F27" s="17">
        <v>85</v>
      </c>
      <c r="G27" s="17">
        <v>20.8</v>
      </c>
      <c r="H27" s="17">
        <v>0.1</v>
      </c>
      <c r="I27" s="42">
        <v>6.34</v>
      </c>
      <c r="J27" s="43">
        <v>81.099999999999994</v>
      </c>
      <c r="K27" s="17">
        <v>19.8</v>
      </c>
      <c r="L27" s="17">
        <v>28.1</v>
      </c>
      <c r="M27" s="17">
        <v>3.11</v>
      </c>
      <c r="N27" s="17">
        <v>250</v>
      </c>
      <c r="O27" s="77">
        <v>20</v>
      </c>
      <c r="P27" s="17" t="s">
        <v>511</v>
      </c>
      <c r="Q27" s="17">
        <v>0</v>
      </c>
      <c r="R27" s="17"/>
    </row>
    <row r="28" spans="1:18" x14ac:dyDescent="0.3">
      <c r="A28" s="19">
        <v>44689</v>
      </c>
      <c r="B28" s="38">
        <v>0.5625</v>
      </c>
      <c r="C28" s="69" t="s">
        <v>508</v>
      </c>
      <c r="D28" s="41" t="s">
        <v>477</v>
      </c>
      <c r="E28" s="17" t="s">
        <v>576</v>
      </c>
      <c r="F28" s="17">
        <v>85</v>
      </c>
      <c r="G28" s="17">
        <v>20.2</v>
      </c>
      <c r="H28" s="17">
        <v>0.1</v>
      </c>
      <c r="I28" s="42">
        <v>5.31</v>
      </c>
      <c r="J28" s="43">
        <v>100.3</v>
      </c>
      <c r="K28" s="43">
        <v>10</v>
      </c>
      <c r="L28" s="17">
        <v>16.399999999999999</v>
      </c>
      <c r="M28" s="17">
        <v>3.6</v>
      </c>
      <c r="N28" s="17">
        <v>305</v>
      </c>
      <c r="O28" s="17">
        <f>AVERAGE(15,41,20)</f>
        <v>25.333333333333332</v>
      </c>
      <c r="P28" s="17"/>
      <c r="Q28" s="17">
        <v>0</v>
      </c>
      <c r="R28" s="17"/>
    </row>
    <row r="29" spans="1:18" x14ac:dyDescent="0.3">
      <c r="A29" s="19">
        <v>44690</v>
      </c>
      <c r="B29" s="38">
        <v>0.47916666666666669</v>
      </c>
      <c r="C29" s="69" t="s">
        <v>505</v>
      </c>
      <c r="D29" s="41" t="s">
        <v>509</v>
      </c>
      <c r="E29" s="17" t="s">
        <v>578</v>
      </c>
      <c r="F29" s="17">
        <v>15</v>
      </c>
      <c r="G29" s="17">
        <v>23.3</v>
      </c>
      <c r="H29" s="17">
        <v>0.1</v>
      </c>
      <c r="I29" s="42">
        <v>7.06</v>
      </c>
      <c r="J29" s="43">
        <v>97.8</v>
      </c>
      <c r="K29" s="17">
        <v>87.5</v>
      </c>
      <c r="L29" s="17">
        <v>126.5</v>
      </c>
      <c r="M29" s="17">
        <v>1.71</v>
      </c>
      <c r="N29" s="17">
        <v>215</v>
      </c>
      <c r="O29" s="17">
        <f>AVERAGE(14,15,10)</f>
        <v>13</v>
      </c>
      <c r="P29" s="17"/>
      <c r="Q29" s="17">
        <v>2</v>
      </c>
      <c r="R29" s="17" t="s">
        <v>502</v>
      </c>
    </row>
    <row r="30" spans="1:18" x14ac:dyDescent="0.3">
      <c r="A30" s="19">
        <v>44691</v>
      </c>
      <c r="B30" s="38">
        <v>0.4548611111111111</v>
      </c>
      <c r="C30" s="69" t="s">
        <v>504</v>
      </c>
      <c r="D30" s="41" t="s">
        <v>507</v>
      </c>
      <c r="E30" s="17" t="s">
        <v>579</v>
      </c>
      <c r="F30" s="17">
        <v>80</v>
      </c>
      <c r="G30" s="17">
        <v>17.3</v>
      </c>
      <c r="H30" s="17">
        <v>0.1</v>
      </c>
      <c r="I30" s="42">
        <v>5.45</v>
      </c>
      <c r="J30" s="43">
        <v>109.5</v>
      </c>
      <c r="K30" s="17">
        <v>5.4</v>
      </c>
      <c r="L30" s="17">
        <v>7.9</v>
      </c>
      <c r="M30" s="17">
        <v>5.16</v>
      </c>
      <c r="N30" s="17">
        <v>250</v>
      </c>
      <c r="O30" s="17">
        <f>AVERAGE(20,50)</f>
        <v>35</v>
      </c>
      <c r="P30" s="17" t="s">
        <v>512</v>
      </c>
      <c r="Q30" s="17">
        <v>2</v>
      </c>
      <c r="R30" s="17" t="s">
        <v>502</v>
      </c>
    </row>
    <row r="31" spans="1:18" x14ac:dyDescent="0.3">
      <c r="A31" s="19">
        <v>44692</v>
      </c>
      <c r="B31" s="38">
        <v>0.53472222222222221</v>
      </c>
      <c r="C31" s="1" t="s">
        <v>595</v>
      </c>
      <c r="D31" s="41" t="s">
        <v>596</v>
      </c>
      <c r="E31" s="17" t="s">
        <v>594</v>
      </c>
      <c r="F31" s="17">
        <v>95</v>
      </c>
      <c r="G31" s="17">
        <v>20.2</v>
      </c>
      <c r="H31" s="17">
        <v>0.1</v>
      </c>
      <c r="I31" s="42">
        <v>5.24</v>
      </c>
      <c r="J31" s="43">
        <v>90.4</v>
      </c>
      <c r="K31" s="17">
        <v>10.1</v>
      </c>
      <c r="L31" s="17">
        <v>12.4</v>
      </c>
      <c r="M31" s="17" t="s">
        <v>52</v>
      </c>
      <c r="N31" s="17">
        <f>AVERAGE(77,88,60)</f>
        <v>75</v>
      </c>
      <c r="O31" s="17">
        <f>AVERAGE(15,7,17)</f>
        <v>13</v>
      </c>
      <c r="P31" s="17" t="s">
        <v>597</v>
      </c>
      <c r="Q31" s="17">
        <v>1</v>
      </c>
      <c r="R31" s="17"/>
    </row>
    <row r="32" spans="1:18" x14ac:dyDescent="0.3">
      <c r="A32" s="19">
        <v>44693</v>
      </c>
      <c r="B32" s="38">
        <v>0.60069444444444442</v>
      </c>
      <c r="C32" s="69" t="s">
        <v>384</v>
      </c>
      <c r="D32" s="41" t="s">
        <v>389</v>
      </c>
      <c r="E32" s="17" t="s">
        <v>577</v>
      </c>
      <c r="F32" s="17">
        <v>15</v>
      </c>
      <c r="G32" s="17">
        <v>22.7</v>
      </c>
      <c r="H32" s="17">
        <v>0.1</v>
      </c>
      <c r="I32" s="42">
        <v>4.9800000000000004</v>
      </c>
      <c r="J32" s="43">
        <v>107.8</v>
      </c>
      <c r="K32" s="17">
        <v>7.3</v>
      </c>
      <c r="L32" s="17">
        <v>10.4</v>
      </c>
      <c r="M32" s="17">
        <v>1.39</v>
      </c>
      <c r="N32" s="17">
        <v>600</v>
      </c>
      <c r="O32" s="77">
        <f>AVERAGE(50,80)</f>
        <v>65</v>
      </c>
      <c r="P32" s="17"/>
      <c r="Q32" s="17">
        <v>0</v>
      </c>
      <c r="R32" s="17"/>
    </row>
    <row r="33" spans="1:18" x14ac:dyDescent="0.3">
      <c r="A33" s="19">
        <v>44694</v>
      </c>
      <c r="B33" s="38">
        <v>0.4291666666666667</v>
      </c>
      <c r="C33" s="69" t="s">
        <v>523</v>
      </c>
      <c r="D33" s="41" t="s">
        <v>521</v>
      </c>
      <c r="E33" s="17" t="s">
        <v>580</v>
      </c>
      <c r="F33" s="17">
        <v>4</v>
      </c>
      <c r="G33" s="17">
        <v>20.9</v>
      </c>
      <c r="H33" s="17">
        <v>0.1</v>
      </c>
      <c r="I33" s="42">
        <v>5.23</v>
      </c>
      <c r="J33" s="43">
        <v>104.7</v>
      </c>
      <c r="K33" s="17">
        <v>12.3</v>
      </c>
      <c r="L33" s="17">
        <v>17.2</v>
      </c>
      <c r="M33" s="17">
        <v>2.82</v>
      </c>
      <c r="N33" s="17">
        <f>AVERAGE(255, 195, 185)</f>
        <v>211.66666666666666</v>
      </c>
      <c r="O33" s="17">
        <f>AVERAGE(11,19,7)</f>
        <v>12.333333333333334</v>
      </c>
      <c r="P33" s="17" t="s">
        <v>524</v>
      </c>
      <c r="Q33" s="17">
        <v>2</v>
      </c>
      <c r="R33" s="17"/>
    </row>
    <row r="34" spans="1:18" x14ac:dyDescent="0.3">
      <c r="A34" s="19">
        <v>44695</v>
      </c>
      <c r="B34" s="38">
        <v>0.33680555555555558</v>
      </c>
      <c r="C34" s="1" t="s">
        <v>598</v>
      </c>
      <c r="D34" s="41" t="s">
        <v>599</v>
      </c>
      <c r="E34" s="17" t="s">
        <v>600</v>
      </c>
      <c r="F34" s="17">
        <v>98</v>
      </c>
      <c r="G34" s="17">
        <v>20.3</v>
      </c>
      <c r="H34" s="17">
        <v>0.1</v>
      </c>
      <c r="I34" s="42">
        <v>5.0599999999999996</v>
      </c>
      <c r="J34" s="43">
        <v>96.6</v>
      </c>
      <c r="K34" s="17">
        <v>6.5</v>
      </c>
      <c r="L34" s="17">
        <v>10</v>
      </c>
      <c r="M34" s="17" t="s">
        <v>52</v>
      </c>
      <c r="N34" s="17">
        <f>AVERAGE(115, 168, 180)</f>
        <v>154.33333333333334</v>
      </c>
      <c r="O34" s="17">
        <f>AVERAGE(28,12,11)</f>
        <v>17</v>
      </c>
      <c r="P34" s="17" t="s">
        <v>601</v>
      </c>
      <c r="Q34" s="17">
        <v>2</v>
      </c>
      <c r="R34" s="17"/>
    </row>
    <row r="35" spans="1:18" x14ac:dyDescent="0.3">
      <c r="A35" s="19">
        <v>44698</v>
      </c>
      <c r="B35" s="38">
        <v>0.47916666666666669</v>
      </c>
      <c r="C35" s="69" t="s">
        <v>499</v>
      </c>
      <c r="D35" s="41" t="s">
        <v>500</v>
      </c>
      <c r="E35" s="17" t="s">
        <v>572</v>
      </c>
      <c r="F35" s="17">
        <v>65</v>
      </c>
      <c r="G35" s="17">
        <v>22</v>
      </c>
      <c r="H35" s="17">
        <v>0.1</v>
      </c>
      <c r="I35" s="42">
        <v>6.04</v>
      </c>
      <c r="J35" s="43">
        <v>101</v>
      </c>
      <c r="K35" s="17">
        <v>11.6</v>
      </c>
      <c r="L35" s="17">
        <v>19.100000000000001</v>
      </c>
      <c r="M35" s="17" t="s">
        <v>52</v>
      </c>
      <c r="N35" s="17">
        <v>450</v>
      </c>
      <c r="O35" s="17">
        <f>AVERAGE(45,30,50)</f>
        <v>41.666666666666664</v>
      </c>
      <c r="P35" s="17"/>
      <c r="Q35" s="17">
        <v>1</v>
      </c>
      <c r="R35" s="17" t="s">
        <v>502</v>
      </c>
    </row>
    <row r="36" spans="1:18" x14ac:dyDescent="0.3">
      <c r="A36" s="19">
        <v>44699</v>
      </c>
      <c r="B36" s="38">
        <v>0.625</v>
      </c>
      <c r="C36" s="41" t="s">
        <v>522</v>
      </c>
      <c r="D36" s="41" t="s">
        <v>520</v>
      </c>
      <c r="E36" s="17" t="s">
        <v>581</v>
      </c>
      <c r="F36" s="17">
        <v>7</v>
      </c>
      <c r="G36" s="17">
        <v>22.7</v>
      </c>
      <c r="H36" s="17">
        <v>0.1</v>
      </c>
      <c r="I36" s="42">
        <v>5.39</v>
      </c>
      <c r="J36" s="43">
        <v>110.9</v>
      </c>
      <c r="K36" s="17">
        <v>7.4</v>
      </c>
      <c r="L36" s="17">
        <v>11.8</v>
      </c>
      <c r="M36" s="17">
        <v>0.54</v>
      </c>
      <c r="N36" s="17">
        <v>1200</v>
      </c>
      <c r="O36" s="17">
        <f>AVERAGE(41,8,11)</f>
        <v>20</v>
      </c>
      <c r="P36" s="17" t="s">
        <v>518</v>
      </c>
      <c r="Q36" s="17">
        <v>6</v>
      </c>
      <c r="R36" s="17" t="s">
        <v>519</v>
      </c>
    </row>
    <row r="37" spans="1:18" x14ac:dyDescent="0.3">
      <c r="A37" s="19">
        <v>44701</v>
      </c>
      <c r="B37" s="38">
        <v>0.4465277777777778</v>
      </c>
      <c r="C37" s="69" t="s">
        <v>473</v>
      </c>
      <c r="D37" s="41" t="s">
        <v>480</v>
      </c>
      <c r="E37" s="17" t="s">
        <v>573</v>
      </c>
      <c r="F37" s="17">
        <v>70</v>
      </c>
      <c r="G37" s="17">
        <v>22.5</v>
      </c>
      <c r="H37" s="17">
        <v>0.1</v>
      </c>
      <c r="I37" s="42">
        <v>6.16</v>
      </c>
      <c r="J37" s="43">
        <v>87.7</v>
      </c>
      <c r="K37" s="17">
        <v>16.8</v>
      </c>
      <c r="L37" s="17">
        <v>23.3</v>
      </c>
      <c r="M37" s="17" t="s">
        <v>52</v>
      </c>
      <c r="N37" s="17">
        <v>300</v>
      </c>
      <c r="O37" s="17">
        <f>AVERAGE(34,10,35)</f>
        <v>26.333333333333332</v>
      </c>
      <c r="P37" s="17" t="s">
        <v>501</v>
      </c>
      <c r="Q37" s="17">
        <v>4</v>
      </c>
      <c r="R37" s="17" t="s">
        <v>602</v>
      </c>
    </row>
    <row r="38" spans="1:18" x14ac:dyDescent="0.3">
      <c r="A38" s="19">
        <v>44996</v>
      </c>
      <c r="B38" s="38">
        <v>0.4145833333333333</v>
      </c>
      <c r="C38" s="69" t="s">
        <v>474</v>
      </c>
      <c r="D38" s="41" t="s">
        <v>369</v>
      </c>
      <c r="E38" s="17" t="s">
        <v>624</v>
      </c>
      <c r="F38" s="17">
        <v>75</v>
      </c>
      <c r="G38" s="17">
        <v>17.899999999999999</v>
      </c>
      <c r="H38" s="17">
        <v>0.1</v>
      </c>
      <c r="I38" s="42">
        <v>6.38</v>
      </c>
      <c r="J38" s="43">
        <v>89.3</v>
      </c>
      <c r="K38" s="17">
        <v>14.2</v>
      </c>
      <c r="L38" s="17">
        <v>20.3</v>
      </c>
      <c r="M38" s="17">
        <v>12.2</v>
      </c>
      <c r="N38" s="17">
        <v>185</v>
      </c>
      <c r="O38" s="17">
        <v>15</v>
      </c>
      <c r="P38" s="17" t="s">
        <v>625</v>
      </c>
      <c r="Q38" s="17">
        <v>0</v>
      </c>
      <c r="R38" s="17" t="s">
        <v>626</v>
      </c>
    </row>
    <row r="39" spans="1:18" x14ac:dyDescent="0.3">
      <c r="A39" s="19">
        <v>44996</v>
      </c>
      <c r="B39" s="38">
        <v>0.50208333333333333</v>
      </c>
      <c r="C39" s="69" t="s">
        <v>473</v>
      </c>
      <c r="D39" s="41" t="s">
        <v>480</v>
      </c>
      <c r="E39" s="17" t="s">
        <v>623</v>
      </c>
      <c r="F39" s="17">
        <v>60</v>
      </c>
      <c r="G39" s="17">
        <v>18.5</v>
      </c>
      <c r="H39" s="17">
        <v>0</v>
      </c>
      <c r="I39" s="42">
        <v>5.66</v>
      </c>
      <c r="J39" s="43">
        <v>84</v>
      </c>
      <c r="K39" s="17">
        <v>16</v>
      </c>
      <c r="L39" s="17">
        <v>23</v>
      </c>
      <c r="M39" s="17">
        <v>6.52</v>
      </c>
      <c r="N39" s="17">
        <v>475</v>
      </c>
      <c r="O39" s="17">
        <v>20</v>
      </c>
      <c r="P39" s="17" t="s">
        <v>625</v>
      </c>
      <c r="Q39" s="17">
        <v>0</v>
      </c>
      <c r="R39" s="17" t="s">
        <v>626</v>
      </c>
    </row>
    <row r="40" spans="1:18" x14ac:dyDescent="0.3">
      <c r="A40" s="19">
        <v>44996</v>
      </c>
      <c r="B40" s="38">
        <v>0.69791666666666663</v>
      </c>
      <c r="C40" t="s">
        <v>475</v>
      </c>
      <c r="D40" s="41" t="s">
        <v>478</v>
      </c>
      <c r="E40" s="17" t="s">
        <v>627</v>
      </c>
      <c r="F40" s="17">
        <v>65</v>
      </c>
      <c r="G40" s="17">
        <v>20.2</v>
      </c>
      <c r="H40" s="17">
        <v>0.1</v>
      </c>
      <c r="I40" s="42">
        <v>6.02</v>
      </c>
      <c r="J40" s="43">
        <v>99.6</v>
      </c>
      <c r="K40" s="17">
        <v>32.9</v>
      </c>
      <c r="L40" s="17">
        <v>47.5</v>
      </c>
      <c r="M40" s="17">
        <v>2.9</v>
      </c>
      <c r="N40" s="17">
        <v>450</v>
      </c>
      <c r="O40" s="17">
        <v>32</v>
      </c>
      <c r="P40" s="17" t="s">
        <v>628</v>
      </c>
      <c r="Q40" s="17">
        <v>0</v>
      </c>
      <c r="R40" s="17" t="s">
        <v>632</v>
      </c>
    </row>
    <row r="41" spans="1:18" x14ac:dyDescent="0.3">
      <c r="A41" s="19">
        <v>44997</v>
      </c>
      <c r="B41" s="38">
        <v>0.39930555555555558</v>
      </c>
      <c r="C41" s="1" t="s">
        <v>503</v>
      </c>
      <c r="D41" s="41" t="s">
        <v>506</v>
      </c>
      <c r="E41" s="17" t="s">
        <v>629</v>
      </c>
      <c r="F41" s="17">
        <v>80</v>
      </c>
      <c r="G41" s="17">
        <v>19.600000000000001</v>
      </c>
      <c r="H41" s="17">
        <v>0.1</v>
      </c>
      <c r="I41" s="42">
        <v>6.37</v>
      </c>
      <c r="J41" s="43">
        <v>89</v>
      </c>
      <c r="K41" s="17">
        <v>15.1</v>
      </c>
      <c r="L41" s="17">
        <v>25</v>
      </c>
      <c r="M41" s="17">
        <v>5.12</v>
      </c>
      <c r="N41" s="17">
        <v>250</v>
      </c>
      <c r="O41" s="17">
        <v>20</v>
      </c>
      <c r="P41" s="17" t="s">
        <v>630</v>
      </c>
      <c r="Q41" s="17">
        <v>0</v>
      </c>
      <c r="R41" s="17" t="s">
        <v>631</v>
      </c>
    </row>
    <row r="42" spans="1:18" x14ac:dyDescent="0.3">
      <c r="A42" s="19">
        <v>44997</v>
      </c>
      <c r="B42" s="38">
        <v>0.50347222222222221</v>
      </c>
      <c r="C42" s="1" t="s">
        <v>633</v>
      </c>
      <c r="D42" s="41" t="s">
        <v>634</v>
      </c>
      <c r="E42" s="17" t="s">
        <v>635</v>
      </c>
      <c r="F42" s="17">
        <v>0</v>
      </c>
      <c r="G42" s="17">
        <v>19.3</v>
      </c>
      <c r="H42" s="17">
        <v>0.1</v>
      </c>
      <c r="I42" s="42">
        <v>5.5</v>
      </c>
      <c r="J42" s="43">
        <v>91</v>
      </c>
      <c r="K42" s="17">
        <v>11</v>
      </c>
      <c r="L42" s="17">
        <v>18.899999999999999</v>
      </c>
      <c r="M42" s="17">
        <v>3.14</v>
      </c>
      <c r="N42" s="17">
        <v>2000</v>
      </c>
      <c r="O42" s="17">
        <v>35</v>
      </c>
      <c r="P42" s="17" t="s">
        <v>636</v>
      </c>
      <c r="Q42" s="17">
        <v>2</v>
      </c>
      <c r="R42" s="17" t="s">
        <v>637</v>
      </c>
    </row>
    <row r="43" spans="1:18" x14ac:dyDescent="0.3">
      <c r="A43" s="19">
        <v>44998</v>
      </c>
      <c r="B43" s="38">
        <v>0.34375</v>
      </c>
      <c r="C43" s="69" t="s">
        <v>384</v>
      </c>
      <c r="D43" s="41" t="s">
        <v>389</v>
      </c>
      <c r="E43" s="17" t="s">
        <v>638</v>
      </c>
      <c r="F43" s="17">
        <v>30</v>
      </c>
      <c r="G43" s="17">
        <v>17.5</v>
      </c>
      <c r="H43" s="17">
        <v>0.1</v>
      </c>
      <c r="I43" s="42">
        <v>5.27</v>
      </c>
      <c r="J43" s="43">
        <v>86</v>
      </c>
      <c r="K43" s="17">
        <v>8.1999999999999993</v>
      </c>
      <c r="L43" s="17">
        <v>9.1999999999999993</v>
      </c>
      <c r="M43" s="17">
        <v>2.42</v>
      </c>
      <c r="N43" s="17">
        <v>400</v>
      </c>
      <c r="O43" s="17">
        <v>21</v>
      </c>
      <c r="P43" s="17" t="s">
        <v>639</v>
      </c>
      <c r="Q43" s="17">
        <v>5</v>
      </c>
      <c r="R43" s="17" t="s">
        <v>519</v>
      </c>
    </row>
    <row r="44" spans="1:18" x14ac:dyDescent="0.3">
      <c r="A44" s="19">
        <v>44998</v>
      </c>
      <c r="B44" s="38">
        <v>0.42638888888888887</v>
      </c>
      <c r="C44" s="41" t="s">
        <v>522</v>
      </c>
      <c r="D44" s="41" t="s">
        <v>520</v>
      </c>
      <c r="E44" s="17" t="s">
        <v>640</v>
      </c>
      <c r="F44" s="17">
        <v>80</v>
      </c>
      <c r="G44" s="17">
        <v>18.899999999999999</v>
      </c>
      <c r="H44" s="17">
        <v>0.1</v>
      </c>
      <c r="I44" s="42">
        <v>5.35</v>
      </c>
      <c r="J44" s="43">
        <v>95</v>
      </c>
      <c r="K44" s="17">
        <v>10</v>
      </c>
      <c r="L44" s="17">
        <v>16.7</v>
      </c>
      <c r="M44" s="17">
        <v>2.62</v>
      </c>
      <c r="N44" s="17">
        <v>1200</v>
      </c>
      <c r="O44" s="17">
        <v>20</v>
      </c>
      <c r="P44" s="17" t="s">
        <v>641</v>
      </c>
      <c r="Q44" s="17">
        <v>6</v>
      </c>
      <c r="R44" s="17" t="s">
        <v>642</v>
      </c>
    </row>
    <row r="45" spans="1:18" x14ac:dyDescent="0.3">
      <c r="A45" s="19">
        <v>44998</v>
      </c>
      <c r="B45" s="38">
        <v>0.55208333333333337</v>
      </c>
      <c r="C45" s="1" t="s">
        <v>661</v>
      </c>
      <c r="D45" s="41" t="s">
        <v>662</v>
      </c>
      <c r="E45" s="17" t="s">
        <v>663</v>
      </c>
      <c r="F45" s="17">
        <v>75</v>
      </c>
      <c r="G45" s="17">
        <v>21.3</v>
      </c>
      <c r="H45" s="17">
        <v>0.1</v>
      </c>
      <c r="I45" s="42">
        <v>5.1100000000000003</v>
      </c>
      <c r="J45" s="43">
        <v>89.7</v>
      </c>
      <c r="K45" s="17">
        <v>9.1</v>
      </c>
      <c r="L45" s="17">
        <v>15.4</v>
      </c>
      <c r="M45" s="17">
        <v>1.45</v>
      </c>
      <c r="N45" s="17">
        <v>1000</v>
      </c>
      <c r="O45" s="17">
        <v>5</v>
      </c>
      <c r="P45" s="17" t="s">
        <v>664</v>
      </c>
      <c r="Q45" s="17">
        <v>1</v>
      </c>
      <c r="R45" s="17"/>
    </row>
    <row r="46" spans="1:18" x14ac:dyDescent="0.3">
      <c r="A46" s="19">
        <v>44998</v>
      </c>
      <c r="B46" s="38">
        <v>0.64236111111111105</v>
      </c>
      <c r="C46" s="1" t="s">
        <v>665</v>
      </c>
      <c r="D46" s="41" t="s">
        <v>667</v>
      </c>
      <c r="E46" s="17" t="s">
        <v>666</v>
      </c>
      <c r="F46" s="17">
        <v>75</v>
      </c>
      <c r="G46" s="17">
        <v>21.7</v>
      </c>
      <c r="H46" s="17">
        <v>0.1</v>
      </c>
      <c r="I46" s="42">
        <v>4.97</v>
      </c>
      <c r="J46" s="43">
        <v>95.7</v>
      </c>
      <c r="K46" s="17">
        <v>10.7</v>
      </c>
      <c r="L46" s="17">
        <v>15.4</v>
      </c>
      <c r="M46" s="17">
        <v>3.83</v>
      </c>
      <c r="N46" s="17">
        <v>1000</v>
      </c>
      <c r="O46" s="17">
        <v>5</v>
      </c>
      <c r="P46" s="17" t="s">
        <v>664</v>
      </c>
      <c r="Q46" s="17">
        <v>0</v>
      </c>
      <c r="R46" s="17"/>
    </row>
    <row r="47" spans="1:18" x14ac:dyDescent="0.3">
      <c r="A47" s="19">
        <v>44999</v>
      </c>
      <c r="B47" s="38">
        <v>0.4236111111111111</v>
      </c>
      <c r="C47" s="1" t="s">
        <v>644</v>
      </c>
      <c r="D47" s="41" t="s">
        <v>643</v>
      </c>
      <c r="E47" s="17" t="s">
        <v>645</v>
      </c>
      <c r="F47" s="17">
        <v>60</v>
      </c>
      <c r="G47" s="17">
        <v>15.3</v>
      </c>
      <c r="H47" s="17">
        <v>0.1</v>
      </c>
      <c r="I47" s="42">
        <v>5.63</v>
      </c>
      <c r="J47" s="43">
        <v>97.4</v>
      </c>
      <c r="K47" s="17">
        <v>10.6</v>
      </c>
      <c r="L47" s="17">
        <v>15.9</v>
      </c>
      <c r="M47" s="17">
        <v>5.45</v>
      </c>
      <c r="N47" s="17">
        <v>395</v>
      </c>
      <c r="O47" s="17">
        <v>14</v>
      </c>
      <c r="P47" s="17" t="s">
        <v>646</v>
      </c>
      <c r="Q47" s="17">
        <v>1</v>
      </c>
      <c r="R47" s="17" t="s">
        <v>647</v>
      </c>
    </row>
    <row r="48" spans="1:18" x14ac:dyDescent="0.3">
      <c r="A48" s="19">
        <v>44999</v>
      </c>
      <c r="B48" s="38">
        <v>0.66736111111111107</v>
      </c>
      <c r="C48" s="69" t="s">
        <v>523</v>
      </c>
      <c r="D48" s="41" t="s">
        <v>521</v>
      </c>
      <c r="E48" s="17" t="s">
        <v>648</v>
      </c>
      <c r="F48" s="17">
        <v>55</v>
      </c>
      <c r="G48" s="17">
        <v>17.2</v>
      </c>
      <c r="H48" s="17">
        <v>0.1</v>
      </c>
      <c r="I48" s="42">
        <v>5.17</v>
      </c>
      <c r="J48" s="43">
        <v>93.6</v>
      </c>
      <c r="K48" s="17">
        <v>10.4</v>
      </c>
      <c r="L48" s="17">
        <v>14.7</v>
      </c>
      <c r="M48" s="17">
        <v>3.76</v>
      </c>
      <c r="N48" s="17">
        <v>200</v>
      </c>
      <c r="O48" s="17">
        <v>12</v>
      </c>
      <c r="P48" s="17" t="s">
        <v>650</v>
      </c>
      <c r="Q48" s="17">
        <v>2</v>
      </c>
      <c r="R48" s="17" t="s">
        <v>649</v>
      </c>
    </row>
    <row r="49" spans="1:18" x14ac:dyDescent="0.3">
      <c r="A49" s="19">
        <v>45000</v>
      </c>
      <c r="B49" s="38">
        <v>0.39583333333333331</v>
      </c>
      <c r="C49" s="69" t="s">
        <v>505</v>
      </c>
      <c r="D49" s="41" t="s">
        <v>509</v>
      </c>
      <c r="E49" s="17" t="s">
        <v>651</v>
      </c>
      <c r="F49" s="17">
        <v>10</v>
      </c>
      <c r="G49" s="17">
        <v>15.6</v>
      </c>
      <c r="H49" s="17">
        <v>0.1</v>
      </c>
      <c r="I49" s="42">
        <v>7.43</v>
      </c>
      <c r="J49" s="43">
        <v>89.9</v>
      </c>
      <c r="K49" s="17">
        <v>89.6</v>
      </c>
      <c r="L49" s="17">
        <v>130.19999999999999</v>
      </c>
      <c r="M49" s="17">
        <v>2.84</v>
      </c>
      <c r="N49" s="17">
        <v>110</v>
      </c>
      <c r="O49" s="17">
        <v>13</v>
      </c>
      <c r="P49" s="17" t="s">
        <v>652</v>
      </c>
      <c r="Q49" s="17">
        <v>1</v>
      </c>
      <c r="R49" s="17"/>
    </row>
    <row r="50" spans="1:18" x14ac:dyDescent="0.3">
      <c r="A50" s="19">
        <v>45001</v>
      </c>
      <c r="B50" s="38">
        <v>0.36458333333333331</v>
      </c>
      <c r="C50" s="1" t="s">
        <v>598</v>
      </c>
      <c r="D50" s="41" t="s">
        <v>599</v>
      </c>
      <c r="E50" s="17" t="s">
        <v>658</v>
      </c>
      <c r="F50" s="17">
        <v>90</v>
      </c>
      <c r="G50" s="17">
        <v>15.5</v>
      </c>
      <c r="H50" s="17">
        <v>0.1</v>
      </c>
      <c r="I50" s="42">
        <v>5.5</v>
      </c>
      <c r="J50" s="43">
        <v>95.7</v>
      </c>
      <c r="K50" s="17">
        <v>6.1</v>
      </c>
      <c r="L50" s="17">
        <v>8.6999999999999993</v>
      </c>
      <c r="M50" s="17">
        <v>5.66</v>
      </c>
      <c r="N50" s="17">
        <v>150</v>
      </c>
      <c r="O50" s="17">
        <v>9</v>
      </c>
      <c r="P50" s="17" t="s">
        <v>659</v>
      </c>
      <c r="Q50" s="17">
        <v>1</v>
      </c>
      <c r="R50" s="17" t="s">
        <v>660</v>
      </c>
    </row>
    <row r="51" spans="1:18" x14ac:dyDescent="0.3">
      <c r="A51" s="19">
        <v>45002</v>
      </c>
      <c r="B51" s="38">
        <v>0.32291666666666669</v>
      </c>
      <c r="C51" s="1" t="s">
        <v>653</v>
      </c>
      <c r="D51" s="41" t="s">
        <v>654</v>
      </c>
      <c r="E51" s="17" t="s">
        <v>655</v>
      </c>
      <c r="F51" s="17">
        <v>60</v>
      </c>
      <c r="G51" s="17">
        <v>13.9</v>
      </c>
      <c r="H51" s="17">
        <v>0.1</v>
      </c>
      <c r="I51" s="42">
        <v>6.77</v>
      </c>
      <c r="J51" s="43">
        <v>96.3</v>
      </c>
      <c r="K51" s="17">
        <v>17.5</v>
      </c>
      <c r="L51" s="17">
        <v>25.4</v>
      </c>
      <c r="M51" s="17">
        <v>7.04</v>
      </c>
      <c r="N51" s="17">
        <v>450</v>
      </c>
      <c r="O51" s="17">
        <v>23</v>
      </c>
      <c r="P51" s="17" t="s">
        <v>656</v>
      </c>
      <c r="Q51" s="17">
        <v>0</v>
      </c>
      <c r="R51" s="17" t="s">
        <v>657</v>
      </c>
    </row>
    <row r="52" spans="1:18" x14ac:dyDescent="0.3">
      <c r="A52" s="19">
        <v>45039</v>
      </c>
      <c r="B52" s="38">
        <v>0.45416666666666666</v>
      </c>
      <c r="C52" s="69" t="s">
        <v>475</v>
      </c>
      <c r="D52" s="41" t="s">
        <v>478</v>
      </c>
      <c r="E52" s="17" t="s">
        <v>683</v>
      </c>
      <c r="F52" s="17">
        <v>60</v>
      </c>
      <c r="G52" s="17">
        <v>19.2</v>
      </c>
      <c r="H52" s="17">
        <v>0.1</v>
      </c>
      <c r="I52" s="42">
        <v>6.82</v>
      </c>
      <c r="J52" s="43">
        <v>95.3</v>
      </c>
      <c r="K52" s="17">
        <v>31.8</v>
      </c>
      <c r="L52" s="17">
        <v>47.8</v>
      </c>
      <c r="M52" s="17">
        <v>9.7100000000000009</v>
      </c>
      <c r="N52" s="17">
        <v>450</v>
      </c>
      <c r="O52" s="17">
        <f>AVERAGE(25, 50, 22)</f>
        <v>32.333333333333336</v>
      </c>
      <c r="P52" s="74" t="s">
        <v>482</v>
      </c>
      <c r="Q52" s="17">
        <v>0</v>
      </c>
      <c r="R52" s="17"/>
    </row>
    <row r="53" spans="1:18" x14ac:dyDescent="0.3">
      <c r="A53" s="19">
        <v>45041</v>
      </c>
      <c r="B53" s="38">
        <v>0.42708333333333331</v>
      </c>
      <c r="C53" s="69" t="s">
        <v>384</v>
      </c>
      <c r="D53" s="41" t="s">
        <v>389</v>
      </c>
      <c r="E53" s="17" t="s">
        <v>680</v>
      </c>
      <c r="F53" s="17">
        <v>35</v>
      </c>
      <c r="G53" s="17">
        <v>18.8</v>
      </c>
      <c r="H53" s="17">
        <v>0.1</v>
      </c>
      <c r="I53" s="42">
        <v>4.24</v>
      </c>
      <c r="J53" s="43">
        <v>100</v>
      </c>
      <c r="K53" s="17">
        <v>7</v>
      </c>
      <c r="L53" s="17">
        <v>10.8</v>
      </c>
      <c r="M53" s="17"/>
      <c r="N53" s="17">
        <v>400</v>
      </c>
      <c r="O53" s="17">
        <v>21</v>
      </c>
      <c r="P53" s="17" t="s">
        <v>639</v>
      </c>
      <c r="Q53" s="17">
        <v>0</v>
      </c>
      <c r="R53" s="17"/>
    </row>
    <row r="54" spans="1:18" x14ac:dyDescent="0.3">
      <c r="A54" s="19">
        <v>45042</v>
      </c>
      <c r="B54" s="38">
        <v>0.39583333333333331</v>
      </c>
      <c r="C54" s="1" t="s">
        <v>644</v>
      </c>
      <c r="D54" s="41" t="s">
        <v>643</v>
      </c>
      <c r="E54" s="17" t="s">
        <v>681</v>
      </c>
      <c r="F54" s="17">
        <v>90</v>
      </c>
      <c r="G54" s="17">
        <v>19.600000000000001</v>
      </c>
      <c r="H54" s="17">
        <v>0.1</v>
      </c>
      <c r="I54" s="42">
        <v>6.4</v>
      </c>
      <c r="J54" s="43">
        <v>93.3</v>
      </c>
      <c r="K54" s="17">
        <v>11.9</v>
      </c>
      <c r="L54" s="17">
        <v>18.2</v>
      </c>
      <c r="M54" s="17"/>
      <c r="N54" s="17">
        <v>395</v>
      </c>
      <c r="O54" s="17">
        <v>14</v>
      </c>
      <c r="P54" s="17" t="s">
        <v>646</v>
      </c>
      <c r="Q54" s="17">
        <v>0</v>
      </c>
      <c r="R54" s="17"/>
    </row>
    <row r="55" spans="1:18" x14ac:dyDescent="0.3">
      <c r="A55" s="19">
        <v>45044</v>
      </c>
      <c r="B55" s="38">
        <v>0.52083333333333337</v>
      </c>
      <c r="C55" s="69" t="s">
        <v>505</v>
      </c>
      <c r="D55" s="41" t="s">
        <v>509</v>
      </c>
      <c r="E55" s="17" t="s">
        <v>682</v>
      </c>
      <c r="F55" s="17">
        <v>65</v>
      </c>
      <c r="G55" s="17">
        <v>21.8</v>
      </c>
      <c r="H55" s="17">
        <v>0.1</v>
      </c>
      <c r="I55" s="42">
        <v>7.3</v>
      </c>
      <c r="J55" s="43">
        <v>81.099999999999994</v>
      </c>
      <c r="K55" s="17">
        <v>90.8</v>
      </c>
      <c r="L55" s="17">
        <v>132.30000000000001</v>
      </c>
      <c r="M55" s="17"/>
      <c r="N55" s="17">
        <v>110</v>
      </c>
      <c r="O55" s="17">
        <v>13</v>
      </c>
      <c r="P55" s="17" t="s">
        <v>652</v>
      </c>
      <c r="Q55" s="17">
        <v>0</v>
      </c>
      <c r="R55" s="17"/>
    </row>
    <row r="56" spans="1:18" x14ac:dyDescent="0.3">
      <c r="A56" s="19">
        <v>45040</v>
      </c>
      <c r="B56" s="38">
        <v>0.625</v>
      </c>
      <c r="C56" s="1" t="s">
        <v>800</v>
      </c>
      <c r="D56" s="41" t="s">
        <v>801</v>
      </c>
      <c r="E56" s="17" t="s">
        <v>809</v>
      </c>
      <c r="F56" s="17">
        <v>80</v>
      </c>
      <c r="G56" s="17">
        <v>19.8</v>
      </c>
      <c r="H56" s="17">
        <v>0.1</v>
      </c>
      <c r="I56" s="42">
        <v>4.3600000000000003</v>
      </c>
      <c r="J56" s="43">
        <v>88.3</v>
      </c>
      <c r="K56" s="17">
        <v>9.1</v>
      </c>
      <c r="L56" s="17">
        <v>13.8</v>
      </c>
      <c r="M56" s="17">
        <v>0.86</v>
      </c>
      <c r="N56" s="17">
        <v>72</v>
      </c>
      <c r="O56" s="17">
        <f>AVERAGE(27, 6, 10, 11, 8)</f>
        <v>12.4</v>
      </c>
      <c r="P56" s="17"/>
      <c r="Q56" s="17">
        <v>1</v>
      </c>
      <c r="R56" s="17"/>
    </row>
    <row r="57" spans="1:18" x14ac:dyDescent="0.3">
      <c r="A57" s="19">
        <v>45047</v>
      </c>
      <c r="B57" s="38">
        <v>0.59652777777777777</v>
      </c>
      <c r="C57" s="1" t="s">
        <v>803</v>
      </c>
      <c r="D57" s="41" t="s">
        <v>521</v>
      </c>
      <c r="E57" s="17" t="s">
        <v>810</v>
      </c>
      <c r="F57" s="17">
        <v>80</v>
      </c>
      <c r="G57" s="17">
        <v>21.2</v>
      </c>
      <c r="H57" s="17">
        <v>0.1</v>
      </c>
      <c r="I57" s="80">
        <v>3.85</v>
      </c>
      <c r="J57" s="43">
        <v>88.2</v>
      </c>
      <c r="K57" s="17">
        <v>11.4</v>
      </c>
      <c r="L57" s="17">
        <v>17</v>
      </c>
      <c r="M57" s="17">
        <v>1.99</v>
      </c>
      <c r="N57" s="17">
        <v>200</v>
      </c>
      <c r="O57" s="17">
        <f>AVERAGE(10, 11, 15, 12)</f>
        <v>12</v>
      </c>
      <c r="P57" s="17" t="s">
        <v>806</v>
      </c>
      <c r="Q57" s="17">
        <v>2</v>
      </c>
      <c r="R57" s="17"/>
    </row>
    <row r="58" spans="1:18" x14ac:dyDescent="0.3">
      <c r="A58" s="19">
        <v>45057</v>
      </c>
      <c r="B58" s="38">
        <v>0.44791666666666669</v>
      </c>
      <c r="C58" s="1" t="s">
        <v>804</v>
      </c>
      <c r="D58" s="41" t="s">
        <v>805</v>
      </c>
      <c r="E58" s="17" t="s">
        <v>811</v>
      </c>
      <c r="F58" s="17">
        <v>98</v>
      </c>
      <c r="G58" s="17">
        <v>21.5</v>
      </c>
      <c r="H58" s="17">
        <v>0.1</v>
      </c>
      <c r="I58" s="42">
        <v>4.91</v>
      </c>
      <c r="J58" s="43">
        <v>85.7</v>
      </c>
      <c r="K58" s="17">
        <v>7.1</v>
      </c>
      <c r="L58" s="17">
        <v>11.2</v>
      </c>
      <c r="M58" s="17">
        <v>2.83</v>
      </c>
      <c r="N58" s="17">
        <f>AVERAGE(110, 120, 115, 183, 133)</f>
        <v>132.19999999999999</v>
      </c>
      <c r="O58" s="17">
        <f>AVERAGE(8, 8, 8, 9, 5)</f>
        <v>7.6</v>
      </c>
      <c r="P58" s="17" t="s">
        <v>807</v>
      </c>
      <c r="Q58" s="17">
        <v>1</v>
      </c>
      <c r="R58" s="17"/>
    </row>
    <row r="59" spans="1:18" x14ac:dyDescent="0.3">
      <c r="A59" s="19">
        <v>45059</v>
      </c>
      <c r="B59" s="38">
        <v>0.50208333333333333</v>
      </c>
      <c r="C59" s="41" t="s">
        <v>522</v>
      </c>
      <c r="D59" s="41" t="s">
        <v>520</v>
      </c>
      <c r="E59" s="17" t="s">
        <v>812</v>
      </c>
      <c r="F59" s="17">
        <v>80</v>
      </c>
      <c r="G59" s="17">
        <v>21.5</v>
      </c>
      <c r="H59" s="17">
        <v>0.1</v>
      </c>
      <c r="I59" s="42"/>
      <c r="J59" s="43">
        <v>66.2</v>
      </c>
      <c r="K59" s="17">
        <v>9.9</v>
      </c>
      <c r="L59" s="17">
        <v>14.1</v>
      </c>
      <c r="M59" s="17">
        <v>2</v>
      </c>
      <c r="N59" s="17">
        <f>AVERAGE(900, 900, 700, 600, 750)</f>
        <v>770</v>
      </c>
      <c r="O59" s="17">
        <f>AVERAGE(20, 23, 36, 24)</f>
        <v>25.75</v>
      </c>
      <c r="P59" s="17" t="s">
        <v>808</v>
      </c>
      <c r="Q59" s="17">
        <v>1</v>
      </c>
      <c r="R59" s="17"/>
    </row>
    <row r="60" spans="1:18" x14ac:dyDescent="0.3">
      <c r="A60" s="3"/>
      <c r="B60" s="17"/>
      <c r="C60" s="1"/>
      <c r="D60" s="41"/>
      <c r="E60" s="17"/>
      <c r="F60" s="17"/>
      <c r="G60" s="17"/>
      <c r="H60" s="17"/>
      <c r="I60" s="42"/>
      <c r="J60" s="43"/>
      <c r="K60" s="17"/>
      <c r="L60" s="17"/>
      <c r="M60" s="17"/>
      <c r="N60" s="17"/>
      <c r="O60" s="17"/>
      <c r="P60" s="17"/>
      <c r="Q60" s="17"/>
      <c r="R60" s="17"/>
    </row>
    <row r="61" spans="1:18" x14ac:dyDescent="0.3">
      <c r="A61" s="3"/>
      <c r="B61" s="17"/>
      <c r="C61" s="1"/>
      <c r="D61" s="41"/>
      <c r="E61" s="17"/>
      <c r="F61" s="17"/>
      <c r="G61" s="17"/>
      <c r="H61" s="17"/>
      <c r="I61" s="42"/>
      <c r="J61" s="43"/>
      <c r="K61" s="17"/>
      <c r="L61" s="17"/>
      <c r="M61" s="17"/>
      <c r="N61" s="17"/>
      <c r="O61" s="17"/>
      <c r="P61" s="17"/>
      <c r="Q61" s="17"/>
      <c r="R61" s="17"/>
    </row>
    <row r="62" spans="1:18" x14ac:dyDescent="0.3">
      <c r="A62" s="3"/>
      <c r="B62" s="17"/>
      <c r="C62" s="1"/>
      <c r="D62" s="41"/>
      <c r="E62" s="17"/>
      <c r="F62" s="17"/>
      <c r="G62" s="17"/>
      <c r="H62" s="17"/>
      <c r="I62" s="42"/>
      <c r="J62" s="43"/>
      <c r="K62" s="17"/>
      <c r="L62" s="17"/>
      <c r="M62" s="17"/>
      <c r="N62" s="17"/>
      <c r="O62" s="17"/>
      <c r="P62" s="17"/>
      <c r="Q62" s="17"/>
      <c r="R62" s="17"/>
    </row>
    <row r="63" spans="1:18" x14ac:dyDescent="0.3">
      <c r="A63" s="3"/>
      <c r="B63" s="17"/>
      <c r="C63" s="1"/>
      <c r="D63" s="41"/>
      <c r="E63" s="17"/>
      <c r="F63" s="17"/>
      <c r="G63" s="17"/>
      <c r="H63" s="17"/>
      <c r="I63" s="42"/>
      <c r="J63" s="43"/>
      <c r="K63" s="17"/>
      <c r="L63" s="17"/>
      <c r="M63" s="17"/>
      <c r="N63" s="17"/>
      <c r="O63" s="17"/>
      <c r="P63" s="17"/>
      <c r="Q63" s="17"/>
      <c r="R63" s="17"/>
    </row>
    <row r="64" spans="1:18" x14ac:dyDescent="0.3">
      <c r="A64" s="3"/>
      <c r="B64" s="17"/>
      <c r="C64" s="1"/>
      <c r="D64" s="41"/>
      <c r="E64" s="17"/>
      <c r="F64" s="17"/>
      <c r="G64" s="17"/>
      <c r="H64" s="17"/>
      <c r="I64" s="42"/>
      <c r="J64" s="43"/>
      <c r="K64" s="17"/>
      <c r="L64" s="17"/>
      <c r="M64" s="17"/>
      <c r="N64" s="17"/>
      <c r="O64" s="17"/>
      <c r="P64" s="17"/>
      <c r="Q64" s="17"/>
      <c r="R64" s="17"/>
    </row>
    <row r="65" spans="1:18" x14ac:dyDescent="0.3">
      <c r="A65" s="3"/>
      <c r="B65" s="17"/>
      <c r="C65" s="1"/>
      <c r="D65" s="41"/>
      <c r="E65" s="17"/>
      <c r="F65" s="17"/>
      <c r="G65" s="17"/>
      <c r="H65" s="17"/>
      <c r="I65" s="42"/>
      <c r="J65" s="43"/>
      <c r="K65" s="17"/>
      <c r="L65" s="17"/>
      <c r="M65" s="17"/>
      <c r="N65" s="17"/>
      <c r="O65" s="17"/>
      <c r="P65" s="17"/>
      <c r="Q65" s="17"/>
      <c r="R65" s="17"/>
    </row>
    <row r="66" spans="1:18" x14ac:dyDescent="0.3">
      <c r="A66" s="3"/>
      <c r="B66" s="17"/>
      <c r="C66" s="1"/>
      <c r="D66" s="41"/>
      <c r="E66" s="17"/>
      <c r="F66" s="17"/>
      <c r="G66" s="17"/>
      <c r="H66" s="17"/>
      <c r="I66" s="42"/>
      <c r="J66" s="43"/>
      <c r="K66" s="17"/>
      <c r="L66" s="17"/>
      <c r="M66" s="17"/>
      <c r="N66" s="17"/>
      <c r="O66" s="17"/>
      <c r="P66" s="17"/>
      <c r="Q66" s="17"/>
      <c r="R66" s="17"/>
    </row>
    <row r="67" spans="1:18" x14ac:dyDescent="0.3">
      <c r="A67" s="3"/>
      <c r="B67" s="17"/>
      <c r="C67" s="1"/>
      <c r="D67" s="41"/>
      <c r="E67" s="17"/>
      <c r="F67" s="17"/>
      <c r="G67" s="17"/>
      <c r="H67" s="17"/>
      <c r="I67" s="42"/>
      <c r="J67" s="43"/>
      <c r="K67" s="17"/>
      <c r="L67" s="17"/>
      <c r="M67" s="17"/>
      <c r="N67" s="17"/>
      <c r="O67" s="17"/>
      <c r="P67" s="17"/>
      <c r="Q67" s="17"/>
      <c r="R67" s="17"/>
    </row>
    <row r="68" spans="1:18" x14ac:dyDescent="0.3">
      <c r="A68" s="3"/>
      <c r="B68" s="17"/>
      <c r="C68" s="1"/>
      <c r="D68" s="41"/>
      <c r="E68" s="17"/>
      <c r="F68" s="17"/>
      <c r="G68" s="17"/>
      <c r="H68" s="17"/>
      <c r="I68" s="42"/>
      <c r="J68" s="43"/>
      <c r="K68" s="17"/>
      <c r="L68" s="17"/>
      <c r="M68" s="17"/>
      <c r="N68" s="17"/>
      <c r="O68" s="17"/>
      <c r="P68" s="17"/>
      <c r="Q68" s="17"/>
      <c r="R68" s="17"/>
    </row>
    <row r="69" spans="1:18" x14ac:dyDescent="0.3">
      <c r="A69" s="3"/>
      <c r="B69" s="17"/>
      <c r="C69" s="1"/>
      <c r="D69" s="41"/>
      <c r="E69" s="17"/>
      <c r="F69" s="17"/>
      <c r="G69" s="17"/>
      <c r="H69" s="17"/>
      <c r="I69" s="42"/>
      <c r="J69" s="43"/>
      <c r="K69" s="17"/>
      <c r="L69" s="17"/>
      <c r="M69" s="17"/>
      <c r="N69" s="17"/>
      <c r="O69" s="17"/>
      <c r="P69" s="17"/>
      <c r="Q69" s="17"/>
      <c r="R69" s="17"/>
    </row>
    <row r="70" spans="1:18" x14ac:dyDescent="0.3">
      <c r="A70" s="3"/>
      <c r="B70" s="17"/>
      <c r="C70" s="1"/>
      <c r="D70" s="41"/>
      <c r="E70" s="17"/>
      <c r="F70" s="17"/>
      <c r="G70" s="17"/>
      <c r="H70" s="17"/>
      <c r="I70" s="42"/>
      <c r="J70" s="43"/>
      <c r="K70" s="17"/>
      <c r="L70" s="17"/>
      <c r="M70" s="17"/>
      <c r="N70" s="17"/>
      <c r="O70" s="17"/>
      <c r="P70" s="17"/>
      <c r="Q70" s="17"/>
      <c r="R70" s="17"/>
    </row>
    <row r="71" spans="1:18" x14ac:dyDescent="0.3">
      <c r="A71" s="3"/>
      <c r="B71" s="17"/>
      <c r="C71" s="1"/>
      <c r="D71" s="41"/>
      <c r="E71" s="17"/>
      <c r="F71" s="17"/>
      <c r="G71" s="17"/>
      <c r="H71" s="17"/>
      <c r="I71" s="42"/>
      <c r="J71" s="43"/>
      <c r="K71" s="17"/>
      <c r="L71" s="17"/>
      <c r="M71" s="17"/>
      <c r="N71" s="17"/>
      <c r="O71" s="17"/>
      <c r="P71" s="17"/>
      <c r="Q71" s="17"/>
      <c r="R71" s="17"/>
    </row>
    <row r="72" spans="1:18" x14ac:dyDescent="0.3">
      <c r="A72" s="3"/>
      <c r="B72" s="17"/>
      <c r="C72" s="1"/>
      <c r="D72" s="41"/>
      <c r="E72" s="17"/>
      <c r="F72" s="17"/>
      <c r="G72" s="17"/>
      <c r="H72" s="17"/>
      <c r="I72" s="42"/>
      <c r="J72" s="43"/>
      <c r="K72" s="17"/>
      <c r="L72" s="17"/>
      <c r="M72" s="17"/>
      <c r="N72" s="17"/>
      <c r="O72" s="17"/>
      <c r="P72" s="17"/>
      <c r="Q72" s="17"/>
      <c r="R72" s="17"/>
    </row>
    <row r="73" spans="1:18" x14ac:dyDescent="0.3">
      <c r="A73" s="3"/>
      <c r="B73" s="17"/>
      <c r="C73" s="1"/>
      <c r="D73" s="41"/>
      <c r="E73" s="17"/>
      <c r="F73" s="17"/>
      <c r="G73" s="17"/>
      <c r="H73" s="17"/>
      <c r="I73" s="42"/>
      <c r="J73" s="43"/>
      <c r="K73" s="17"/>
      <c r="L73" s="17"/>
      <c r="M73" s="17"/>
      <c r="N73" s="17"/>
      <c r="O73" s="17"/>
      <c r="P73" s="17"/>
      <c r="Q73" s="17"/>
      <c r="R73" s="17"/>
    </row>
    <row r="74" spans="1:18" x14ac:dyDescent="0.3">
      <c r="A74" s="3"/>
      <c r="B74" s="17"/>
      <c r="C74" s="1"/>
      <c r="D74" s="41"/>
      <c r="E74" s="17"/>
      <c r="F74" s="17"/>
      <c r="G74" s="17"/>
      <c r="H74" s="17"/>
      <c r="I74" s="42"/>
      <c r="J74" s="43"/>
      <c r="K74" s="17"/>
      <c r="L74" s="17"/>
      <c r="M74" s="17"/>
      <c r="N74" s="17"/>
      <c r="O74" s="17"/>
      <c r="P74" s="17"/>
      <c r="Q74" s="17"/>
      <c r="R74" s="17"/>
    </row>
    <row r="75" spans="1:18" x14ac:dyDescent="0.3">
      <c r="A75" s="3"/>
      <c r="B75" s="17"/>
      <c r="C75" s="1"/>
      <c r="D75" s="41"/>
      <c r="E75" s="17"/>
      <c r="F75" s="17"/>
      <c r="G75" s="17"/>
      <c r="H75" s="17"/>
      <c r="I75" s="42"/>
      <c r="J75" s="43"/>
      <c r="K75" s="17"/>
      <c r="L75" s="17"/>
      <c r="M75" s="17"/>
      <c r="N75" s="17"/>
      <c r="O75" s="17"/>
      <c r="P75" s="17"/>
      <c r="Q75" s="17"/>
      <c r="R75" s="17"/>
    </row>
    <row r="76" spans="1:18" x14ac:dyDescent="0.3">
      <c r="A76" s="3"/>
      <c r="B76" s="17"/>
      <c r="C76" s="1"/>
      <c r="D76" s="41"/>
      <c r="E76" s="17"/>
      <c r="F76" s="17"/>
      <c r="G76" s="17"/>
      <c r="H76" s="17"/>
      <c r="I76" s="42"/>
      <c r="J76" s="43"/>
      <c r="K76" s="17"/>
      <c r="L76" s="17"/>
      <c r="M76" s="17"/>
      <c r="N76" s="17"/>
      <c r="O76" s="17"/>
      <c r="P76" s="17"/>
      <c r="Q76" s="17"/>
      <c r="R76" s="17"/>
    </row>
    <row r="77" spans="1:18" x14ac:dyDescent="0.3">
      <c r="A77" s="3"/>
      <c r="B77" s="17"/>
      <c r="C77" s="1"/>
      <c r="D77" s="41"/>
      <c r="E77" s="17"/>
      <c r="F77" s="17"/>
      <c r="G77" s="17"/>
      <c r="H77" s="17"/>
      <c r="I77" s="42"/>
      <c r="J77" s="43"/>
      <c r="K77" s="17"/>
      <c r="L77" s="17"/>
      <c r="M77" s="17"/>
      <c r="N77" s="17"/>
      <c r="O77" s="17"/>
      <c r="P77" s="17"/>
      <c r="Q77" s="17"/>
      <c r="R77" s="17"/>
    </row>
    <row r="78" spans="1:18" x14ac:dyDescent="0.3">
      <c r="A78" s="3"/>
      <c r="B78" s="17"/>
      <c r="C78" s="1"/>
      <c r="D78" s="41"/>
      <c r="E78" s="17"/>
      <c r="F78" s="17"/>
      <c r="G78" s="17"/>
      <c r="H78" s="17"/>
      <c r="I78" s="42"/>
      <c r="J78" s="43"/>
      <c r="K78" s="17"/>
      <c r="L78" s="17"/>
      <c r="M78" s="17"/>
      <c r="N78" s="17"/>
      <c r="O78" s="17"/>
      <c r="P78" s="17"/>
      <c r="Q78" s="17"/>
      <c r="R78" s="17"/>
    </row>
    <row r="79" spans="1:18" x14ac:dyDescent="0.3">
      <c r="A79" s="3"/>
      <c r="B79" s="17"/>
      <c r="C79" s="1"/>
      <c r="D79" s="41"/>
      <c r="E79" s="17"/>
      <c r="F79" s="17"/>
      <c r="G79" s="17"/>
      <c r="H79" s="17"/>
      <c r="I79" s="42"/>
      <c r="J79" s="43"/>
      <c r="K79" s="17"/>
      <c r="L79" s="17"/>
      <c r="M79" s="17"/>
      <c r="N79" s="17"/>
      <c r="O79" s="17"/>
      <c r="P79" s="17"/>
      <c r="Q79" s="17"/>
      <c r="R79" s="17"/>
    </row>
    <row r="80" spans="1:18" x14ac:dyDescent="0.3">
      <c r="A80" s="3"/>
      <c r="B80" s="17"/>
      <c r="C80" s="1"/>
      <c r="D80" s="41"/>
      <c r="E80" s="17"/>
      <c r="F80" s="17"/>
      <c r="G80" s="17"/>
      <c r="H80" s="17"/>
      <c r="I80" s="42"/>
      <c r="J80" s="43"/>
      <c r="K80" s="17"/>
      <c r="L80" s="17"/>
      <c r="M80" s="17"/>
      <c r="N80" s="17"/>
      <c r="O80" s="17"/>
      <c r="P80" s="17"/>
      <c r="Q80" s="17"/>
      <c r="R80" s="17"/>
    </row>
    <row r="81" spans="1:18" x14ac:dyDescent="0.3">
      <c r="A81" s="3"/>
      <c r="B81" s="17"/>
      <c r="C81" s="1"/>
      <c r="D81" s="41"/>
      <c r="E81" s="17"/>
      <c r="F81" s="17"/>
      <c r="G81" s="17"/>
      <c r="H81" s="17"/>
      <c r="I81" s="42"/>
      <c r="J81" s="43"/>
      <c r="K81" s="17"/>
      <c r="L81" s="17"/>
      <c r="M81" s="17"/>
      <c r="N81" s="17"/>
      <c r="O81" s="17"/>
      <c r="P81" s="17"/>
      <c r="Q81" s="17"/>
      <c r="R81" s="17"/>
    </row>
    <row r="82" spans="1:18" x14ac:dyDescent="0.3">
      <c r="A82" s="3"/>
      <c r="B82" s="17"/>
      <c r="C82" s="1"/>
      <c r="D82" s="41"/>
      <c r="E82" s="17"/>
      <c r="F82" s="17"/>
      <c r="G82" s="17"/>
      <c r="H82" s="17"/>
      <c r="I82" s="42"/>
      <c r="J82" s="43"/>
      <c r="K82" s="17"/>
      <c r="L82" s="17"/>
      <c r="M82" s="17"/>
      <c r="N82" s="17"/>
      <c r="O82" s="17"/>
      <c r="P82" s="17"/>
      <c r="Q82" s="17"/>
      <c r="R82" s="17"/>
    </row>
    <row r="83" spans="1:18" x14ac:dyDescent="0.3">
      <c r="A83" s="3"/>
      <c r="B83" s="17"/>
      <c r="C83" s="1"/>
      <c r="D83" s="41"/>
      <c r="E83" s="17"/>
      <c r="F83" s="17"/>
      <c r="G83" s="17"/>
      <c r="H83" s="17"/>
      <c r="I83" s="42"/>
      <c r="J83" s="43"/>
      <c r="K83" s="17"/>
      <c r="L83" s="17"/>
      <c r="M83" s="17"/>
      <c r="N83" s="17"/>
      <c r="O83" s="17"/>
      <c r="P83" s="17"/>
      <c r="Q83" s="17"/>
      <c r="R83" s="17"/>
    </row>
    <row r="84" spans="1:18" x14ac:dyDescent="0.3">
      <c r="A84" s="3"/>
      <c r="B84" s="17"/>
      <c r="C84" s="1"/>
      <c r="D84" s="41"/>
      <c r="E84" s="17"/>
      <c r="F84" s="17"/>
      <c r="G84" s="17"/>
      <c r="H84" s="17"/>
      <c r="I84" s="42"/>
      <c r="J84" s="43"/>
      <c r="K84" s="17"/>
      <c r="L84" s="17"/>
      <c r="M84" s="17"/>
      <c r="N84" s="17"/>
      <c r="O84" s="17"/>
      <c r="P84" s="17"/>
      <c r="Q84" s="17"/>
      <c r="R84" s="17"/>
    </row>
    <row r="85" spans="1:18" x14ac:dyDescent="0.3">
      <c r="A85" s="3"/>
      <c r="B85" s="17"/>
      <c r="C85" s="1"/>
      <c r="D85" s="41"/>
      <c r="E85" s="17"/>
      <c r="F85" s="17"/>
      <c r="G85" s="17"/>
      <c r="H85" s="17"/>
      <c r="I85" s="42"/>
      <c r="J85" s="43"/>
      <c r="K85" s="17"/>
      <c r="L85" s="17"/>
      <c r="M85" s="17"/>
      <c r="N85" s="17"/>
      <c r="O85" s="17"/>
      <c r="P85" s="17"/>
      <c r="Q85" s="17"/>
      <c r="R85" s="17"/>
    </row>
    <row r="86" spans="1:18" x14ac:dyDescent="0.3">
      <c r="A86" s="3"/>
      <c r="B86" s="17"/>
      <c r="C86" s="1"/>
      <c r="D86" s="41"/>
      <c r="E86" s="17"/>
      <c r="F86" s="17"/>
      <c r="G86" s="17"/>
      <c r="H86" s="17"/>
      <c r="I86" s="42"/>
      <c r="J86" s="43"/>
      <c r="K86" s="17"/>
      <c r="L86" s="17"/>
      <c r="M86" s="17"/>
      <c r="N86" s="17"/>
      <c r="O86" s="17"/>
      <c r="P86" s="17"/>
      <c r="Q86" s="17"/>
      <c r="R86" s="17"/>
    </row>
    <row r="87" spans="1:18" x14ac:dyDescent="0.3">
      <c r="A87" s="3"/>
      <c r="B87" s="17"/>
      <c r="C87" s="1"/>
      <c r="D87" s="41"/>
      <c r="E87" s="17"/>
      <c r="F87" s="17"/>
      <c r="G87" s="17"/>
      <c r="H87" s="17"/>
      <c r="I87" s="42"/>
      <c r="J87" s="43"/>
      <c r="K87" s="17"/>
      <c r="L87" s="17"/>
      <c r="M87" s="17"/>
      <c r="N87" s="17"/>
      <c r="O87" s="17"/>
      <c r="P87" s="17"/>
      <c r="Q87" s="17"/>
      <c r="R87" s="17"/>
    </row>
    <row r="88" spans="1:18" x14ac:dyDescent="0.3">
      <c r="A88" s="3"/>
      <c r="B88" s="17"/>
      <c r="C88" s="1"/>
      <c r="D88" s="41"/>
      <c r="E88" s="17"/>
      <c r="F88" s="17"/>
      <c r="G88" s="17"/>
      <c r="H88" s="17"/>
      <c r="I88" s="42"/>
      <c r="J88" s="43"/>
      <c r="K88" s="17"/>
      <c r="L88" s="17"/>
      <c r="M88" s="17"/>
      <c r="N88" s="17"/>
      <c r="O88" s="17"/>
      <c r="P88" s="17"/>
      <c r="Q88" s="17"/>
      <c r="R88" s="17"/>
    </row>
    <row r="89" spans="1:18" x14ac:dyDescent="0.3">
      <c r="A89" s="3"/>
      <c r="B89" s="17"/>
      <c r="C89" s="1"/>
      <c r="D89" s="41"/>
      <c r="E89" s="17"/>
      <c r="F89" s="17"/>
      <c r="G89" s="17"/>
      <c r="H89" s="17"/>
      <c r="I89" s="42"/>
      <c r="J89" s="43"/>
      <c r="K89" s="17"/>
      <c r="L89" s="17"/>
      <c r="M89" s="17"/>
      <c r="N89" s="17"/>
      <c r="O89" s="17"/>
      <c r="P89" s="17"/>
      <c r="Q89" s="17"/>
      <c r="R89" s="17"/>
    </row>
    <row r="90" spans="1:18" x14ac:dyDescent="0.3">
      <c r="A90" s="3"/>
      <c r="B90" s="17"/>
      <c r="C90" s="1"/>
      <c r="D90" s="41"/>
      <c r="E90" s="17"/>
      <c r="F90" s="17"/>
      <c r="G90" s="17"/>
      <c r="H90" s="17"/>
      <c r="I90" s="42"/>
      <c r="J90" s="43"/>
      <c r="K90" s="17"/>
      <c r="L90" s="17"/>
      <c r="M90" s="17"/>
      <c r="N90" s="17"/>
      <c r="O90" s="17"/>
      <c r="P90" s="17"/>
      <c r="Q90" s="17"/>
      <c r="R90" s="17"/>
    </row>
    <row r="91" spans="1:18" x14ac:dyDescent="0.3">
      <c r="A91" s="3"/>
      <c r="B91" s="17"/>
      <c r="C91" s="1"/>
      <c r="D91" s="41"/>
      <c r="E91" s="17"/>
      <c r="F91" s="17"/>
      <c r="G91" s="17"/>
      <c r="H91" s="17"/>
      <c r="I91" s="42"/>
      <c r="J91" s="43"/>
      <c r="K91" s="17"/>
      <c r="L91" s="17"/>
      <c r="M91" s="17"/>
      <c r="N91" s="17"/>
      <c r="O91" s="17"/>
      <c r="P91" s="17"/>
      <c r="Q91" s="17"/>
      <c r="R91" s="17"/>
    </row>
    <row r="92" spans="1:18" x14ac:dyDescent="0.3">
      <c r="A92" s="3"/>
      <c r="B92" s="17"/>
      <c r="C92" s="1"/>
      <c r="D92" s="41"/>
      <c r="E92" s="17"/>
      <c r="F92" s="17"/>
      <c r="G92" s="17"/>
      <c r="H92" s="17"/>
      <c r="I92" s="42"/>
      <c r="J92" s="43"/>
      <c r="K92" s="17"/>
      <c r="L92" s="17"/>
      <c r="M92" s="17"/>
      <c r="N92" s="17"/>
      <c r="O92" s="17"/>
      <c r="P92" s="17"/>
      <c r="Q92" s="17"/>
      <c r="R92" s="17"/>
    </row>
    <row r="93" spans="1:18" x14ac:dyDescent="0.3">
      <c r="A93" s="3"/>
      <c r="B93" s="17"/>
      <c r="C93" s="1"/>
      <c r="D93" s="41"/>
      <c r="E93" s="17"/>
      <c r="F93" s="17"/>
      <c r="G93" s="17"/>
      <c r="H93" s="17"/>
      <c r="I93" s="42"/>
      <c r="J93" s="43"/>
      <c r="K93" s="17"/>
      <c r="L93" s="17"/>
      <c r="M93" s="17"/>
      <c r="N93" s="17"/>
      <c r="O93" s="17"/>
      <c r="P93" s="17"/>
      <c r="Q93" s="17"/>
      <c r="R93" s="17"/>
    </row>
    <row r="94" spans="1:18" x14ac:dyDescent="0.3">
      <c r="A94" s="3"/>
      <c r="B94" s="17"/>
      <c r="C94" s="1"/>
      <c r="D94" s="41"/>
      <c r="E94" s="17"/>
      <c r="F94" s="17"/>
      <c r="G94" s="17"/>
      <c r="H94" s="17"/>
      <c r="I94" s="42"/>
      <c r="J94" s="43"/>
      <c r="K94" s="17"/>
      <c r="L94" s="17"/>
      <c r="M94" s="17"/>
      <c r="N94" s="17"/>
      <c r="O94" s="17"/>
      <c r="P94" s="17"/>
      <c r="Q94" s="17"/>
      <c r="R94" s="17"/>
    </row>
    <row r="95" spans="1:18" x14ac:dyDescent="0.3">
      <c r="A95" s="3"/>
      <c r="B95" s="17"/>
      <c r="C95" s="1"/>
      <c r="D95" s="41"/>
      <c r="E95" s="17"/>
      <c r="F95" s="17"/>
      <c r="G95" s="17"/>
      <c r="H95" s="17"/>
      <c r="I95" s="42"/>
      <c r="J95" s="43"/>
      <c r="K95" s="17"/>
      <c r="L95" s="17"/>
      <c r="M95" s="17"/>
      <c r="N95" s="17"/>
      <c r="O95" s="17"/>
      <c r="P95" s="17"/>
      <c r="Q95" s="17"/>
      <c r="R95" s="17"/>
    </row>
    <row r="96" spans="1:18" x14ac:dyDescent="0.3">
      <c r="A96" s="3"/>
      <c r="B96" s="17"/>
      <c r="C96" s="1"/>
      <c r="D96" s="41"/>
      <c r="E96" s="17"/>
      <c r="F96" s="17"/>
      <c r="G96" s="17"/>
      <c r="H96" s="17"/>
      <c r="I96" s="42"/>
      <c r="J96" s="43"/>
      <c r="K96" s="17"/>
      <c r="L96" s="17"/>
      <c r="M96" s="17"/>
      <c r="N96" s="17"/>
      <c r="O96" s="17"/>
      <c r="P96" s="17"/>
      <c r="Q96" s="17"/>
      <c r="R96" s="17"/>
    </row>
    <row r="97" spans="1:18" x14ac:dyDescent="0.3">
      <c r="A97" s="3"/>
      <c r="B97" s="17"/>
      <c r="C97" s="1"/>
      <c r="D97" s="41"/>
      <c r="E97" s="17"/>
      <c r="F97" s="17"/>
      <c r="G97" s="17"/>
      <c r="H97" s="17"/>
      <c r="I97" s="42"/>
      <c r="J97" s="43"/>
      <c r="K97" s="17"/>
      <c r="L97" s="17"/>
      <c r="M97" s="17"/>
      <c r="N97" s="17"/>
      <c r="O97" s="17"/>
      <c r="P97" s="17"/>
      <c r="Q97" s="17"/>
      <c r="R97" s="17"/>
    </row>
    <row r="98" spans="1:18" x14ac:dyDescent="0.3">
      <c r="A98" s="3"/>
      <c r="B98" s="17"/>
      <c r="C98" s="1"/>
      <c r="D98" s="41"/>
      <c r="E98" s="17"/>
      <c r="F98" s="17"/>
      <c r="G98" s="17"/>
      <c r="H98" s="17"/>
      <c r="I98" s="42"/>
      <c r="J98" s="43"/>
      <c r="K98" s="17"/>
      <c r="L98" s="17"/>
      <c r="M98" s="17"/>
      <c r="N98" s="17"/>
      <c r="O98" s="17"/>
      <c r="P98" s="17"/>
      <c r="Q98" s="17"/>
      <c r="R98" s="17"/>
    </row>
    <row r="99" spans="1:18" x14ac:dyDescent="0.3">
      <c r="A99" s="3"/>
      <c r="B99" s="17"/>
      <c r="C99" s="1"/>
      <c r="D99" s="41"/>
      <c r="E99" s="17"/>
      <c r="F99" s="17"/>
      <c r="G99" s="17"/>
      <c r="H99" s="17"/>
      <c r="I99" s="42"/>
      <c r="J99" s="43"/>
      <c r="K99" s="17"/>
      <c r="L99" s="17"/>
      <c r="M99" s="17"/>
      <c r="N99" s="17"/>
      <c r="O99" s="17"/>
      <c r="P99" s="17"/>
      <c r="Q99" s="17"/>
      <c r="R99" s="17"/>
    </row>
    <row r="100" spans="1:18" x14ac:dyDescent="0.3">
      <c r="A100" s="3"/>
      <c r="B100" s="17"/>
      <c r="C100" s="1"/>
      <c r="D100" s="41"/>
      <c r="E100" s="17"/>
      <c r="F100" s="17"/>
      <c r="G100" s="17"/>
      <c r="H100" s="17"/>
      <c r="I100" s="42"/>
      <c r="J100" s="43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3">
      <c r="A101" s="3"/>
      <c r="B101" s="17"/>
      <c r="C101" s="1"/>
      <c r="D101" s="41"/>
      <c r="E101" s="17"/>
      <c r="F101" s="17"/>
      <c r="G101" s="17"/>
      <c r="H101" s="17"/>
      <c r="I101" s="42"/>
      <c r="J101" s="43"/>
      <c r="K101" s="17"/>
      <c r="L101" s="17"/>
      <c r="M101" s="17"/>
      <c r="N101" s="17"/>
      <c r="O101" s="17"/>
      <c r="P101" s="17"/>
      <c r="Q101" s="17"/>
      <c r="R101" s="17"/>
    </row>
    <row r="102" spans="1:18" x14ac:dyDescent="0.3">
      <c r="A102" s="3"/>
      <c r="B102" s="17"/>
      <c r="C102" s="1"/>
      <c r="D102" s="41"/>
      <c r="E102" s="17"/>
      <c r="F102" s="17"/>
      <c r="G102" s="17"/>
      <c r="H102" s="17"/>
      <c r="I102" s="42"/>
      <c r="J102" s="43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3">
      <c r="A103" s="3"/>
      <c r="B103" s="17"/>
      <c r="C103" s="1"/>
      <c r="D103" s="41"/>
      <c r="E103" s="17"/>
      <c r="F103" s="17"/>
      <c r="G103" s="17"/>
      <c r="H103" s="17"/>
      <c r="I103" s="42"/>
      <c r="J103" s="43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3">
      <c r="A104" s="3"/>
      <c r="B104" s="17"/>
      <c r="C104" s="1"/>
      <c r="D104" s="41"/>
      <c r="E104" s="17"/>
      <c r="F104" s="17"/>
      <c r="G104" s="17"/>
      <c r="H104" s="17"/>
      <c r="I104" s="42"/>
      <c r="J104" s="43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3">
      <c r="A105" s="3"/>
      <c r="B105" s="17"/>
      <c r="C105" s="1"/>
      <c r="D105" s="41"/>
      <c r="E105" s="17"/>
      <c r="F105" s="17"/>
      <c r="G105" s="17"/>
      <c r="H105" s="17"/>
      <c r="I105" s="42"/>
      <c r="J105" s="43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3">
      <c r="A106" s="3"/>
      <c r="B106" s="17"/>
      <c r="C106" s="1"/>
      <c r="D106" s="41"/>
      <c r="E106" s="17"/>
      <c r="F106" s="17"/>
      <c r="G106" s="17"/>
      <c r="H106" s="17"/>
      <c r="I106" s="42"/>
      <c r="J106" s="43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3">
      <c r="A107" s="3"/>
      <c r="B107" s="17"/>
      <c r="C107" s="1"/>
      <c r="D107" s="41"/>
      <c r="E107" s="17"/>
      <c r="F107" s="17"/>
      <c r="G107" s="17"/>
      <c r="H107" s="17"/>
      <c r="I107" s="42"/>
      <c r="J107" s="43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3">
      <c r="A108" s="3"/>
      <c r="B108" s="17"/>
      <c r="C108" s="1"/>
      <c r="D108" s="41"/>
      <c r="E108" s="17"/>
      <c r="F108" s="17"/>
      <c r="G108" s="17"/>
      <c r="H108" s="17"/>
      <c r="I108" s="42"/>
      <c r="J108" s="43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3">
      <c r="A109" s="3"/>
      <c r="B109" s="17"/>
      <c r="C109" s="1"/>
      <c r="D109" s="41"/>
      <c r="E109" s="17"/>
      <c r="F109" s="17"/>
      <c r="G109" s="17"/>
      <c r="H109" s="17"/>
      <c r="I109" s="42"/>
      <c r="J109" s="43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3">
      <c r="A110" s="3"/>
      <c r="B110" s="17"/>
      <c r="C110" s="1"/>
      <c r="D110" s="41"/>
      <c r="E110" s="17"/>
      <c r="F110" s="17"/>
      <c r="G110" s="17"/>
      <c r="H110" s="17"/>
      <c r="I110" s="42"/>
      <c r="J110" s="43"/>
      <c r="K110" s="17"/>
      <c r="L110" s="17"/>
      <c r="M110" s="17"/>
      <c r="N110" s="17"/>
      <c r="O110" s="17"/>
      <c r="P110" s="17"/>
      <c r="Q110" s="17"/>
      <c r="R110" s="17"/>
    </row>
    <row r="111" spans="1:18" x14ac:dyDescent="0.3">
      <c r="A111" s="3"/>
      <c r="B111" s="17"/>
      <c r="C111" s="1"/>
      <c r="D111" s="41"/>
      <c r="E111" s="17"/>
      <c r="F111" s="17"/>
      <c r="G111" s="17"/>
      <c r="H111" s="17"/>
      <c r="I111" s="42"/>
      <c r="J111" s="43"/>
      <c r="K111" s="17"/>
      <c r="L111" s="17"/>
      <c r="M111" s="17"/>
      <c r="N111" s="17"/>
      <c r="O111" s="17"/>
      <c r="P111" s="17"/>
      <c r="Q111" s="17"/>
      <c r="R111" s="17"/>
    </row>
    <row r="112" spans="1:18" x14ac:dyDescent="0.3">
      <c r="A112" s="3"/>
      <c r="B112" s="17"/>
      <c r="C112" s="1"/>
      <c r="D112" s="41"/>
      <c r="E112" s="17"/>
      <c r="F112" s="17"/>
      <c r="G112" s="17"/>
      <c r="H112" s="17"/>
      <c r="I112" s="42"/>
      <c r="J112" s="43"/>
      <c r="K112" s="17"/>
      <c r="L112" s="17"/>
      <c r="M112" s="17"/>
      <c r="N112" s="17"/>
      <c r="O112" s="17"/>
      <c r="P112" s="17"/>
      <c r="Q112" s="17"/>
      <c r="R112" s="17"/>
    </row>
    <row r="113" spans="1:18" x14ac:dyDescent="0.3">
      <c r="A113" s="3"/>
      <c r="B113" s="17"/>
      <c r="C113" s="1"/>
      <c r="D113" s="41"/>
      <c r="E113" s="17"/>
      <c r="F113" s="17"/>
      <c r="G113" s="17"/>
      <c r="H113" s="17"/>
      <c r="I113" s="42"/>
      <c r="J113" s="43"/>
      <c r="K113" s="17"/>
      <c r="L113" s="17"/>
      <c r="M113" s="17"/>
      <c r="N113" s="17"/>
      <c r="O113" s="17"/>
      <c r="P113" s="17"/>
      <c r="Q113" s="17"/>
      <c r="R113" s="17"/>
    </row>
    <row r="114" spans="1:18" x14ac:dyDescent="0.3">
      <c r="A114" s="3"/>
      <c r="B114" s="17"/>
      <c r="C114" s="1"/>
      <c r="D114" s="41"/>
      <c r="E114" s="17"/>
      <c r="F114" s="17"/>
      <c r="G114" s="17"/>
      <c r="H114" s="17"/>
      <c r="I114" s="42"/>
      <c r="J114" s="43"/>
      <c r="K114" s="17"/>
      <c r="L114" s="17"/>
      <c r="M114" s="17"/>
      <c r="N114" s="17"/>
      <c r="O114" s="17"/>
      <c r="P114" s="17"/>
      <c r="Q114" s="17"/>
      <c r="R114" s="17"/>
    </row>
    <row r="115" spans="1:18" x14ac:dyDescent="0.3">
      <c r="A115" s="3"/>
      <c r="B115" s="17"/>
      <c r="C115" s="1"/>
      <c r="D115" s="41"/>
      <c r="E115" s="17"/>
      <c r="F115" s="17"/>
      <c r="G115" s="17"/>
      <c r="H115" s="17"/>
      <c r="I115" s="42"/>
      <c r="J115" s="43"/>
      <c r="K115" s="17"/>
      <c r="L115" s="17"/>
      <c r="M115" s="17"/>
      <c r="N115" s="17"/>
      <c r="O115" s="17"/>
      <c r="P115" s="17"/>
      <c r="Q115" s="17"/>
      <c r="R115" s="17"/>
    </row>
    <row r="116" spans="1:18" x14ac:dyDescent="0.3">
      <c r="A116" s="3"/>
      <c r="B116" s="17"/>
      <c r="C116" s="1"/>
      <c r="D116" s="41"/>
      <c r="E116" s="17"/>
      <c r="F116" s="17"/>
      <c r="G116" s="17"/>
      <c r="H116" s="17"/>
      <c r="I116" s="42"/>
      <c r="J116" s="43"/>
      <c r="K116" s="17"/>
      <c r="L116" s="17"/>
      <c r="M116" s="17"/>
      <c r="N116" s="17"/>
      <c r="O116" s="17"/>
      <c r="P116" s="17"/>
      <c r="Q116" s="17"/>
      <c r="R116" s="17"/>
    </row>
    <row r="117" spans="1:18" x14ac:dyDescent="0.3">
      <c r="A117" s="3"/>
      <c r="B117" s="17"/>
      <c r="C117" s="1"/>
      <c r="D117" s="41"/>
      <c r="E117" s="17"/>
      <c r="F117" s="17"/>
      <c r="G117" s="17"/>
      <c r="H117" s="17"/>
      <c r="I117" s="42"/>
      <c r="J117" s="43"/>
      <c r="K117" s="17"/>
      <c r="L117" s="17"/>
      <c r="M117" s="17"/>
      <c r="N117" s="17"/>
      <c r="O117" s="17"/>
      <c r="P117" s="17"/>
      <c r="Q117" s="17"/>
      <c r="R117" s="17"/>
    </row>
    <row r="118" spans="1:18" x14ac:dyDescent="0.3">
      <c r="A118" s="3"/>
      <c r="B118" s="17"/>
      <c r="C118" s="1"/>
      <c r="D118" s="41"/>
      <c r="E118" s="17"/>
      <c r="F118" s="17"/>
      <c r="G118" s="17"/>
      <c r="H118" s="17"/>
      <c r="I118" s="42"/>
      <c r="J118" s="43"/>
      <c r="K118" s="17"/>
      <c r="L118" s="17"/>
      <c r="M118" s="17"/>
      <c r="N118" s="17"/>
      <c r="O118" s="17"/>
      <c r="P118" s="17"/>
      <c r="Q118" s="17"/>
      <c r="R118" s="17"/>
    </row>
    <row r="119" spans="1:18" x14ac:dyDescent="0.3">
      <c r="A119" s="3"/>
      <c r="B119" s="17"/>
      <c r="C119" s="1"/>
      <c r="D119" s="41"/>
      <c r="E119" s="17"/>
      <c r="F119" s="17"/>
      <c r="G119" s="17"/>
      <c r="H119" s="17"/>
      <c r="I119" s="42"/>
      <c r="J119" s="43"/>
      <c r="K119" s="17"/>
      <c r="L119" s="17"/>
      <c r="M119" s="17"/>
      <c r="N119" s="17"/>
      <c r="O119" s="17"/>
      <c r="P119" s="17"/>
      <c r="Q119" s="17"/>
      <c r="R119" s="17"/>
    </row>
    <row r="120" spans="1:18" x14ac:dyDescent="0.3">
      <c r="A120" s="3"/>
      <c r="B120" s="17"/>
      <c r="C120" s="1"/>
      <c r="D120" s="41"/>
      <c r="E120" s="17"/>
      <c r="F120" s="17"/>
      <c r="G120" s="17"/>
      <c r="H120" s="17"/>
      <c r="I120" s="42"/>
      <c r="J120" s="43"/>
      <c r="K120" s="17"/>
      <c r="L120" s="17"/>
      <c r="M120" s="17"/>
      <c r="N120" s="17"/>
      <c r="O120" s="17"/>
      <c r="P120" s="17"/>
      <c r="Q120" s="17"/>
      <c r="R120" s="17"/>
    </row>
    <row r="121" spans="1:18" x14ac:dyDescent="0.3">
      <c r="A121" s="3"/>
      <c r="B121" s="17"/>
      <c r="C121" s="1"/>
      <c r="D121" s="41"/>
      <c r="E121" s="17"/>
      <c r="F121" s="17"/>
      <c r="G121" s="17"/>
      <c r="H121" s="17"/>
      <c r="I121" s="42"/>
      <c r="J121" s="43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3">
      <c r="A122" s="3"/>
      <c r="B122" s="17"/>
      <c r="C122" s="1"/>
      <c r="D122" s="41"/>
      <c r="E122" s="17"/>
      <c r="F122" s="17"/>
      <c r="G122" s="17"/>
      <c r="H122" s="17"/>
      <c r="I122" s="42"/>
      <c r="J122" s="43"/>
      <c r="K122" s="17"/>
      <c r="L122" s="17"/>
      <c r="M122" s="17"/>
      <c r="N122" s="17"/>
      <c r="O122" s="17"/>
      <c r="P122" s="17"/>
      <c r="Q122" s="17"/>
      <c r="R122" s="17"/>
    </row>
    <row r="123" spans="1:18" x14ac:dyDescent="0.3">
      <c r="A123" s="3"/>
      <c r="B123" s="17"/>
      <c r="C123" s="1"/>
      <c r="D123" s="41"/>
      <c r="E123" s="17"/>
      <c r="F123" s="17"/>
      <c r="G123" s="17"/>
      <c r="H123" s="17"/>
      <c r="I123" s="42"/>
      <c r="J123" s="43"/>
      <c r="K123" s="17"/>
      <c r="L123" s="17"/>
      <c r="M123" s="17"/>
      <c r="N123" s="17"/>
      <c r="O123" s="17"/>
      <c r="P123" s="17"/>
      <c r="Q123" s="17"/>
      <c r="R123" s="17"/>
    </row>
    <row r="124" spans="1:18" x14ac:dyDescent="0.3">
      <c r="A124" s="3"/>
      <c r="B124" s="17"/>
      <c r="C124" s="1"/>
      <c r="D124" s="41"/>
      <c r="E124" s="17"/>
      <c r="F124" s="17"/>
      <c r="G124" s="17"/>
      <c r="H124" s="17"/>
      <c r="I124" s="42"/>
      <c r="J124" s="43"/>
      <c r="K124" s="17"/>
      <c r="L124" s="17"/>
      <c r="M124" s="17"/>
      <c r="N124" s="17"/>
      <c r="O124" s="17"/>
      <c r="P124" s="17"/>
      <c r="Q124" s="17"/>
      <c r="R124" s="17"/>
    </row>
    <row r="125" spans="1:18" x14ac:dyDescent="0.3">
      <c r="A125" s="3"/>
      <c r="B125" s="17"/>
      <c r="C125" s="1"/>
      <c r="D125" s="41"/>
      <c r="E125" s="17"/>
      <c r="F125" s="17"/>
      <c r="G125" s="17"/>
      <c r="H125" s="17"/>
      <c r="I125" s="42"/>
      <c r="J125" s="43"/>
      <c r="K125" s="17"/>
      <c r="L125" s="17"/>
      <c r="M125" s="17"/>
      <c r="N125" s="17"/>
      <c r="O125" s="17"/>
      <c r="P125" s="17"/>
      <c r="Q125" s="17"/>
      <c r="R125" s="17"/>
    </row>
    <row r="126" spans="1:18" x14ac:dyDescent="0.3">
      <c r="A126" s="3"/>
      <c r="B126" s="17"/>
      <c r="C126" s="1"/>
      <c r="D126" s="41"/>
      <c r="E126" s="17"/>
      <c r="F126" s="17"/>
      <c r="G126" s="17"/>
      <c r="H126" s="17"/>
      <c r="I126" s="42"/>
      <c r="J126" s="43"/>
      <c r="K126" s="17"/>
      <c r="L126" s="17"/>
      <c r="M126" s="17"/>
      <c r="N126" s="17"/>
      <c r="O126" s="17"/>
      <c r="P126" s="17"/>
      <c r="Q126" s="17"/>
      <c r="R126" s="17"/>
    </row>
    <row r="127" spans="1:18" x14ac:dyDescent="0.3">
      <c r="A127" s="3"/>
      <c r="B127" s="17"/>
      <c r="C127" s="1"/>
      <c r="D127" s="41"/>
      <c r="E127" s="17"/>
      <c r="F127" s="17"/>
      <c r="G127" s="17"/>
      <c r="H127" s="17"/>
      <c r="I127" s="42"/>
      <c r="J127" s="43"/>
      <c r="K127" s="17"/>
      <c r="L127" s="17"/>
      <c r="M127" s="17"/>
      <c r="N127" s="17"/>
      <c r="O127" s="17"/>
      <c r="P127" s="17"/>
      <c r="Q127" s="17"/>
      <c r="R127" s="17"/>
    </row>
    <row r="128" spans="1:18" x14ac:dyDescent="0.3">
      <c r="A128" s="3"/>
      <c r="B128" s="17"/>
      <c r="C128" s="1"/>
      <c r="D128" s="41"/>
      <c r="E128" s="17"/>
      <c r="F128" s="17"/>
      <c r="G128" s="17"/>
      <c r="H128" s="17"/>
      <c r="I128" s="42"/>
      <c r="J128" s="43"/>
      <c r="K128" s="17"/>
      <c r="L128" s="17"/>
      <c r="M128" s="17"/>
      <c r="N128" s="17"/>
      <c r="O128" s="17"/>
      <c r="P128" s="17"/>
      <c r="Q128" s="17"/>
      <c r="R128" s="17"/>
    </row>
    <row r="129" spans="1:18" x14ac:dyDescent="0.3">
      <c r="A129" s="3"/>
      <c r="B129" s="17"/>
      <c r="C129" s="1"/>
      <c r="D129" s="41"/>
      <c r="E129" s="17"/>
      <c r="F129" s="17"/>
      <c r="G129" s="17"/>
      <c r="H129" s="17"/>
      <c r="I129" s="42"/>
      <c r="J129" s="43"/>
      <c r="K129" s="17"/>
      <c r="L129" s="17"/>
      <c r="M129" s="17"/>
      <c r="N129" s="17"/>
      <c r="O129" s="17"/>
      <c r="P129" s="17"/>
      <c r="Q129" s="17"/>
      <c r="R129" s="17"/>
    </row>
    <row r="130" spans="1:18" x14ac:dyDescent="0.3">
      <c r="A130" s="3"/>
      <c r="B130" s="17"/>
      <c r="C130" s="1"/>
      <c r="D130" s="41"/>
      <c r="E130" s="17"/>
      <c r="F130" s="17"/>
      <c r="G130" s="17"/>
      <c r="H130" s="17"/>
      <c r="I130" s="42"/>
      <c r="J130" s="43"/>
      <c r="K130" s="17"/>
      <c r="L130" s="17"/>
      <c r="M130" s="17"/>
      <c r="N130" s="17"/>
      <c r="O130" s="17"/>
      <c r="P130" s="17"/>
      <c r="Q130" s="17"/>
      <c r="R130" s="17"/>
    </row>
    <row r="131" spans="1:18" x14ac:dyDescent="0.3">
      <c r="A131" s="3"/>
      <c r="B131" s="17"/>
      <c r="C131" s="1"/>
      <c r="D131" s="41"/>
      <c r="E131" s="17"/>
      <c r="F131" s="17"/>
      <c r="G131" s="17"/>
      <c r="H131" s="17"/>
      <c r="I131" s="42"/>
      <c r="J131" s="43"/>
      <c r="K131" s="17"/>
      <c r="L131" s="17"/>
      <c r="M131" s="17"/>
      <c r="N131" s="17"/>
      <c r="O131" s="17"/>
      <c r="P131" s="17"/>
      <c r="Q131" s="17"/>
      <c r="R131" s="17"/>
    </row>
    <row r="132" spans="1:18" x14ac:dyDescent="0.3">
      <c r="A132" s="3"/>
      <c r="B132" s="17"/>
      <c r="C132" s="1"/>
      <c r="D132" s="41"/>
      <c r="E132" s="17"/>
      <c r="F132" s="17"/>
      <c r="G132" s="17"/>
      <c r="H132" s="17"/>
      <c r="I132" s="42"/>
      <c r="J132" s="43"/>
      <c r="K132" s="17"/>
      <c r="L132" s="17"/>
      <c r="M132" s="17"/>
      <c r="N132" s="17"/>
      <c r="O132" s="17"/>
      <c r="P132" s="17"/>
      <c r="Q132" s="17"/>
      <c r="R132" s="17"/>
    </row>
    <row r="133" spans="1:18" x14ac:dyDescent="0.3">
      <c r="A133" s="3"/>
      <c r="B133" s="17"/>
      <c r="C133" s="1"/>
      <c r="D133" s="41"/>
      <c r="E133" s="17"/>
      <c r="F133" s="17"/>
      <c r="G133" s="17"/>
      <c r="H133" s="17"/>
      <c r="I133" s="42"/>
      <c r="J133" s="43"/>
      <c r="K133" s="17"/>
      <c r="L133" s="17"/>
      <c r="M133" s="17"/>
      <c r="N133" s="17"/>
      <c r="O133" s="17"/>
      <c r="P133" s="17"/>
      <c r="Q133" s="17"/>
      <c r="R133" s="17"/>
    </row>
    <row r="134" spans="1:18" x14ac:dyDescent="0.3">
      <c r="A134" s="3"/>
      <c r="B134" s="17"/>
      <c r="C134" s="1"/>
      <c r="D134" s="41"/>
      <c r="E134" s="17"/>
      <c r="F134" s="17"/>
      <c r="G134" s="17"/>
      <c r="H134" s="17"/>
      <c r="I134" s="42"/>
      <c r="J134" s="43"/>
      <c r="K134" s="17"/>
      <c r="L134" s="17"/>
      <c r="M134" s="17"/>
      <c r="N134" s="17"/>
      <c r="O134" s="17"/>
      <c r="P134" s="17"/>
      <c r="Q134" s="17"/>
      <c r="R134" s="17"/>
    </row>
    <row r="135" spans="1:18" x14ac:dyDescent="0.3">
      <c r="A135" s="3"/>
      <c r="B135" s="17"/>
      <c r="C135" s="1"/>
      <c r="D135" s="41"/>
      <c r="E135" s="17"/>
      <c r="F135" s="17"/>
      <c r="G135" s="17"/>
      <c r="H135" s="17"/>
      <c r="I135" s="42"/>
      <c r="J135" s="43"/>
      <c r="K135" s="17"/>
      <c r="L135" s="17"/>
      <c r="M135" s="17"/>
      <c r="N135" s="17"/>
      <c r="O135" s="17"/>
      <c r="P135" s="17"/>
      <c r="Q135" s="17"/>
      <c r="R135" s="17"/>
    </row>
    <row r="136" spans="1:18" x14ac:dyDescent="0.3">
      <c r="A136" s="3"/>
      <c r="B136" s="17"/>
      <c r="C136" s="1"/>
      <c r="D136" s="41"/>
      <c r="E136" s="17"/>
      <c r="F136" s="17"/>
      <c r="G136" s="17"/>
      <c r="H136" s="17"/>
      <c r="I136" s="42"/>
      <c r="J136" s="43"/>
      <c r="K136" s="17"/>
      <c r="L136" s="17"/>
      <c r="M136" s="17"/>
      <c r="N136" s="17"/>
      <c r="O136" s="17"/>
      <c r="P136" s="17"/>
      <c r="Q136" s="17"/>
      <c r="R136" s="17"/>
    </row>
    <row r="137" spans="1:18" x14ac:dyDescent="0.3">
      <c r="A137" s="3"/>
      <c r="B137" s="17"/>
      <c r="C137" s="1"/>
      <c r="D137" s="41"/>
      <c r="E137" s="17"/>
      <c r="F137" s="17"/>
      <c r="G137" s="17"/>
      <c r="H137" s="17"/>
      <c r="I137" s="42"/>
      <c r="J137" s="43"/>
      <c r="K137" s="17"/>
      <c r="L137" s="17"/>
      <c r="M137" s="17"/>
      <c r="N137" s="17"/>
      <c r="O137" s="17"/>
      <c r="P137" s="17"/>
      <c r="Q137" s="17"/>
      <c r="R137" s="17"/>
    </row>
    <row r="138" spans="1:18" x14ac:dyDescent="0.3">
      <c r="A138" s="3"/>
      <c r="B138" s="17"/>
      <c r="C138" s="1"/>
      <c r="D138" s="41"/>
      <c r="E138" s="17"/>
      <c r="F138" s="17"/>
      <c r="G138" s="17"/>
      <c r="H138" s="17"/>
      <c r="I138" s="42"/>
      <c r="J138" s="43"/>
      <c r="K138" s="17"/>
      <c r="L138" s="17"/>
      <c r="M138" s="17"/>
      <c r="N138" s="17"/>
      <c r="O138" s="17"/>
      <c r="P138" s="17"/>
      <c r="Q138" s="17"/>
      <c r="R138" s="17"/>
    </row>
    <row r="139" spans="1:18" x14ac:dyDescent="0.3">
      <c r="A139" s="3"/>
      <c r="B139" s="17"/>
      <c r="C139" s="1"/>
      <c r="D139" s="41"/>
      <c r="E139" s="17"/>
      <c r="F139" s="17"/>
      <c r="G139" s="17"/>
      <c r="H139" s="17"/>
      <c r="I139" s="42"/>
      <c r="J139" s="43"/>
      <c r="K139" s="17"/>
      <c r="L139" s="17"/>
      <c r="M139" s="17"/>
      <c r="N139" s="17"/>
      <c r="O139" s="17"/>
      <c r="P139" s="17"/>
      <c r="Q139" s="17"/>
      <c r="R139" s="17"/>
    </row>
    <row r="140" spans="1:18" x14ac:dyDescent="0.3">
      <c r="A140" s="3"/>
      <c r="B140" s="17"/>
      <c r="C140" s="1"/>
      <c r="D140" s="41"/>
      <c r="E140" s="17"/>
      <c r="F140" s="17"/>
      <c r="G140" s="17"/>
      <c r="H140" s="17"/>
      <c r="I140" s="42"/>
      <c r="J140" s="43"/>
      <c r="K140" s="17"/>
      <c r="L140" s="17"/>
      <c r="M140" s="17"/>
      <c r="N140" s="17"/>
      <c r="O140" s="17"/>
      <c r="P140" s="17"/>
      <c r="Q140" s="17"/>
      <c r="R140" s="17"/>
    </row>
    <row r="141" spans="1:18" x14ac:dyDescent="0.3">
      <c r="A141" s="3"/>
      <c r="B141" s="17"/>
      <c r="C141" s="1"/>
      <c r="D141" s="41"/>
      <c r="E141" s="17"/>
      <c r="F141" s="17"/>
      <c r="G141" s="17"/>
      <c r="H141" s="17"/>
      <c r="I141" s="42"/>
      <c r="J141" s="43"/>
      <c r="K141" s="17"/>
      <c r="L141" s="17"/>
      <c r="M141" s="17"/>
      <c r="N141" s="17"/>
      <c r="O141" s="17"/>
      <c r="P141" s="17"/>
      <c r="Q141" s="17"/>
      <c r="R141" s="17"/>
    </row>
    <row r="142" spans="1:18" x14ac:dyDescent="0.3">
      <c r="A142" s="3"/>
      <c r="B142" s="17"/>
      <c r="C142" s="1"/>
      <c r="D142" s="41"/>
      <c r="E142" s="17"/>
      <c r="F142" s="17"/>
      <c r="G142" s="17"/>
      <c r="H142" s="17"/>
      <c r="I142" s="42"/>
      <c r="J142" s="43"/>
      <c r="K142" s="17"/>
      <c r="L142" s="17"/>
      <c r="M142" s="17"/>
      <c r="N142" s="17"/>
      <c r="O142" s="17"/>
      <c r="P142" s="17"/>
      <c r="Q142" s="17"/>
      <c r="R142" s="17"/>
    </row>
    <row r="143" spans="1:18" x14ac:dyDescent="0.3">
      <c r="A143" s="3"/>
      <c r="B143" s="17"/>
      <c r="C143" s="1"/>
      <c r="D143" s="41"/>
      <c r="E143" s="17"/>
      <c r="F143" s="17"/>
      <c r="G143" s="17"/>
      <c r="H143" s="17"/>
      <c r="I143" s="42"/>
      <c r="J143" s="43"/>
      <c r="K143" s="17"/>
      <c r="L143" s="17"/>
      <c r="M143" s="17"/>
      <c r="N143" s="17"/>
      <c r="O143" s="17"/>
      <c r="P143" s="17"/>
      <c r="Q143" s="17"/>
      <c r="R143" s="17"/>
    </row>
    <row r="144" spans="1:18" x14ac:dyDescent="0.3">
      <c r="A144" s="3"/>
      <c r="B144" s="17"/>
      <c r="C144" s="1"/>
      <c r="D144" s="41"/>
      <c r="E144" s="17"/>
      <c r="F144" s="17"/>
      <c r="G144" s="17"/>
      <c r="H144" s="17"/>
      <c r="I144" s="42"/>
      <c r="J144" s="43"/>
      <c r="K144" s="17"/>
      <c r="L144" s="17"/>
      <c r="M144" s="17"/>
      <c r="N144" s="17"/>
      <c r="O144" s="17"/>
      <c r="P144" s="17"/>
      <c r="Q144" s="17"/>
      <c r="R144" s="17"/>
    </row>
    <row r="145" spans="1:18" x14ac:dyDescent="0.3">
      <c r="A145" s="3"/>
      <c r="B145" s="17"/>
      <c r="C145" s="1"/>
      <c r="D145" s="41"/>
      <c r="E145" s="17"/>
      <c r="F145" s="17"/>
      <c r="G145" s="17"/>
      <c r="H145" s="17"/>
      <c r="I145" s="42"/>
      <c r="J145" s="43"/>
      <c r="K145" s="17"/>
      <c r="L145" s="17"/>
      <c r="M145" s="17"/>
      <c r="N145" s="17"/>
      <c r="O145" s="17"/>
      <c r="P145" s="17"/>
      <c r="Q145" s="17"/>
      <c r="R145" s="17"/>
    </row>
    <row r="146" spans="1:18" x14ac:dyDescent="0.3">
      <c r="A146" s="3"/>
      <c r="B146" s="17"/>
      <c r="C146" s="1"/>
      <c r="D146" s="41"/>
      <c r="E146" s="17"/>
      <c r="F146" s="17"/>
      <c r="G146" s="17"/>
      <c r="H146" s="17"/>
      <c r="I146" s="42"/>
      <c r="J146" s="43"/>
      <c r="K146" s="17"/>
      <c r="L146" s="17"/>
      <c r="M146" s="17"/>
      <c r="N146" s="17"/>
      <c r="O146" s="17"/>
      <c r="P146" s="17"/>
      <c r="Q146" s="17"/>
      <c r="R146" s="17"/>
    </row>
    <row r="147" spans="1:18" x14ac:dyDescent="0.3">
      <c r="A147" s="3"/>
      <c r="B147" s="17"/>
      <c r="C147" s="1"/>
      <c r="D147" s="41"/>
      <c r="E147" s="17"/>
      <c r="F147" s="17"/>
      <c r="G147" s="17"/>
      <c r="H147" s="17"/>
      <c r="I147" s="42"/>
      <c r="J147" s="43"/>
      <c r="K147" s="17"/>
      <c r="L147" s="17"/>
      <c r="M147" s="17"/>
      <c r="N147" s="17"/>
      <c r="O147" s="17"/>
      <c r="P147" s="17"/>
      <c r="Q147" s="17"/>
      <c r="R147" s="17"/>
    </row>
    <row r="148" spans="1:18" x14ac:dyDescent="0.3">
      <c r="A148" s="3"/>
      <c r="B148" s="17"/>
      <c r="C148" s="1"/>
      <c r="D148" s="41"/>
      <c r="E148" s="17"/>
      <c r="F148" s="17"/>
      <c r="G148" s="17"/>
      <c r="H148" s="17"/>
      <c r="I148" s="42"/>
      <c r="J148" s="43"/>
      <c r="K148" s="17"/>
      <c r="L148" s="17"/>
      <c r="M148" s="17"/>
      <c r="N148" s="17"/>
      <c r="O148" s="17"/>
      <c r="P148" s="17"/>
      <c r="Q148" s="17"/>
      <c r="R148" s="17"/>
    </row>
    <row r="149" spans="1:18" x14ac:dyDescent="0.3">
      <c r="A149" s="3"/>
      <c r="B149" s="17"/>
      <c r="C149" s="1"/>
      <c r="D149" s="41"/>
      <c r="E149" s="17"/>
      <c r="F149" s="17"/>
      <c r="G149" s="17"/>
      <c r="H149" s="17"/>
      <c r="I149" s="42"/>
      <c r="J149" s="43"/>
      <c r="K149" s="17"/>
      <c r="L149" s="17"/>
      <c r="M149" s="17"/>
      <c r="N149" s="17"/>
      <c r="O149" s="17"/>
      <c r="P149" s="17"/>
      <c r="Q149" s="17"/>
      <c r="R149" s="17"/>
    </row>
    <row r="150" spans="1:18" x14ac:dyDescent="0.3">
      <c r="A150" s="3"/>
      <c r="B150" s="17"/>
      <c r="C150" s="1"/>
      <c r="D150" s="41"/>
      <c r="E150" s="17"/>
      <c r="F150" s="17"/>
      <c r="G150" s="17"/>
      <c r="H150" s="17"/>
      <c r="I150" s="42"/>
      <c r="J150" s="43"/>
      <c r="K150" s="17"/>
      <c r="L150" s="17"/>
      <c r="M150" s="17"/>
      <c r="N150" s="17"/>
      <c r="O150" s="17"/>
      <c r="P150" s="17"/>
      <c r="Q150" s="17"/>
      <c r="R150" s="17"/>
    </row>
    <row r="151" spans="1:18" x14ac:dyDescent="0.3">
      <c r="A151" s="3"/>
      <c r="B151" s="17"/>
      <c r="C151" s="1"/>
      <c r="D151" s="41"/>
      <c r="E151" s="17"/>
      <c r="F151" s="17"/>
      <c r="G151" s="17"/>
      <c r="H151" s="17"/>
      <c r="I151" s="42"/>
      <c r="J151" s="43"/>
      <c r="K151" s="17"/>
      <c r="L151" s="17"/>
      <c r="M151" s="17"/>
      <c r="N151" s="17"/>
      <c r="O151" s="17"/>
      <c r="P151" s="17"/>
      <c r="Q151" s="17"/>
      <c r="R151" s="17"/>
    </row>
    <row r="152" spans="1:18" x14ac:dyDescent="0.3">
      <c r="A152" s="3"/>
      <c r="B152" s="17"/>
      <c r="C152" s="1"/>
      <c r="D152" s="41"/>
      <c r="E152" s="17"/>
      <c r="F152" s="17"/>
      <c r="G152" s="17"/>
      <c r="H152" s="17"/>
      <c r="I152" s="42"/>
      <c r="J152" s="43"/>
      <c r="K152" s="17"/>
      <c r="L152" s="17"/>
      <c r="M152" s="17"/>
      <c r="N152" s="17"/>
      <c r="O152" s="17"/>
      <c r="P152" s="17"/>
      <c r="Q152" s="17"/>
      <c r="R152" s="17"/>
    </row>
    <row r="153" spans="1:18" x14ac:dyDescent="0.3">
      <c r="A153" s="3"/>
      <c r="B153" s="17"/>
      <c r="C153" s="1"/>
      <c r="D153" s="41"/>
      <c r="E153" s="17"/>
      <c r="F153" s="17"/>
      <c r="G153" s="17"/>
      <c r="H153" s="17"/>
      <c r="I153" s="42"/>
      <c r="J153" s="43"/>
      <c r="K153" s="17"/>
      <c r="L153" s="17"/>
      <c r="M153" s="17"/>
      <c r="N153" s="17"/>
      <c r="O153" s="17"/>
      <c r="P153" s="17"/>
      <c r="Q153" s="17"/>
      <c r="R153" s="17"/>
    </row>
    <row r="154" spans="1:18" x14ac:dyDescent="0.3">
      <c r="A154" s="3"/>
      <c r="B154" s="17"/>
      <c r="C154" s="1"/>
      <c r="D154" s="41"/>
      <c r="E154" s="17"/>
      <c r="F154" s="17"/>
      <c r="G154" s="17"/>
      <c r="H154" s="17"/>
      <c r="I154" s="42"/>
      <c r="J154" s="43"/>
      <c r="K154" s="17"/>
      <c r="L154" s="17"/>
      <c r="M154" s="17"/>
      <c r="N154" s="17"/>
      <c r="O154" s="17"/>
      <c r="P154" s="17"/>
      <c r="Q154" s="17"/>
      <c r="R154" s="17"/>
    </row>
    <row r="155" spans="1:18" x14ac:dyDescent="0.3">
      <c r="A155" s="3"/>
      <c r="B155" s="17"/>
      <c r="C155" s="1"/>
      <c r="D155" s="41"/>
      <c r="E155" s="17"/>
      <c r="F155" s="17"/>
      <c r="G155" s="17"/>
      <c r="H155" s="17"/>
      <c r="I155" s="42"/>
      <c r="J155" s="43"/>
      <c r="K155" s="17"/>
      <c r="L155" s="17"/>
      <c r="M155" s="17"/>
      <c r="N155" s="17"/>
      <c r="O155" s="17"/>
      <c r="P155" s="17"/>
      <c r="Q155" s="17"/>
      <c r="R155" s="17"/>
    </row>
    <row r="156" spans="1:18" x14ac:dyDescent="0.3">
      <c r="A156" s="3"/>
      <c r="B156" s="17"/>
      <c r="C156" s="1"/>
      <c r="D156" s="41"/>
      <c r="E156" s="17"/>
      <c r="F156" s="17"/>
      <c r="G156" s="17"/>
      <c r="H156" s="17"/>
      <c r="I156" s="42"/>
      <c r="J156" s="43"/>
      <c r="K156" s="17"/>
      <c r="L156" s="17"/>
      <c r="M156" s="17"/>
      <c r="N156" s="17"/>
      <c r="O156" s="17"/>
      <c r="P156" s="17"/>
      <c r="Q156" s="17"/>
      <c r="R156" s="17"/>
    </row>
    <row r="157" spans="1:18" x14ac:dyDescent="0.3">
      <c r="A157" s="3"/>
      <c r="B157" s="17"/>
      <c r="C157" s="1"/>
      <c r="D157" s="41"/>
      <c r="E157" s="17"/>
      <c r="F157" s="17"/>
      <c r="G157" s="17"/>
      <c r="H157" s="17"/>
      <c r="I157" s="42"/>
      <c r="J157" s="43"/>
      <c r="K157" s="17"/>
      <c r="L157" s="17"/>
      <c r="M157" s="17"/>
      <c r="N157" s="17"/>
      <c r="O157" s="17"/>
      <c r="P157" s="17"/>
      <c r="Q157" s="17"/>
      <c r="R157" s="17"/>
    </row>
    <row r="158" spans="1:18" x14ac:dyDescent="0.3">
      <c r="A158" s="3"/>
      <c r="B158" s="17"/>
      <c r="C158" s="1"/>
      <c r="D158" s="41"/>
      <c r="E158" s="17"/>
      <c r="F158" s="17"/>
      <c r="G158" s="17"/>
      <c r="H158" s="17"/>
      <c r="I158" s="42"/>
      <c r="J158" s="43"/>
      <c r="K158" s="17"/>
      <c r="L158" s="17"/>
      <c r="M158" s="17"/>
      <c r="N158" s="17"/>
      <c r="O158" s="17"/>
      <c r="P158" s="17"/>
      <c r="Q158" s="17"/>
      <c r="R158" s="17"/>
    </row>
    <row r="159" spans="1:18" x14ac:dyDescent="0.3">
      <c r="A159" s="3"/>
      <c r="B159" s="17"/>
      <c r="C159" s="1"/>
      <c r="D159" s="41"/>
      <c r="E159" s="17"/>
      <c r="F159" s="17"/>
      <c r="G159" s="17"/>
      <c r="H159" s="17"/>
      <c r="I159" s="42"/>
      <c r="J159" s="43"/>
      <c r="K159" s="17"/>
      <c r="L159" s="17"/>
      <c r="M159" s="17"/>
      <c r="N159" s="17"/>
      <c r="O159" s="17"/>
      <c r="P159" s="17"/>
      <c r="Q159" s="17"/>
      <c r="R159" s="17"/>
    </row>
    <row r="160" spans="1:18" x14ac:dyDescent="0.3">
      <c r="A160" s="3"/>
      <c r="B160" s="17"/>
      <c r="C160" s="1"/>
      <c r="D160" s="41"/>
      <c r="E160" s="17"/>
      <c r="F160" s="17"/>
      <c r="G160" s="17"/>
      <c r="H160" s="17"/>
      <c r="I160" s="42"/>
      <c r="J160" s="43"/>
      <c r="K160" s="17"/>
      <c r="L160" s="17"/>
      <c r="M160" s="17"/>
      <c r="N160" s="17"/>
      <c r="O160" s="17"/>
      <c r="P160" s="17"/>
      <c r="Q160" s="17"/>
      <c r="R160" s="17"/>
    </row>
    <row r="161" spans="1:18" x14ac:dyDescent="0.3">
      <c r="A161" s="3"/>
      <c r="B161" s="17"/>
      <c r="C161" s="1"/>
      <c r="D161" s="41"/>
      <c r="E161" s="17"/>
      <c r="F161" s="17"/>
      <c r="G161" s="17"/>
      <c r="H161" s="17"/>
      <c r="I161" s="42"/>
      <c r="J161" s="43"/>
      <c r="K161" s="17"/>
      <c r="L161" s="17"/>
      <c r="M161" s="17"/>
      <c r="N161" s="17"/>
      <c r="O161" s="17"/>
      <c r="P161" s="17"/>
      <c r="Q161" s="17"/>
      <c r="R161" s="17"/>
    </row>
    <row r="162" spans="1:18" x14ac:dyDescent="0.3">
      <c r="A162" s="3"/>
      <c r="B162" s="17"/>
      <c r="C162" s="1"/>
      <c r="D162" s="41"/>
      <c r="E162" s="17"/>
      <c r="F162" s="17"/>
      <c r="G162" s="17"/>
      <c r="H162" s="17"/>
      <c r="I162" s="42"/>
      <c r="J162" s="43"/>
      <c r="K162" s="17"/>
      <c r="L162" s="17"/>
      <c r="M162" s="17"/>
      <c r="N162" s="17"/>
      <c r="O162" s="17"/>
      <c r="P162" s="17"/>
      <c r="Q162" s="17"/>
      <c r="R162" s="17"/>
    </row>
    <row r="163" spans="1:18" x14ac:dyDescent="0.3">
      <c r="A163" s="3"/>
      <c r="B163" s="17"/>
      <c r="C163" s="1"/>
      <c r="D163" s="41"/>
      <c r="E163" s="17"/>
      <c r="F163" s="17"/>
      <c r="G163" s="17"/>
      <c r="H163" s="17"/>
      <c r="I163" s="42"/>
      <c r="J163" s="43"/>
      <c r="K163" s="17"/>
      <c r="L163" s="17"/>
      <c r="M163" s="17"/>
      <c r="N163" s="17"/>
      <c r="O163" s="17"/>
      <c r="P163" s="17"/>
      <c r="Q163" s="17"/>
      <c r="R163" s="17"/>
    </row>
    <row r="164" spans="1:18" x14ac:dyDescent="0.3">
      <c r="A164" s="3"/>
      <c r="B164" s="17"/>
      <c r="C164" s="1"/>
      <c r="D164" s="41"/>
      <c r="E164" s="17"/>
      <c r="F164" s="17"/>
      <c r="G164" s="17"/>
      <c r="H164" s="17"/>
      <c r="I164" s="42"/>
      <c r="J164" s="43"/>
      <c r="K164" s="17"/>
      <c r="L164" s="17"/>
      <c r="M164" s="17"/>
      <c r="N164" s="17"/>
      <c r="O164" s="17"/>
      <c r="P164" s="17"/>
      <c r="Q164" s="17"/>
      <c r="R164" s="17"/>
    </row>
    <row r="165" spans="1:18" x14ac:dyDescent="0.3">
      <c r="A165" s="3"/>
      <c r="B165" s="17"/>
      <c r="C165" s="1"/>
      <c r="D165" s="41"/>
      <c r="E165" s="17"/>
      <c r="F165" s="17"/>
      <c r="G165" s="17"/>
      <c r="H165" s="17"/>
      <c r="I165" s="42"/>
      <c r="J165" s="43"/>
      <c r="K165" s="17"/>
      <c r="L165" s="17"/>
      <c r="M165" s="17"/>
      <c r="N165" s="17"/>
      <c r="O165" s="17"/>
      <c r="P165" s="17"/>
      <c r="Q165" s="17"/>
      <c r="R165" s="17"/>
    </row>
    <row r="166" spans="1:18" x14ac:dyDescent="0.3">
      <c r="A166" s="3"/>
      <c r="B166" s="17"/>
      <c r="C166" s="1"/>
      <c r="D166" s="41"/>
      <c r="E166" s="17"/>
      <c r="F166" s="17"/>
      <c r="G166" s="17"/>
      <c r="H166" s="17"/>
      <c r="I166" s="42"/>
      <c r="J166" s="43"/>
      <c r="K166" s="17"/>
      <c r="L166" s="17"/>
      <c r="M166" s="17"/>
      <c r="N166" s="17"/>
      <c r="O166" s="17"/>
      <c r="P166" s="17"/>
      <c r="Q166" s="17"/>
      <c r="R166" s="17"/>
    </row>
    <row r="167" spans="1:18" x14ac:dyDescent="0.3">
      <c r="A167" s="3"/>
      <c r="B167" s="17"/>
      <c r="C167" s="1"/>
      <c r="D167" s="41"/>
      <c r="E167" s="17"/>
      <c r="F167" s="17"/>
      <c r="G167" s="17"/>
      <c r="H167" s="17"/>
      <c r="I167" s="42"/>
      <c r="J167" s="43"/>
      <c r="K167" s="17"/>
      <c r="L167" s="17"/>
      <c r="M167" s="17"/>
      <c r="N167" s="17"/>
      <c r="O167" s="17"/>
      <c r="P167" s="17"/>
      <c r="Q167" s="17"/>
      <c r="R167" s="17"/>
    </row>
    <row r="168" spans="1:18" x14ac:dyDescent="0.3">
      <c r="A168" s="3"/>
      <c r="B168" s="17"/>
      <c r="C168" s="1"/>
      <c r="D168" s="41"/>
      <c r="E168" s="17"/>
      <c r="F168" s="17"/>
      <c r="G168" s="17"/>
      <c r="H168" s="17"/>
      <c r="I168" s="42"/>
      <c r="J168" s="43"/>
      <c r="K168" s="17"/>
      <c r="L168" s="17"/>
      <c r="M168" s="17"/>
      <c r="N168" s="17"/>
      <c r="O168" s="17"/>
      <c r="P168" s="17"/>
      <c r="Q168" s="17"/>
      <c r="R168" s="17"/>
    </row>
    <row r="169" spans="1:18" x14ac:dyDescent="0.3">
      <c r="A169" s="3"/>
      <c r="B169" s="17"/>
      <c r="C169" s="1"/>
      <c r="D169" s="41"/>
      <c r="E169" s="17"/>
      <c r="F169" s="17"/>
      <c r="G169" s="17"/>
      <c r="H169" s="17"/>
      <c r="I169" s="42"/>
      <c r="J169" s="43"/>
      <c r="K169" s="17"/>
      <c r="L169" s="17"/>
      <c r="M169" s="17"/>
      <c r="N169" s="17"/>
      <c r="O169" s="17"/>
      <c r="P169" s="17"/>
      <c r="Q169" s="17"/>
      <c r="R169" s="17"/>
    </row>
    <row r="170" spans="1:18" x14ac:dyDescent="0.3">
      <c r="A170" s="3"/>
      <c r="B170" s="17"/>
      <c r="C170" s="1"/>
      <c r="D170" s="41"/>
      <c r="E170" s="17"/>
      <c r="F170" s="17"/>
      <c r="G170" s="17"/>
      <c r="H170" s="17"/>
      <c r="I170" s="42"/>
      <c r="J170" s="43"/>
      <c r="K170" s="17"/>
      <c r="L170" s="17"/>
      <c r="M170" s="17"/>
      <c r="N170" s="17"/>
      <c r="O170" s="17"/>
      <c r="P170" s="17"/>
      <c r="Q170" s="17"/>
      <c r="R170" s="17"/>
    </row>
    <row r="171" spans="1:18" x14ac:dyDescent="0.3">
      <c r="A171" s="3"/>
      <c r="B171" s="17"/>
      <c r="C171" s="1"/>
      <c r="D171" s="41"/>
      <c r="E171" s="17"/>
      <c r="F171" s="17"/>
      <c r="G171" s="17"/>
      <c r="H171" s="17"/>
      <c r="I171" s="42"/>
      <c r="J171" s="43"/>
      <c r="K171" s="17"/>
      <c r="L171" s="17"/>
      <c r="M171" s="17"/>
      <c r="N171" s="17"/>
      <c r="O171" s="17"/>
      <c r="P171" s="17"/>
      <c r="Q171" s="17"/>
      <c r="R171" s="17"/>
    </row>
    <row r="172" spans="1:18" x14ac:dyDescent="0.3">
      <c r="A172" s="3"/>
      <c r="B172" s="17"/>
      <c r="C172" s="1"/>
      <c r="D172" s="41"/>
      <c r="E172" s="17"/>
      <c r="F172" s="17"/>
      <c r="G172" s="17"/>
      <c r="H172" s="17"/>
      <c r="I172" s="42"/>
      <c r="J172" s="43"/>
      <c r="K172" s="17"/>
      <c r="L172" s="17"/>
      <c r="M172" s="17"/>
      <c r="N172" s="17"/>
      <c r="O172" s="17"/>
      <c r="P172" s="17"/>
      <c r="Q172" s="17"/>
      <c r="R172" s="17"/>
    </row>
    <row r="173" spans="1:18" x14ac:dyDescent="0.3">
      <c r="A173" s="3"/>
      <c r="B173" s="17"/>
      <c r="C173" s="1"/>
      <c r="D173" s="41"/>
      <c r="E173" s="17"/>
      <c r="F173" s="17"/>
      <c r="G173" s="17"/>
      <c r="H173" s="17"/>
      <c r="I173" s="42"/>
      <c r="J173" s="43"/>
      <c r="K173" s="17"/>
      <c r="L173" s="17"/>
      <c r="M173" s="17"/>
      <c r="N173" s="17"/>
      <c r="O173" s="17"/>
      <c r="P173" s="17"/>
      <c r="Q173" s="17"/>
      <c r="R173" s="17"/>
    </row>
    <row r="174" spans="1:18" x14ac:dyDescent="0.3">
      <c r="A174" s="3"/>
      <c r="B174" s="17"/>
      <c r="C174" s="1"/>
      <c r="D174" s="41"/>
      <c r="E174" s="17"/>
      <c r="F174" s="17"/>
      <c r="G174" s="17"/>
      <c r="H174" s="17"/>
      <c r="I174" s="42"/>
      <c r="J174" s="43"/>
      <c r="K174" s="17"/>
      <c r="L174" s="17"/>
      <c r="M174" s="17"/>
      <c r="N174" s="17"/>
      <c r="O174" s="17"/>
      <c r="P174" s="17"/>
      <c r="Q174" s="17"/>
      <c r="R174" s="17"/>
    </row>
    <row r="175" spans="1:18" x14ac:dyDescent="0.3">
      <c r="A175" s="3"/>
      <c r="B175" s="17"/>
      <c r="C175" s="1"/>
      <c r="D175" s="41"/>
      <c r="E175" s="17"/>
      <c r="F175" s="17"/>
      <c r="G175" s="17"/>
      <c r="H175" s="17"/>
      <c r="I175" s="42"/>
      <c r="J175" s="43"/>
      <c r="K175" s="17"/>
      <c r="L175" s="17"/>
      <c r="M175" s="17"/>
      <c r="N175" s="17"/>
      <c r="O175" s="17"/>
      <c r="P175" s="17"/>
      <c r="Q175" s="17"/>
      <c r="R175" s="17"/>
    </row>
    <row r="176" spans="1:18" x14ac:dyDescent="0.3">
      <c r="A176" s="3"/>
      <c r="B176" s="17"/>
      <c r="C176" s="1"/>
      <c r="D176" s="41"/>
      <c r="E176" s="17"/>
      <c r="F176" s="17"/>
      <c r="G176" s="17"/>
      <c r="H176" s="17"/>
      <c r="I176" s="42"/>
      <c r="J176" s="43"/>
      <c r="K176" s="17"/>
      <c r="L176" s="17"/>
      <c r="M176" s="17"/>
      <c r="N176" s="17"/>
      <c r="O176" s="17"/>
      <c r="P176" s="17"/>
      <c r="Q176" s="17"/>
      <c r="R176" s="17"/>
    </row>
    <row r="177" spans="1:18" x14ac:dyDescent="0.3">
      <c r="A177" s="3"/>
      <c r="B177" s="17"/>
      <c r="C177" s="1"/>
      <c r="D177" s="41"/>
      <c r="E177" s="17"/>
      <c r="F177" s="17"/>
      <c r="G177" s="17"/>
      <c r="H177" s="17"/>
      <c r="I177" s="42"/>
      <c r="J177" s="43"/>
      <c r="K177" s="17"/>
      <c r="L177" s="17"/>
      <c r="M177" s="17"/>
      <c r="N177" s="17"/>
      <c r="O177" s="17"/>
      <c r="P177" s="17"/>
      <c r="Q177" s="17"/>
      <c r="R177" s="17"/>
    </row>
    <row r="178" spans="1:18" x14ac:dyDescent="0.3">
      <c r="A178" s="3"/>
      <c r="B178" s="17"/>
      <c r="C178" s="1"/>
      <c r="D178" s="41"/>
      <c r="E178" s="17"/>
      <c r="F178" s="17"/>
      <c r="G178" s="17"/>
      <c r="H178" s="17"/>
      <c r="I178" s="42"/>
      <c r="J178" s="43"/>
      <c r="K178" s="17"/>
      <c r="L178" s="17"/>
      <c r="M178" s="17"/>
      <c r="N178" s="17"/>
      <c r="O178" s="17"/>
      <c r="P178" s="17"/>
      <c r="Q178" s="17"/>
      <c r="R178" s="17"/>
    </row>
    <row r="179" spans="1:18" x14ac:dyDescent="0.3">
      <c r="A179" s="3"/>
      <c r="B179" s="17"/>
      <c r="C179" s="1"/>
      <c r="D179" s="41"/>
      <c r="E179" s="17"/>
      <c r="F179" s="17"/>
      <c r="G179" s="17"/>
      <c r="H179" s="17"/>
      <c r="I179" s="42"/>
      <c r="J179" s="43"/>
      <c r="K179" s="17"/>
      <c r="L179" s="17"/>
      <c r="M179" s="17"/>
      <c r="N179" s="17"/>
      <c r="O179" s="17"/>
      <c r="P179" s="17"/>
      <c r="Q179" s="17"/>
      <c r="R179" s="17"/>
    </row>
    <row r="180" spans="1:18" x14ac:dyDescent="0.3">
      <c r="A180" s="3"/>
      <c r="B180" s="17"/>
      <c r="C180" s="1"/>
      <c r="D180" s="41"/>
      <c r="E180" s="17"/>
      <c r="F180" s="17"/>
      <c r="G180" s="17"/>
      <c r="H180" s="17"/>
      <c r="I180" s="42"/>
      <c r="J180" s="43"/>
      <c r="K180" s="17"/>
      <c r="L180" s="17"/>
      <c r="M180" s="17"/>
      <c r="N180" s="17"/>
      <c r="O180" s="17"/>
      <c r="P180" s="17"/>
      <c r="Q180" s="17"/>
      <c r="R180" s="17"/>
    </row>
    <row r="181" spans="1:18" x14ac:dyDescent="0.3">
      <c r="A181" s="3"/>
      <c r="B181" s="17"/>
      <c r="C181" s="1"/>
      <c r="D181" s="41"/>
      <c r="E181" s="17"/>
      <c r="F181" s="17"/>
      <c r="G181" s="17"/>
      <c r="H181" s="17"/>
      <c r="I181" s="42"/>
      <c r="J181" s="43"/>
      <c r="K181" s="17"/>
      <c r="L181" s="17"/>
      <c r="M181" s="17"/>
      <c r="N181" s="17"/>
      <c r="O181" s="17"/>
      <c r="P181" s="17"/>
      <c r="Q181" s="17"/>
      <c r="R181" s="17"/>
    </row>
    <row r="182" spans="1:18" x14ac:dyDescent="0.3">
      <c r="A182" s="3"/>
      <c r="B182" s="17"/>
      <c r="C182" s="1"/>
      <c r="D182" s="41"/>
      <c r="E182" s="17"/>
      <c r="F182" s="17"/>
      <c r="G182" s="17"/>
      <c r="H182" s="17"/>
      <c r="I182" s="42"/>
      <c r="J182" s="43"/>
      <c r="K182" s="17"/>
      <c r="L182" s="17"/>
      <c r="M182" s="17"/>
      <c r="N182" s="17"/>
      <c r="O182" s="17"/>
      <c r="P182" s="17"/>
      <c r="Q182" s="17"/>
      <c r="R182" s="17"/>
    </row>
    <row r="183" spans="1:18" x14ac:dyDescent="0.3">
      <c r="A183" s="3"/>
      <c r="B183" s="17"/>
      <c r="C183" s="1"/>
      <c r="D183" s="41"/>
      <c r="E183" s="17"/>
      <c r="F183" s="17"/>
      <c r="G183" s="17"/>
      <c r="H183" s="17"/>
      <c r="I183" s="42"/>
      <c r="J183" s="43"/>
      <c r="K183" s="17"/>
      <c r="L183" s="17"/>
      <c r="M183" s="17"/>
      <c r="N183" s="17"/>
      <c r="O183" s="17"/>
      <c r="P183" s="17"/>
      <c r="Q183" s="17"/>
      <c r="R183" s="17"/>
    </row>
    <row r="184" spans="1:18" x14ac:dyDescent="0.3">
      <c r="A184" s="3"/>
      <c r="B184" s="17"/>
      <c r="C184" s="1"/>
      <c r="D184" s="41"/>
      <c r="E184" s="17"/>
      <c r="F184" s="17"/>
      <c r="G184" s="17"/>
      <c r="H184" s="17"/>
      <c r="I184" s="42"/>
      <c r="J184" s="43"/>
      <c r="K184" s="17"/>
      <c r="L184" s="17"/>
      <c r="M184" s="17"/>
      <c r="N184" s="17"/>
      <c r="O184" s="17"/>
      <c r="P184" s="17"/>
      <c r="Q184" s="17"/>
      <c r="R184" s="17"/>
    </row>
    <row r="185" spans="1:18" x14ac:dyDescent="0.3">
      <c r="A185" s="3"/>
      <c r="B185" s="17"/>
      <c r="C185" s="1"/>
      <c r="D185" s="41"/>
      <c r="E185" s="17"/>
      <c r="F185" s="17"/>
      <c r="G185" s="17"/>
      <c r="H185" s="17"/>
      <c r="I185" s="42"/>
      <c r="J185" s="43"/>
      <c r="K185" s="17"/>
      <c r="L185" s="17"/>
      <c r="M185" s="17"/>
      <c r="N185" s="17"/>
      <c r="O185" s="17"/>
      <c r="P185" s="17"/>
      <c r="Q185" s="17"/>
      <c r="R185" s="17"/>
    </row>
    <row r="186" spans="1:18" x14ac:dyDescent="0.3">
      <c r="A186" s="3"/>
      <c r="B186" s="17"/>
      <c r="C186" s="1"/>
      <c r="D186" s="41"/>
      <c r="E186" s="17"/>
      <c r="F186" s="17"/>
      <c r="G186" s="17"/>
      <c r="H186" s="17"/>
      <c r="I186" s="42"/>
      <c r="J186" s="43"/>
      <c r="K186" s="17"/>
      <c r="L186" s="17"/>
      <c r="M186" s="17"/>
      <c r="N186" s="17"/>
      <c r="O186" s="17"/>
      <c r="P186" s="17"/>
      <c r="Q186" s="17"/>
      <c r="R186" s="17"/>
    </row>
    <row r="187" spans="1:18" x14ac:dyDescent="0.3">
      <c r="A187" s="3"/>
      <c r="B187" s="17"/>
      <c r="C187" s="1"/>
      <c r="D187" s="41"/>
      <c r="E187" s="17"/>
      <c r="F187" s="17"/>
      <c r="G187" s="17"/>
      <c r="H187" s="17"/>
      <c r="I187" s="42"/>
      <c r="J187" s="43"/>
      <c r="K187" s="17"/>
      <c r="L187" s="17"/>
      <c r="M187" s="17"/>
      <c r="N187" s="17"/>
      <c r="O187" s="17"/>
      <c r="P187" s="17"/>
      <c r="Q187" s="17"/>
      <c r="R187" s="17"/>
    </row>
    <row r="188" spans="1:18" x14ac:dyDescent="0.3">
      <c r="A188" s="3"/>
      <c r="B188" s="17"/>
      <c r="C188" s="1"/>
      <c r="D188" s="41"/>
      <c r="E188" s="17"/>
      <c r="F188" s="17"/>
      <c r="G188" s="17"/>
      <c r="H188" s="17"/>
      <c r="I188" s="42"/>
      <c r="J188" s="43"/>
      <c r="K188" s="17"/>
      <c r="L188" s="17"/>
      <c r="M188" s="17"/>
      <c r="N188" s="17"/>
      <c r="O188" s="17"/>
      <c r="P188" s="17"/>
      <c r="Q188" s="17"/>
      <c r="R188" s="17"/>
    </row>
    <row r="189" spans="1:18" x14ac:dyDescent="0.3">
      <c r="A189" s="3"/>
      <c r="B189" s="17"/>
      <c r="C189" s="1"/>
      <c r="D189" s="41"/>
      <c r="E189" s="17"/>
      <c r="F189" s="17"/>
      <c r="G189" s="17"/>
      <c r="H189" s="17"/>
      <c r="I189" s="42"/>
      <c r="J189" s="43"/>
      <c r="K189" s="17"/>
      <c r="L189" s="17"/>
      <c r="M189" s="17"/>
      <c r="N189" s="17"/>
      <c r="O189" s="17"/>
      <c r="P189" s="17"/>
      <c r="Q189" s="17"/>
      <c r="R189" s="17"/>
    </row>
    <row r="190" spans="1:18" x14ac:dyDescent="0.3">
      <c r="A190" s="3"/>
      <c r="B190" s="17"/>
      <c r="C190" s="1"/>
      <c r="D190" s="41"/>
      <c r="E190" s="17"/>
      <c r="F190" s="17"/>
      <c r="G190" s="17"/>
      <c r="H190" s="17"/>
      <c r="I190" s="42"/>
      <c r="J190" s="43"/>
      <c r="K190" s="17"/>
      <c r="L190" s="17"/>
      <c r="M190" s="17"/>
      <c r="N190" s="17"/>
      <c r="O190" s="17"/>
      <c r="P190" s="17"/>
      <c r="Q190" s="17"/>
      <c r="R190" s="17"/>
    </row>
    <row r="191" spans="1:18" x14ac:dyDescent="0.3">
      <c r="A191" s="3"/>
      <c r="B191" s="17"/>
      <c r="C191" s="1"/>
      <c r="D191" s="41"/>
      <c r="E191" s="17"/>
      <c r="F191" s="17"/>
      <c r="G191" s="17"/>
      <c r="H191" s="17"/>
      <c r="I191" s="42"/>
      <c r="J191" s="43"/>
      <c r="K191" s="17"/>
      <c r="L191" s="17"/>
      <c r="M191" s="17"/>
      <c r="N191" s="17"/>
      <c r="O191" s="17"/>
      <c r="P191" s="17"/>
      <c r="Q191" s="17"/>
      <c r="R191" s="17"/>
    </row>
    <row r="192" spans="1:18" x14ac:dyDescent="0.3">
      <c r="A192" s="3"/>
      <c r="B192" s="17"/>
      <c r="C192" s="1"/>
      <c r="D192" s="41"/>
      <c r="E192" s="17"/>
      <c r="F192" s="17"/>
      <c r="G192" s="17"/>
      <c r="H192" s="17"/>
      <c r="I192" s="42"/>
      <c r="J192" s="43"/>
      <c r="K192" s="17"/>
      <c r="L192" s="17"/>
      <c r="M192" s="17"/>
      <c r="N192" s="17"/>
      <c r="O192" s="17"/>
      <c r="P192" s="17"/>
      <c r="Q192" s="17"/>
      <c r="R192" s="17"/>
    </row>
    <row r="193" spans="1:18" x14ac:dyDescent="0.3">
      <c r="A193" s="3"/>
      <c r="B193" s="17"/>
      <c r="C193" s="1"/>
      <c r="D193" s="41"/>
      <c r="E193" s="17"/>
      <c r="F193" s="17"/>
      <c r="G193" s="17"/>
      <c r="H193" s="17"/>
      <c r="I193" s="42"/>
      <c r="J193" s="43"/>
      <c r="K193" s="17"/>
      <c r="L193" s="17"/>
      <c r="M193" s="17"/>
      <c r="N193" s="17"/>
      <c r="O193" s="17"/>
      <c r="P193" s="17"/>
      <c r="Q193" s="17"/>
      <c r="R193" s="17"/>
    </row>
    <row r="194" spans="1:18" x14ac:dyDescent="0.3">
      <c r="A194" s="3"/>
      <c r="B194" s="17"/>
      <c r="C194" s="1"/>
      <c r="D194" s="41"/>
      <c r="E194" s="17"/>
      <c r="F194" s="17"/>
      <c r="G194" s="17"/>
      <c r="H194" s="17"/>
      <c r="I194" s="42"/>
      <c r="J194" s="43"/>
      <c r="K194" s="17"/>
      <c r="L194" s="17"/>
      <c r="M194" s="17"/>
      <c r="N194" s="17"/>
      <c r="O194" s="17"/>
      <c r="P194" s="17"/>
      <c r="Q194" s="17"/>
      <c r="R194" s="17"/>
    </row>
    <row r="195" spans="1:18" x14ac:dyDescent="0.3">
      <c r="A195" s="3"/>
      <c r="B195" s="17"/>
      <c r="C195" s="1"/>
      <c r="D195" s="41"/>
      <c r="E195" s="17"/>
      <c r="F195" s="17"/>
      <c r="G195" s="17"/>
      <c r="H195" s="17"/>
      <c r="I195" s="42"/>
      <c r="J195" s="43"/>
      <c r="K195" s="17"/>
      <c r="L195" s="17"/>
      <c r="M195" s="17"/>
      <c r="N195" s="17"/>
      <c r="O195" s="17"/>
      <c r="P195" s="17"/>
      <c r="Q195" s="17"/>
      <c r="R195" s="17"/>
    </row>
    <row r="196" spans="1:18" x14ac:dyDescent="0.3">
      <c r="A196" s="3"/>
      <c r="B196" s="17"/>
      <c r="C196" s="1"/>
      <c r="D196" s="41"/>
      <c r="E196" s="17"/>
      <c r="F196" s="17"/>
      <c r="G196" s="17"/>
      <c r="H196" s="17"/>
      <c r="I196" s="42"/>
      <c r="J196" s="43"/>
      <c r="K196" s="17"/>
      <c r="L196" s="17"/>
      <c r="M196" s="17"/>
      <c r="N196" s="17"/>
      <c r="O196" s="17"/>
      <c r="P196" s="17"/>
      <c r="Q196" s="17"/>
      <c r="R196" s="17"/>
    </row>
    <row r="197" spans="1:18" x14ac:dyDescent="0.3">
      <c r="A197" s="3"/>
      <c r="B197" s="17"/>
      <c r="C197" s="1"/>
      <c r="D197" s="41"/>
      <c r="E197" s="17"/>
      <c r="F197" s="17"/>
      <c r="G197" s="17"/>
      <c r="H197" s="17"/>
      <c r="I197" s="42"/>
      <c r="J197" s="43"/>
      <c r="K197" s="17"/>
      <c r="L197" s="17"/>
      <c r="M197" s="17"/>
      <c r="N197" s="17"/>
      <c r="O197" s="17"/>
      <c r="P197" s="17"/>
      <c r="Q197" s="17"/>
      <c r="R197" s="17"/>
    </row>
    <row r="198" spans="1:18" x14ac:dyDescent="0.3">
      <c r="A198" s="3"/>
      <c r="B198" s="17"/>
      <c r="C198" s="1"/>
      <c r="D198" s="41"/>
      <c r="E198" s="17"/>
      <c r="F198" s="17"/>
      <c r="G198" s="17"/>
      <c r="H198" s="17"/>
      <c r="I198" s="42"/>
      <c r="J198" s="43"/>
      <c r="K198" s="17"/>
      <c r="L198" s="17"/>
      <c r="M198" s="17"/>
      <c r="N198" s="17"/>
      <c r="O198" s="17"/>
      <c r="P198" s="17"/>
      <c r="Q198" s="17"/>
      <c r="R198" s="17"/>
    </row>
    <row r="199" spans="1:18" x14ac:dyDescent="0.3">
      <c r="A199" s="3"/>
      <c r="B199" s="17"/>
      <c r="C199" s="1"/>
      <c r="D199" s="41"/>
      <c r="E199" s="17"/>
      <c r="F199" s="17"/>
      <c r="G199" s="17"/>
      <c r="H199" s="17"/>
      <c r="I199" s="42"/>
      <c r="J199" s="43"/>
      <c r="K199" s="17"/>
      <c r="L199" s="17"/>
      <c r="M199" s="17"/>
      <c r="N199" s="17"/>
      <c r="O199" s="17"/>
      <c r="P199" s="17"/>
      <c r="Q199" s="17"/>
      <c r="R199" s="17"/>
    </row>
    <row r="200" spans="1:18" x14ac:dyDescent="0.3">
      <c r="A200" s="3"/>
      <c r="B200" s="17"/>
      <c r="C200" s="1"/>
      <c r="D200" s="41"/>
      <c r="E200" s="17"/>
      <c r="F200" s="17"/>
      <c r="G200" s="17"/>
      <c r="H200" s="17"/>
      <c r="I200" s="42"/>
      <c r="J200" s="43"/>
      <c r="K200" s="17"/>
      <c r="L200" s="17"/>
      <c r="M200" s="17"/>
      <c r="N200" s="17"/>
      <c r="O200" s="17"/>
      <c r="P200" s="17"/>
      <c r="Q200" s="17"/>
      <c r="R200" s="17"/>
    </row>
    <row r="201" spans="1:18" x14ac:dyDescent="0.3">
      <c r="A201" s="3"/>
      <c r="B201" s="17"/>
      <c r="C201" s="1"/>
      <c r="D201" s="41"/>
      <c r="E201" s="17"/>
      <c r="F201" s="17"/>
      <c r="G201" s="17"/>
      <c r="H201" s="17"/>
      <c r="I201" s="42"/>
      <c r="J201" s="43"/>
      <c r="K201" s="17"/>
      <c r="L201" s="17"/>
      <c r="M201" s="17"/>
      <c r="N201" s="17"/>
      <c r="O201" s="17"/>
      <c r="P201" s="17"/>
      <c r="Q201" s="17"/>
      <c r="R201" s="17"/>
    </row>
    <row r="202" spans="1:18" x14ac:dyDescent="0.3">
      <c r="A202" s="3"/>
      <c r="B202" s="17"/>
      <c r="C202" s="1"/>
      <c r="D202" s="41"/>
      <c r="E202" s="17"/>
      <c r="F202" s="17"/>
      <c r="G202" s="17"/>
      <c r="H202" s="17"/>
      <c r="I202" s="42"/>
      <c r="J202" s="43"/>
      <c r="K202" s="17"/>
      <c r="L202" s="17"/>
      <c r="M202" s="17"/>
      <c r="N202" s="17"/>
      <c r="O202" s="17"/>
      <c r="P202" s="17"/>
      <c r="Q202" s="17"/>
      <c r="R202" s="17"/>
    </row>
    <row r="203" spans="1:18" x14ac:dyDescent="0.3">
      <c r="A203" s="3"/>
      <c r="B203" s="17"/>
      <c r="C203" s="1"/>
      <c r="D203" s="41"/>
      <c r="E203" s="17"/>
      <c r="F203" s="17"/>
      <c r="G203" s="17"/>
      <c r="H203" s="17"/>
      <c r="I203" s="42"/>
      <c r="J203" s="43"/>
      <c r="K203" s="17"/>
      <c r="L203" s="17"/>
      <c r="M203" s="17"/>
      <c r="N203" s="17"/>
      <c r="O203" s="17"/>
      <c r="P203" s="17"/>
      <c r="Q203" s="17"/>
      <c r="R203" s="17"/>
    </row>
    <row r="204" spans="1:18" x14ac:dyDescent="0.3">
      <c r="A204" s="3"/>
      <c r="B204" s="17"/>
      <c r="C204" s="1"/>
      <c r="D204" s="41"/>
      <c r="E204" s="17"/>
      <c r="F204" s="17"/>
      <c r="G204" s="17"/>
      <c r="H204" s="17"/>
      <c r="I204" s="42"/>
      <c r="J204" s="43"/>
      <c r="K204" s="17"/>
      <c r="L204" s="17"/>
      <c r="M204" s="17"/>
      <c r="N204" s="17"/>
      <c r="O204" s="17"/>
      <c r="P204" s="17"/>
      <c r="Q204" s="17"/>
      <c r="R204" s="17"/>
    </row>
    <row r="205" spans="1:18" x14ac:dyDescent="0.3">
      <c r="A205" s="3"/>
      <c r="B205" s="17"/>
      <c r="C205" s="1"/>
      <c r="D205" s="41"/>
      <c r="E205" s="17"/>
      <c r="F205" s="17"/>
      <c r="G205" s="17"/>
      <c r="H205" s="17"/>
      <c r="I205" s="42"/>
      <c r="J205" s="43"/>
      <c r="K205" s="17"/>
      <c r="L205" s="17"/>
      <c r="M205" s="17"/>
      <c r="N205" s="17"/>
      <c r="O205" s="17"/>
      <c r="P205" s="17"/>
      <c r="Q205" s="17"/>
      <c r="R205" s="17"/>
    </row>
    <row r="206" spans="1:18" x14ac:dyDescent="0.3">
      <c r="A206" s="3"/>
      <c r="B206" s="17"/>
      <c r="C206" s="1"/>
      <c r="D206" s="41"/>
      <c r="E206" s="17"/>
      <c r="F206" s="17"/>
      <c r="G206" s="17"/>
      <c r="H206" s="17"/>
      <c r="I206" s="42"/>
      <c r="J206" s="43"/>
      <c r="K206" s="17"/>
      <c r="L206" s="17"/>
      <c r="M206" s="17"/>
      <c r="N206" s="17"/>
      <c r="O206" s="17"/>
      <c r="P206" s="17"/>
      <c r="Q206" s="17"/>
      <c r="R206" s="17"/>
    </row>
    <row r="207" spans="1:18" x14ac:dyDescent="0.3">
      <c r="A207" s="3"/>
      <c r="B207" s="17"/>
      <c r="C207" s="1"/>
      <c r="D207" s="41"/>
      <c r="E207" s="17"/>
      <c r="F207" s="17"/>
      <c r="G207" s="17"/>
      <c r="H207" s="17"/>
      <c r="I207" s="42"/>
      <c r="J207" s="43"/>
      <c r="K207" s="17"/>
      <c r="L207" s="17"/>
      <c r="M207" s="17"/>
      <c r="N207" s="17"/>
      <c r="O207" s="17"/>
      <c r="P207" s="17"/>
      <c r="Q207" s="17"/>
      <c r="R207" s="17"/>
    </row>
    <row r="208" spans="1:18" x14ac:dyDescent="0.3">
      <c r="A208" s="3"/>
      <c r="B208" s="17"/>
      <c r="C208" s="1"/>
      <c r="D208" s="41"/>
      <c r="E208" s="17"/>
      <c r="F208" s="17"/>
      <c r="G208" s="17"/>
      <c r="H208" s="17"/>
      <c r="I208" s="42"/>
      <c r="J208" s="43"/>
      <c r="K208" s="17"/>
      <c r="L208" s="17"/>
      <c r="M208" s="17"/>
      <c r="N208" s="17"/>
      <c r="O208" s="17"/>
      <c r="P208" s="17"/>
      <c r="Q208" s="17"/>
      <c r="R208" s="17"/>
    </row>
    <row r="209" spans="1:18" x14ac:dyDescent="0.3">
      <c r="A209" s="3"/>
      <c r="B209" s="17"/>
      <c r="C209" s="1"/>
      <c r="D209" s="41"/>
      <c r="E209" s="17"/>
      <c r="F209" s="17"/>
      <c r="G209" s="17"/>
      <c r="H209" s="17"/>
      <c r="I209" s="42"/>
      <c r="J209" s="43"/>
      <c r="K209" s="17"/>
      <c r="L209" s="17"/>
      <c r="M209" s="17"/>
      <c r="N209" s="17"/>
      <c r="O209" s="17"/>
      <c r="P209" s="17"/>
      <c r="Q209" s="17"/>
      <c r="R209" s="17"/>
    </row>
    <row r="210" spans="1:18" x14ac:dyDescent="0.3">
      <c r="A210" s="3"/>
      <c r="B210" s="17"/>
      <c r="C210" s="1"/>
      <c r="D210" s="41"/>
      <c r="E210" s="17"/>
      <c r="F210" s="17"/>
      <c r="G210" s="17"/>
      <c r="H210" s="17"/>
      <c r="I210" s="42"/>
      <c r="J210" s="43"/>
      <c r="K210" s="17"/>
      <c r="L210" s="17"/>
      <c r="M210" s="17"/>
      <c r="N210" s="17"/>
      <c r="O210" s="17"/>
      <c r="P210" s="17"/>
      <c r="Q210" s="17"/>
      <c r="R210" s="17"/>
    </row>
    <row r="211" spans="1:18" x14ac:dyDescent="0.3">
      <c r="A211" s="3"/>
      <c r="B211" s="17"/>
      <c r="C211" s="1"/>
      <c r="D211" s="41"/>
      <c r="E211" s="17"/>
      <c r="F211" s="17"/>
      <c r="G211" s="17"/>
      <c r="H211" s="17"/>
      <c r="I211" s="42"/>
      <c r="J211" s="43"/>
      <c r="K211" s="17"/>
      <c r="L211" s="17"/>
      <c r="M211" s="17"/>
      <c r="N211" s="17"/>
      <c r="O211" s="17"/>
      <c r="P211" s="17"/>
      <c r="Q211" s="17"/>
      <c r="R211" s="17"/>
    </row>
    <row r="212" spans="1:18" x14ac:dyDescent="0.3">
      <c r="A212" s="3"/>
      <c r="B212" s="17"/>
      <c r="C212" s="1"/>
      <c r="D212" s="41"/>
      <c r="E212" s="17"/>
      <c r="F212" s="17"/>
      <c r="G212" s="17"/>
      <c r="H212" s="17"/>
      <c r="I212" s="42"/>
      <c r="J212" s="43"/>
      <c r="K212" s="17"/>
      <c r="L212" s="17"/>
      <c r="M212" s="17"/>
      <c r="N212" s="17"/>
      <c r="O212" s="17"/>
      <c r="P212" s="17"/>
      <c r="Q212" s="17"/>
      <c r="R212" s="17"/>
    </row>
    <row r="213" spans="1:18" x14ac:dyDescent="0.3">
      <c r="A213" s="3"/>
      <c r="B213" s="17"/>
      <c r="C213" s="1"/>
      <c r="D213" s="41"/>
      <c r="E213" s="17"/>
      <c r="F213" s="17"/>
      <c r="G213" s="17"/>
      <c r="H213" s="17"/>
      <c r="I213" s="42"/>
      <c r="J213" s="43"/>
      <c r="K213" s="17"/>
      <c r="L213" s="17"/>
      <c r="M213" s="17"/>
      <c r="N213" s="17"/>
      <c r="O213" s="17"/>
      <c r="P213" s="17"/>
      <c r="Q213" s="17"/>
      <c r="R213" s="17"/>
    </row>
    <row r="214" spans="1:18" x14ac:dyDescent="0.3">
      <c r="A214" s="3"/>
      <c r="B214" s="17"/>
      <c r="C214" s="1"/>
      <c r="D214" s="41"/>
      <c r="E214" s="17"/>
      <c r="F214" s="17"/>
      <c r="G214" s="17"/>
      <c r="H214" s="17"/>
      <c r="I214" s="42"/>
      <c r="J214" s="43"/>
      <c r="K214" s="17"/>
      <c r="L214" s="17"/>
      <c r="M214" s="17"/>
      <c r="N214" s="17"/>
      <c r="O214" s="17"/>
      <c r="P214" s="17"/>
      <c r="Q214" s="17"/>
      <c r="R214" s="17"/>
    </row>
    <row r="215" spans="1:18" x14ac:dyDescent="0.3">
      <c r="A215" s="3"/>
      <c r="B215" s="17"/>
      <c r="C215" s="1"/>
      <c r="D215" s="41"/>
      <c r="E215" s="17"/>
      <c r="F215" s="17"/>
      <c r="G215" s="17"/>
      <c r="H215" s="17"/>
      <c r="I215" s="42"/>
      <c r="J215" s="43"/>
      <c r="K215" s="17"/>
      <c r="L215" s="17"/>
      <c r="M215" s="17"/>
      <c r="N215" s="17"/>
      <c r="O215" s="17"/>
      <c r="P215" s="17"/>
      <c r="Q215" s="17"/>
      <c r="R215" s="17"/>
    </row>
    <row r="216" spans="1:18" x14ac:dyDescent="0.3">
      <c r="A216" s="3"/>
      <c r="B216" s="17"/>
      <c r="C216" s="1"/>
      <c r="D216" s="41"/>
      <c r="E216" s="17"/>
      <c r="F216" s="17"/>
      <c r="G216" s="17"/>
      <c r="H216" s="17"/>
      <c r="I216" s="42"/>
      <c r="J216" s="43"/>
      <c r="K216" s="17"/>
      <c r="L216" s="17"/>
      <c r="M216" s="17"/>
      <c r="N216" s="17"/>
      <c r="O216" s="17"/>
      <c r="P216" s="17"/>
      <c r="Q216" s="17"/>
      <c r="R216" s="17"/>
    </row>
    <row r="217" spans="1:18" x14ac:dyDescent="0.3">
      <c r="A217" s="3"/>
      <c r="B217" s="17"/>
      <c r="C217" s="1"/>
      <c r="D217" s="41"/>
      <c r="E217" s="17"/>
      <c r="F217" s="17"/>
      <c r="G217" s="17"/>
      <c r="H217" s="17"/>
      <c r="I217" s="42"/>
      <c r="J217" s="43"/>
      <c r="K217" s="17"/>
      <c r="L217" s="17"/>
      <c r="M217" s="17"/>
      <c r="N217" s="17"/>
      <c r="O217" s="17"/>
      <c r="P217" s="17"/>
      <c r="Q217" s="17"/>
      <c r="R217" s="17"/>
    </row>
    <row r="218" spans="1:18" x14ac:dyDescent="0.3">
      <c r="A218" s="3"/>
      <c r="B218" s="17"/>
      <c r="C218" s="1"/>
      <c r="D218" s="41"/>
      <c r="E218" s="17"/>
      <c r="F218" s="17"/>
      <c r="G218" s="17"/>
      <c r="H218" s="17"/>
      <c r="I218" s="42"/>
      <c r="J218" s="43"/>
      <c r="K218" s="17"/>
      <c r="L218" s="17"/>
      <c r="M218" s="17"/>
      <c r="N218" s="17"/>
      <c r="O218" s="17"/>
      <c r="P218" s="17"/>
      <c r="Q218" s="17"/>
      <c r="R218" s="17"/>
    </row>
    <row r="219" spans="1:18" x14ac:dyDescent="0.3">
      <c r="A219" s="3"/>
      <c r="B219" s="17"/>
      <c r="C219" s="1"/>
      <c r="D219" s="41"/>
      <c r="E219" s="17"/>
      <c r="F219" s="17"/>
      <c r="G219" s="17"/>
      <c r="H219" s="17"/>
      <c r="I219" s="42"/>
      <c r="J219" s="43"/>
      <c r="K219" s="17"/>
      <c r="L219" s="17"/>
      <c r="M219" s="17"/>
      <c r="N219" s="17"/>
      <c r="O219" s="17"/>
      <c r="P219" s="17"/>
      <c r="Q219" s="17"/>
      <c r="R219" s="17"/>
    </row>
    <row r="220" spans="1:18" x14ac:dyDescent="0.3">
      <c r="A220" s="3"/>
      <c r="B220" s="17"/>
      <c r="C220" s="1"/>
      <c r="D220" s="41"/>
      <c r="E220" s="17"/>
      <c r="F220" s="17"/>
      <c r="G220" s="17"/>
      <c r="H220" s="17"/>
      <c r="I220" s="42"/>
      <c r="J220" s="43"/>
      <c r="K220" s="17"/>
      <c r="L220" s="17"/>
      <c r="M220" s="17"/>
      <c r="N220" s="17"/>
      <c r="O220" s="17"/>
      <c r="P220" s="17"/>
      <c r="Q220" s="17"/>
      <c r="R220" s="17"/>
    </row>
    <row r="221" spans="1:18" x14ac:dyDescent="0.3">
      <c r="A221" s="3"/>
      <c r="B221" s="17"/>
      <c r="C221" s="1"/>
      <c r="D221" s="41"/>
      <c r="E221" s="17"/>
      <c r="F221" s="17"/>
      <c r="G221" s="17"/>
      <c r="H221" s="17"/>
      <c r="I221" s="42"/>
      <c r="J221" s="43"/>
      <c r="K221" s="17"/>
      <c r="L221" s="17"/>
      <c r="M221" s="17"/>
      <c r="N221" s="17"/>
      <c r="O221" s="17"/>
      <c r="P221" s="17"/>
      <c r="Q221" s="17"/>
      <c r="R221" s="17"/>
    </row>
    <row r="222" spans="1:18" x14ac:dyDescent="0.3">
      <c r="A222" s="3"/>
      <c r="B222" s="17"/>
      <c r="C222" s="1"/>
      <c r="D222" s="41"/>
      <c r="E222" s="17"/>
      <c r="F222" s="17"/>
      <c r="G222" s="17"/>
      <c r="H222" s="17"/>
      <c r="I222" s="42"/>
      <c r="J222" s="43"/>
      <c r="K222" s="17"/>
      <c r="L222" s="17"/>
      <c r="M222" s="17"/>
      <c r="N222" s="17"/>
      <c r="O222" s="17"/>
      <c r="P222" s="17"/>
      <c r="Q222" s="17"/>
      <c r="R222" s="17"/>
    </row>
    <row r="223" spans="1:18" x14ac:dyDescent="0.3">
      <c r="A223" s="3"/>
      <c r="B223" s="17"/>
      <c r="C223" s="1"/>
      <c r="D223" s="41"/>
      <c r="E223" s="17"/>
      <c r="F223" s="17"/>
      <c r="G223" s="17"/>
      <c r="H223" s="17"/>
      <c r="I223" s="42"/>
      <c r="J223" s="43"/>
      <c r="K223" s="17"/>
      <c r="L223" s="17"/>
      <c r="M223" s="17"/>
      <c r="N223" s="17"/>
      <c r="O223" s="17"/>
      <c r="P223" s="17"/>
      <c r="Q223" s="17"/>
      <c r="R223" s="17"/>
    </row>
    <row r="224" spans="1:18" x14ac:dyDescent="0.3">
      <c r="A224" s="3"/>
      <c r="B224" s="17"/>
      <c r="C224" s="1"/>
      <c r="D224" s="41"/>
      <c r="E224" s="17"/>
      <c r="F224" s="17"/>
      <c r="G224" s="17"/>
      <c r="H224" s="17"/>
      <c r="I224" s="42"/>
      <c r="J224" s="43"/>
      <c r="K224" s="17"/>
      <c r="L224" s="17"/>
      <c r="M224" s="17"/>
      <c r="N224" s="17"/>
      <c r="O224" s="17"/>
      <c r="P224" s="17"/>
      <c r="Q224" s="17"/>
      <c r="R224" s="17"/>
    </row>
    <row r="225" spans="1:18" x14ac:dyDescent="0.3">
      <c r="A225" s="3"/>
      <c r="B225" s="17"/>
      <c r="C225" s="1"/>
      <c r="D225" s="41"/>
      <c r="E225" s="17"/>
      <c r="F225" s="17"/>
      <c r="G225" s="17"/>
      <c r="H225" s="17"/>
      <c r="I225" s="42"/>
      <c r="J225" s="43"/>
      <c r="K225" s="17"/>
      <c r="L225" s="17"/>
      <c r="M225" s="17"/>
      <c r="N225" s="17"/>
      <c r="O225" s="17"/>
      <c r="P225" s="17"/>
      <c r="Q225" s="17"/>
      <c r="R225" s="17"/>
    </row>
    <row r="226" spans="1:18" x14ac:dyDescent="0.3">
      <c r="A226" s="3"/>
      <c r="B226" s="17"/>
      <c r="C226" s="1"/>
      <c r="D226" s="41"/>
      <c r="E226" s="17"/>
      <c r="F226" s="17"/>
      <c r="G226" s="17"/>
      <c r="H226" s="17"/>
      <c r="I226" s="42"/>
      <c r="J226" s="43"/>
      <c r="K226" s="17"/>
      <c r="L226" s="17"/>
      <c r="M226" s="17"/>
      <c r="N226" s="17"/>
      <c r="O226" s="17"/>
      <c r="P226" s="17"/>
      <c r="Q226" s="17"/>
      <c r="R226" s="17"/>
    </row>
    <row r="227" spans="1:18" x14ac:dyDescent="0.3">
      <c r="A227" s="3"/>
      <c r="B227" s="17"/>
      <c r="C227" s="1"/>
      <c r="D227" s="41"/>
      <c r="E227" s="17"/>
      <c r="F227" s="17"/>
      <c r="G227" s="17"/>
      <c r="H227" s="17"/>
      <c r="I227" s="42"/>
      <c r="J227" s="43"/>
      <c r="K227" s="17"/>
      <c r="L227" s="17"/>
      <c r="M227" s="17"/>
      <c r="N227" s="17"/>
      <c r="O227" s="17"/>
      <c r="P227" s="17"/>
      <c r="Q227" s="17"/>
      <c r="R227" s="17"/>
    </row>
    <row r="228" spans="1:18" x14ac:dyDescent="0.3">
      <c r="A228" s="3"/>
      <c r="B228" s="17"/>
      <c r="C228" s="1"/>
      <c r="D228" s="41"/>
      <c r="E228" s="17"/>
      <c r="F228" s="17"/>
      <c r="G228" s="17"/>
      <c r="H228" s="17"/>
      <c r="I228" s="42"/>
      <c r="J228" s="43"/>
      <c r="K228" s="17"/>
      <c r="L228" s="17"/>
      <c r="M228" s="17"/>
      <c r="N228" s="17"/>
      <c r="O228" s="17"/>
      <c r="P228" s="17"/>
      <c r="Q228" s="17"/>
      <c r="R228" s="17"/>
    </row>
    <row r="229" spans="1:18" x14ac:dyDescent="0.3">
      <c r="A229" s="3"/>
      <c r="B229" s="17"/>
      <c r="C229" s="1"/>
      <c r="D229" s="41"/>
      <c r="E229" s="17"/>
      <c r="F229" s="17"/>
      <c r="G229" s="17"/>
      <c r="H229" s="17"/>
      <c r="I229" s="42"/>
      <c r="J229" s="43"/>
      <c r="K229" s="17"/>
      <c r="L229" s="17"/>
      <c r="M229" s="17"/>
      <c r="N229" s="17"/>
      <c r="O229" s="17"/>
      <c r="P229" s="17"/>
      <c r="Q229" s="17"/>
      <c r="R229" s="17"/>
    </row>
    <row r="230" spans="1:18" x14ac:dyDescent="0.3">
      <c r="A230" s="3"/>
      <c r="B230" s="17"/>
      <c r="C230" s="1"/>
      <c r="D230" s="41"/>
      <c r="E230" s="17"/>
      <c r="F230" s="17"/>
      <c r="G230" s="17"/>
      <c r="H230" s="17"/>
      <c r="I230" s="42"/>
      <c r="J230" s="43"/>
      <c r="K230" s="17"/>
      <c r="L230" s="17"/>
      <c r="M230" s="17"/>
      <c r="N230" s="17"/>
      <c r="O230" s="17"/>
      <c r="P230" s="17"/>
      <c r="Q230" s="17"/>
      <c r="R230" s="17"/>
    </row>
    <row r="231" spans="1:18" x14ac:dyDescent="0.3">
      <c r="A231" s="3"/>
      <c r="B231" s="17"/>
      <c r="C231" s="1"/>
      <c r="D231" s="41"/>
      <c r="E231" s="17"/>
      <c r="F231" s="17"/>
      <c r="G231" s="17"/>
      <c r="H231" s="17"/>
      <c r="I231" s="42"/>
      <c r="J231" s="43"/>
      <c r="K231" s="17"/>
      <c r="L231" s="17"/>
      <c r="M231" s="17"/>
      <c r="N231" s="17"/>
      <c r="O231" s="17"/>
      <c r="P231" s="17"/>
      <c r="Q231" s="17"/>
      <c r="R231" s="17"/>
    </row>
    <row r="232" spans="1:18" x14ac:dyDescent="0.3">
      <c r="A232" s="3"/>
      <c r="B232" s="17"/>
      <c r="C232" s="1"/>
      <c r="D232" s="41"/>
      <c r="E232" s="17"/>
      <c r="F232" s="17"/>
      <c r="G232" s="17"/>
      <c r="H232" s="17"/>
      <c r="I232" s="42"/>
      <c r="J232" s="43"/>
      <c r="K232" s="17"/>
      <c r="L232" s="17"/>
      <c r="M232" s="17"/>
      <c r="N232" s="17"/>
      <c r="O232" s="17"/>
      <c r="P232" s="17"/>
      <c r="Q232" s="17"/>
      <c r="R232" s="17"/>
    </row>
    <row r="233" spans="1:18" x14ac:dyDescent="0.3">
      <c r="A233" s="3"/>
      <c r="B233" s="17"/>
      <c r="C233" s="1"/>
      <c r="D233" s="41"/>
      <c r="E233" s="17"/>
      <c r="F233" s="17"/>
      <c r="G233" s="17"/>
      <c r="H233" s="17"/>
      <c r="I233" s="42"/>
      <c r="J233" s="43"/>
      <c r="K233" s="17"/>
      <c r="L233" s="17"/>
      <c r="M233" s="17"/>
      <c r="N233" s="17"/>
      <c r="O233" s="17"/>
      <c r="P233" s="17"/>
      <c r="Q233" s="17"/>
      <c r="R233" s="17"/>
    </row>
    <row r="234" spans="1:18" x14ac:dyDescent="0.3">
      <c r="A234" s="3"/>
      <c r="B234" s="17"/>
      <c r="C234" s="1"/>
      <c r="D234" s="41"/>
      <c r="E234" s="17"/>
      <c r="F234" s="17"/>
      <c r="G234" s="17"/>
      <c r="H234" s="17"/>
      <c r="I234" s="42"/>
      <c r="J234" s="43"/>
      <c r="K234" s="17"/>
      <c r="L234" s="17"/>
      <c r="M234" s="17"/>
      <c r="N234" s="17"/>
      <c r="O234" s="17"/>
      <c r="P234" s="17"/>
      <c r="Q234" s="17"/>
      <c r="R234" s="17"/>
    </row>
    <row r="235" spans="1:18" x14ac:dyDescent="0.3">
      <c r="A235" s="3"/>
      <c r="B235" s="17"/>
      <c r="C235" s="1"/>
      <c r="D235" s="41"/>
      <c r="E235" s="17"/>
      <c r="F235" s="17"/>
      <c r="G235" s="17"/>
      <c r="H235" s="17"/>
      <c r="I235" s="42"/>
      <c r="J235" s="43"/>
      <c r="K235" s="17"/>
      <c r="L235" s="17"/>
      <c r="M235" s="17"/>
      <c r="N235" s="17"/>
      <c r="O235" s="17"/>
      <c r="P235" s="17"/>
      <c r="Q235" s="17"/>
      <c r="R235" s="17"/>
    </row>
    <row r="236" spans="1:18" x14ac:dyDescent="0.3">
      <c r="A236" s="3"/>
      <c r="B236" s="17"/>
      <c r="C236" s="1"/>
      <c r="D236" s="41"/>
      <c r="E236" s="17"/>
      <c r="F236" s="17"/>
      <c r="G236" s="17"/>
      <c r="H236" s="17"/>
      <c r="I236" s="42"/>
      <c r="J236" s="43"/>
      <c r="K236" s="17"/>
      <c r="L236" s="17"/>
      <c r="M236" s="17"/>
      <c r="N236" s="17"/>
      <c r="O236" s="17"/>
      <c r="P236" s="17"/>
      <c r="Q236" s="17"/>
      <c r="R236" s="17"/>
    </row>
    <row r="237" spans="1:18" x14ac:dyDescent="0.3">
      <c r="A237" s="3"/>
      <c r="B237" s="17"/>
      <c r="C237" s="1"/>
      <c r="D237" s="41"/>
      <c r="E237" s="17"/>
      <c r="F237" s="17"/>
      <c r="G237" s="17"/>
      <c r="H237" s="17"/>
      <c r="I237" s="42"/>
      <c r="J237" s="43"/>
      <c r="K237" s="17"/>
      <c r="L237" s="17"/>
      <c r="M237" s="17"/>
      <c r="N237" s="17"/>
      <c r="O237" s="17"/>
      <c r="P237" s="17"/>
      <c r="Q237" s="17"/>
      <c r="R237" s="17"/>
    </row>
    <row r="238" spans="1:18" x14ac:dyDescent="0.3">
      <c r="A238" s="3"/>
      <c r="B238" s="17"/>
      <c r="C238" s="1"/>
      <c r="D238" s="41"/>
      <c r="E238" s="17"/>
      <c r="F238" s="17"/>
      <c r="G238" s="17"/>
      <c r="H238" s="17"/>
      <c r="I238" s="42"/>
      <c r="J238" s="43"/>
      <c r="K238" s="17"/>
      <c r="L238" s="17"/>
      <c r="M238" s="17"/>
      <c r="N238" s="17"/>
      <c r="O238" s="17"/>
      <c r="P238" s="17"/>
      <c r="Q238" s="17"/>
      <c r="R238" s="17"/>
    </row>
    <row r="239" spans="1:18" x14ac:dyDescent="0.3">
      <c r="A239" s="3"/>
      <c r="B239" s="17"/>
      <c r="C239" s="1"/>
      <c r="D239" s="41"/>
      <c r="E239" s="17"/>
      <c r="F239" s="17"/>
      <c r="G239" s="17"/>
      <c r="H239" s="17"/>
      <c r="I239" s="42"/>
      <c r="J239" s="43"/>
      <c r="K239" s="17"/>
      <c r="L239" s="17"/>
      <c r="M239" s="17"/>
      <c r="N239" s="17"/>
      <c r="O239" s="17"/>
      <c r="P239" s="17"/>
      <c r="Q239" s="17"/>
      <c r="R239" s="17"/>
    </row>
    <row r="240" spans="1:18" x14ac:dyDescent="0.3">
      <c r="A240" s="3"/>
      <c r="B240" s="17"/>
      <c r="C240" s="1"/>
      <c r="D240" s="41"/>
      <c r="E240" s="17"/>
      <c r="F240" s="17"/>
      <c r="G240" s="17"/>
      <c r="H240" s="17"/>
      <c r="I240" s="42"/>
      <c r="J240" s="43"/>
      <c r="K240" s="17"/>
      <c r="L240" s="17"/>
      <c r="M240" s="17"/>
      <c r="N240" s="17"/>
      <c r="O240" s="17"/>
      <c r="P240" s="17"/>
      <c r="Q240" s="17"/>
      <c r="R240" s="17"/>
    </row>
    <row r="241" spans="1:18" x14ac:dyDescent="0.3">
      <c r="A241" s="3"/>
      <c r="B241" s="17"/>
      <c r="C241" s="1"/>
      <c r="D241" s="41"/>
      <c r="E241" s="17"/>
      <c r="F241" s="17"/>
      <c r="G241" s="17"/>
      <c r="H241" s="17"/>
      <c r="I241" s="42"/>
      <c r="J241" s="43"/>
      <c r="K241" s="17"/>
      <c r="L241" s="17"/>
      <c r="M241" s="17"/>
      <c r="N241" s="17"/>
      <c r="O241" s="17"/>
      <c r="P241" s="17"/>
      <c r="Q241" s="17"/>
      <c r="R241" s="17"/>
    </row>
    <row r="242" spans="1:18" x14ac:dyDescent="0.3">
      <c r="A242" s="3"/>
      <c r="B242" s="17"/>
      <c r="C242" s="1"/>
      <c r="D242" s="41"/>
      <c r="E242" s="17"/>
      <c r="F242" s="17"/>
      <c r="G242" s="17"/>
      <c r="H242" s="17"/>
      <c r="I242" s="42"/>
      <c r="J242" s="43"/>
      <c r="K242" s="17"/>
      <c r="L242" s="17"/>
      <c r="M242" s="17"/>
      <c r="N242" s="17"/>
      <c r="O242" s="17"/>
      <c r="P242" s="17"/>
      <c r="Q242" s="17"/>
      <c r="R242" s="17"/>
    </row>
    <row r="243" spans="1:18" x14ac:dyDescent="0.3">
      <c r="A243" s="3"/>
      <c r="B243" s="17"/>
      <c r="C243" s="1"/>
      <c r="D243" s="41"/>
      <c r="E243" s="17"/>
      <c r="F243" s="17"/>
      <c r="G243" s="17"/>
      <c r="H243" s="17"/>
      <c r="I243" s="42"/>
      <c r="J243" s="43"/>
      <c r="K243" s="17"/>
      <c r="L243" s="17"/>
      <c r="M243" s="17"/>
      <c r="N243" s="17"/>
      <c r="O243" s="17"/>
      <c r="P243" s="17"/>
      <c r="Q243" s="17"/>
      <c r="R243" s="17"/>
    </row>
    <row r="244" spans="1:18" x14ac:dyDescent="0.3">
      <c r="A244" s="3"/>
      <c r="B244" s="17"/>
      <c r="C244" s="1"/>
      <c r="D244" s="41"/>
      <c r="E244" s="17"/>
      <c r="F244" s="17"/>
      <c r="G244" s="17"/>
      <c r="H244" s="17"/>
      <c r="I244" s="42"/>
      <c r="J244" s="43"/>
      <c r="K244" s="17"/>
      <c r="L244" s="17"/>
      <c r="M244" s="17"/>
      <c r="N244" s="17"/>
      <c r="O244" s="17"/>
      <c r="P244" s="17"/>
      <c r="Q244" s="17"/>
      <c r="R244" s="17"/>
    </row>
    <row r="245" spans="1:18" x14ac:dyDescent="0.3">
      <c r="A245" s="3"/>
      <c r="B245" s="17"/>
      <c r="C245" s="1"/>
      <c r="D245" s="41"/>
      <c r="E245" s="17"/>
      <c r="F245" s="17"/>
      <c r="G245" s="17"/>
      <c r="H245" s="17"/>
      <c r="I245" s="42"/>
      <c r="J245" s="43"/>
      <c r="K245" s="17"/>
      <c r="L245" s="17"/>
      <c r="M245" s="17"/>
      <c r="N245" s="17"/>
      <c r="O245" s="17"/>
      <c r="P245" s="17"/>
      <c r="Q245" s="17"/>
      <c r="R245" s="17"/>
    </row>
    <row r="246" spans="1:18" x14ac:dyDescent="0.3">
      <c r="A246" s="3"/>
      <c r="B246" s="17"/>
      <c r="C246" s="1"/>
      <c r="D246" s="41"/>
      <c r="E246" s="17"/>
      <c r="F246" s="17"/>
      <c r="G246" s="17"/>
      <c r="H246" s="17"/>
      <c r="I246" s="42"/>
      <c r="J246" s="43"/>
      <c r="K246" s="17"/>
      <c r="L246" s="17"/>
      <c r="M246" s="17"/>
      <c r="N246" s="17"/>
      <c r="O246" s="17"/>
      <c r="P246" s="17"/>
      <c r="Q246" s="17"/>
      <c r="R246" s="17"/>
    </row>
    <row r="247" spans="1:18" x14ac:dyDescent="0.3">
      <c r="A247" s="3"/>
      <c r="B247" s="17"/>
      <c r="C247" s="1"/>
      <c r="D247" s="41"/>
      <c r="E247" s="17"/>
      <c r="F247" s="17"/>
      <c r="G247" s="17"/>
      <c r="H247" s="17"/>
      <c r="I247" s="42"/>
      <c r="J247" s="43"/>
      <c r="K247" s="17"/>
      <c r="L247" s="17"/>
      <c r="M247" s="17"/>
      <c r="N247" s="17"/>
      <c r="O247" s="17"/>
      <c r="P247" s="17"/>
      <c r="Q247" s="17"/>
      <c r="R247" s="17"/>
    </row>
    <row r="248" spans="1:18" x14ac:dyDescent="0.3">
      <c r="A248" s="3"/>
      <c r="B248" s="17"/>
      <c r="C248" s="1"/>
      <c r="D248" s="41"/>
      <c r="E248" s="17"/>
      <c r="F248" s="17"/>
      <c r="G248" s="17"/>
      <c r="H248" s="17"/>
      <c r="I248" s="42"/>
      <c r="J248" s="43"/>
      <c r="K248" s="17"/>
      <c r="L248" s="17"/>
      <c r="M248" s="17"/>
      <c r="N248" s="17"/>
      <c r="O248" s="17"/>
      <c r="P248" s="17"/>
      <c r="Q248" s="17"/>
      <c r="R248" s="17"/>
    </row>
    <row r="249" spans="1:18" x14ac:dyDescent="0.3">
      <c r="A249" s="3"/>
      <c r="B249" s="17"/>
      <c r="C249" s="1"/>
      <c r="D249" s="41"/>
      <c r="E249" s="17"/>
      <c r="F249" s="17"/>
      <c r="G249" s="17"/>
      <c r="H249" s="17"/>
      <c r="I249" s="42"/>
      <c r="J249" s="43"/>
      <c r="K249" s="17"/>
      <c r="L249" s="17"/>
      <c r="M249" s="17"/>
      <c r="N249" s="17"/>
      <c r="O249" s="17"/>
      <c r="P249" s="17"/>
      <c r="Q249" s="17"/>
      <c r="R249" s="17"/>
    </row>
    <row r="250" spans="1:18" x14ac:dyDescent="0.3">
      <c r="A250" s="3"/>
      <c r="B250" s="17"/>
      <c r="C250" s="1"/>
      <c r="D250" s="41"/>
      <c r="E250" s="17"/>
      <c r="F250" s="17"/>
      <c r="G250" s="17"/>
      <c r="H250" s="17"/>
      <c r="I250" s="42"/>
      <c r="J250" s="43"/>
      <c r="K250" s="17"/>
      <c r="L250" s="17"/>
      <c r="M250" s="17"/>
      <c r="N250" s="17"/>
      <c r="O250" s="17"/>
      <c r="P250" s="17"/>
      <c r="Q250" s="17"/>
      <c r="R250" s="17"/>
    </row>
    <row r="251" spans="1:18" x14ac:dyDescent="0.3">
      <c r="A251" s="3"/>
      <c r="B251" s="17"/>
      <c r="C251" s="1"/>
      <c r="D251" s="41"/>
      <c r="E251" s="17"/>
      <c r="F251" s="17"/>
      <c r="G251" s="17"/>
      <c r="H251" s="17"/>
      <c r="I251" s="42"/>
      <c r="J251" s="43"/>
      <c r="K251" s="17"/>
      <c r="L251" s="17"/>
      <c r="M251" s="17"/>
      <c r="N251" s="17"/>
      <c r="O251" s="17"/>
      <c r="P251" s="17"/>
      <c r="Q251" s="17"/>
      <c r="R251" s="17"/>
    </row>
    <row r="252" spans="1:18" x14ac:dyDescent="0.3">
      <c r="A252" s="3"/>
      <c r="B252" s="17"/>
      <c r="C252" s="1"/>
      <c r="D252" s="41"/>
      <c r="E252" s="17"/>
      <c r="F252" s="17"/>
      <c r="G252" s="17"/>
      <c r="H252" s="17"/>
      <c r="I252" s="42"/>
      <c r="J252" s="43"/>
      <c r="K252" s="17"/>
      <c r="L252" s="17"/>
      <c r="M252" s="17"/>
      <c r="N252" s="17"/>
      <c r="O252" s="17"/>
      <c r="P252" s="17"/>
      <c r="Q252" s="17"/>
      <c r="R252" s="17"/>
    </row>
    <row r="253" spans="1:18" x14ac:dyDescent="0.3">
      <c r="A253" s="3"/>
      <c r="B253" s="17"/>
      <c r="C253" s="1"/>
      <c r="D253" s="41"/>
      <c r="E253" s="17"/>
      <c r="F253" s="17"/>
      <c r="G253" s="17"/>
      <c r="H253" s="17"/>
      <c r="I253" s="42"/>
      <c r="J253" s="43"/>
      <c r="K253" s="17"/>
      <c r="L253" s="17"/>
      <c r="M253" s="17"/>
      <c r="N253" s="17"/>
      <c r="O253" s="17"/>
      <c r="P253" s="17"/>
      <c r="Q253" s="17"/>
      <c r="R253" s="17"/>
    </row>
    <row r="254" spans="1:18" x14ac:dyDescent="0.3">
      <c r="A254" s="3"/>
      <c r="B254" s="17"/>
      <c r="C254" s="1"/>
      <c r="D254" s="41"/>
      <c r="E254" s="17"/>
      <c r="F254" s="17"/>
      <c r="G254" s="17"/>
      <c r="H254" s="17"/>
      <c r="I254" s="42"/>
      <c r="J254" s="43"/>
      <c r="K254" s="17"/>
      <c r="L254" s="17"/>
      <c r="M254" s="17"/>
      <c r="N254" s="17"/>
      <c r="O254" s="17"/>
      <c r="P254" s="17"/>
      <c r="Q254" s="17"/>
      <c r="R254" s="17"/>
    </row>
  </sheetData>
  <sortState xmlns:xlrd2="http://schemas.microsoft.com/office/spreadsheetml/2017/richdata2" ref="A2:R254">
    <sortCondition ref="A1:A2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BC36-63E4-4ADD-A8B8-C9A6343D1685}">
  <dimension ref="A1:G58"/>
  <sheetViews>
    <sheetView workbookViewId="0">
      <pane ySplit="1" topLeftCell="A37" activePane="bottomLeft" state="frozen"/>
      <selection pane="bottomLeft" activeCell="C58" sqref="C58"/>
    </sheetView>
  </sheetViews>
  <sheetFormatPr defaultRowHeight="14.4" x14ac:dyDescent="0.3"/>
  <cols>
    <col min="1" max="1" width="10.5546875" bestFit="1" customWidth="1"/>
    <col min="2" max="2" width="11.21875" bestFit="1" customWidth="1"/>
    <col min="3" max="3" width="14.5546875" bestFit="1" customWidth="1"/>
    <col min="4" max="4" width="10.6640625" bestFit="1" customWidth="1"/>
    <col min="5" max="5" width="9.5546875" bestFit="1" customWidth="1"/>
    <col min="6" max="6" width="88.33203125" bestFit="1" customWidth="1"/>
    <col min="7" max="7" width="53.109375" customWidth="1"/>
  </cols>
  <sheetData>
    <row r="1" spans="1:7" x14ac:dyDescent="0.3">
      <c r="A1" s="8" t="s">
        <v>2</v>
      </c>
      <c r="B1" s="8" t="s">
        <v>1</v>
      </c>
      <c r="C1" s="8" t="s">
        <v>249</v>
      </c>
      <c r="D1" s="8" t="s">
        <v>250</v>
      </c>
      <c r="E1" s="8" t="s">
        <v>251</v>
      </c>
      <c r="F1" s="8" t="s">
        <v>252</v>
      </c>
      <c r="G1" s="8" t="s">
        <v>253</v>
      </c>
    </row>
    <row r="2" spans="1:7" x14ac:dyDescent="0.3">
      <c r="A2" s="64">
        <v>30.709197</v>
      </c>
      <c r="B2" s="64">
        <v>-86.972267000000002</v>
      </c>
      <c r="C2">
        <v>1979</v>
      </c>
      <c r="D2" t="s">
        <v>285</v>
      </c>
      <c r="E2" t="s">
        <v>255</v>
      </c>
      <c r="F2" s="15" t="s">
        <v>339</v>
      </c>
      <c r="G2" s="15" t="s">
        <v>344</v>
      </c>
    </row>
    <row r="3" spans="1:7" x14ac:dyDescent="0.3">
      <c r="A3" s="62">
        <v>30.686699999999998</v>
      </c>
      <c r="B3" s="62">
        <v>-86.271699999999996</v>
      </c>
      <c r="C3" s="5">
        <v>37345</v>
      </c>
      <c r="D3" t="s">
        <v>254</v>
      </c>
      <c r="E3" t="s">
        <v>255</v>
      </c>
      <c r="F3" t="s">
        <v>256</v>
      </c>
      <c r="G3" t="s">
        <v>257</v>
      </c>
    </row>
    <row r="4" spans="1:7" x14ac:dyDescent="0.3">
      <c r="A4" s="62">
        <v>30.598500000000001</v>
      </c>
      <c r="B4" s="62">
        <v>-86.211439999999996</v>
      </c>
      <c r="C4" s="5">
        <v>37722</v>
      </c>
      <c r="D4" t="s">
        <v>254</v>
      </c>
      <c r="E4" t="s">
        <v>255</v>
      </c>
      <c r="F4" t="s">
        <v>258</v>
      </c>
      <c r="G4" t="s">
        <v>259</v>
      </c>
    </row>
    <row r="5" spans="1:7" x14ac:dyDescent="0.3">
      <c r="A5" s="62">
        <v>30.598500000000001</v>
      </c>
      <c r="B5" s="62">
        <v>-86.211439999999996</v>
      </c>
      <c r="C5" s="5">
        <v>37722</v>
      </c>
      <c r="D5" t="s">
        <v>254</v>
      </c>
      <c r="E5" t="s">
        <v>255</v>
      </c>
      <c r="F5" t="s">
        <v>260</v>
      </c>
      <c r="G5" t="s">
        <v>259</v>
      </c>
    </row>
    <row r="6" spans="1:7" x14ac:dyDescent="0.3">
      <c r="A6" s="62">
        <v>30.610199999999999</v>
      </c>
      <c r="B6" s="62">
        <v>-86.424499999999995</v>
      </c>
      <c r="C6" s="5">
        <v>37723</v>
      </c>
      <c r="D6" t="s">
        <v>261</v>
      </c>
      <c r="E6" t="s">
        <v>255</v>
      </c>
      <c r="F6" t="s">
        <v>262</v>
      </c>
      <c r="G6" t="s">
        <v>263</v>
      </c>
    </row>
    <row r="7" spans="1:7" x14ac:dyDescent="0.3">
      <c r="A7" s="62">
        <v>30.687000000000001</v>
      </c>
      <c r="B7" s="62">
        <v>-86.27167</v>
      </c>
      <c r="C7" s="5">
        <v>37723</v>
      </c>
      <c r="D7" t="s">
        <v>254</v>
      </c>
      <c r="E7" t="s">
        <v>255</v>
      </c>
      <c r="F7" t="s">
        <v>264</v>
      </c>
      <c r="G7" t="s">
        <v>265</v>
      </c>
    </row>
    <row r="8" spans="1:7" x14ac:dyDescent="0.3">
      <c r="A8" s="62">
        <v>30.609719999999999</v>
      </c>
      <c r="B8" s="62">
        <v>-86.425079999999994</v>
      </c>
      <c r="C8" s="5">
        <v>37723</v>
      </c>
      <c r="D8" t="s">
        <v>261</v>
      </c>
      <c r="E8" t="s">
        <v>255</v>
      </c>
      <c r="F8" t="s">
        <v>266</v>
      </c>
      <c r="G8" t="s">
        <v>267</v>
      </c>
    </row>
    <row r="9" spans="1:7" x14ac:dyDescent="0.3">
      <c r="A9" s="62">
        <v>30.609719999999999</v>
      </c>
      <c r="B9" s="62">
        <v>-86.425079999999994</v>
      </c>
      <c r="C9" s="5">
        <v>37723</v>
      </c>
      <c r="D9" t="s">
        <v>261</v>
      </c>
      <c r="E9" t="s">
        <v>255</v>
      </c>
      <c r="F9" t="s">
        <v>268</v>
      </c>
      <c r="G9" t="s">
        <v>267</v>
      </c>
    </row>
    <row r="10" spans="1:7" x14ac:dyDescent="0.3">
      <c r="A10" s="62">
        <v>32.388710000000003</v>
      </c>
      <c r="B10" s="62">
        <v>-84.297719999999998</v>
      </c>
      <c r="C10" s="9">
        <v>37767</v>
      </c>
      <c r="D10" t="s">
        <v>269</v>
      </c>
      <c r="E10" t="s">
        <v>270</v>
      </c>
      <c r="F10" s="10" t="s">
        <v>271</v>
      </c>
      <c r="G10" t="s">
        <v>272</v>
      </c>
    </row>
    <row r="11" spans="1:7" x14ac:dyDescent="0.3">
      <c r="A11" s="62">
        <v>30.609770999999999</v>
      </c>
      <c r="B11" s="62">
        <v>-86.425094000000001</v>
      </c>
      <c r="C11" s="9">
        <v>38087</v>
      </c>
      <c r="D11" t="s">
        <v>261</v>
      </c>
      <c r="E11" t="s">
        <v>255</v>
      </c>
      <c r="F11" s="10" t="s">
        <v>273</v>
      </c>
      <c r="G11" t="s">
        <v>274</v>
      </c>
    </row>
    <row r="12" spans="1:7" x14ac:dyDescent="0.3">
      <c r="A12" s="62">
        <v>30.607033999999999</v>
      </c>
      <c r="B12" s="62">
        <v>-86.482355999999996</v>
      </c>
      <c r="C12" s="5">
        <v>38087</v>
      </c>
      <c r="D12" t="s">
        <v>261</v>
      </c>
      <c r="E12" t="s">
        <v>255</v>
      </c>
      <c r="F12" t="s">
        <v>224</v>
      </c>
      <c r="G12" t="s">
        <v>18</v>
      </c>
    </row>
    <row r="13" spans="1:7" x14ac:dyDescent="0.3">
      <c r="A13" s="62">
        <v>30.607033999999999</v>
      </c>
      <c r="B13" s="62">
        <v>-86.482355999999996</v>
      </c>
      <c r="C13" s="5">
        <v>38087</v>
      </c>
      <c r="D13" t="s">
        <v>261</v>
      </c>
      <c r="E13" t="s">
        <v>255</v>
      </c>
      <c r="F13" t="s">
        <v>220</v>
      </c>
      <c r="G13" t="s">
        <v>18</v>
      </c>
    </row>
    <row r="14" spans="1:7" x14ac:dyDescent="0.3">
      <c r="A14" s="62">
        <v>30.609770999999999</v>
      </c>
      <c r="B14" s="62">
        <v>-86.425094000000001</v>
      </c>
      <c r="C14" s="9">
        <v>38128</v>
      </c>
      <c r="D14" t="s">
        <v>261</v>
      </c>
      <c r="E14" t="s">
        <v>255</v>
      </c>
      <c r="F14" s="11" t="s">
        <v>275</v>
      </c>
      <c r="G14" t="s">
        <v>274</v>
      </c>
    </row>
    <row r="15" spans="1:7" x14ac:dyDescent="0.3">
      <c r="A15" s="63">
        <v>30.875299999999999</v>
      </c>
      <c r="B15" s="63">
        <v>-89.002799999999993</v>
      </c>
      <c r="C15" s="13">
        <v>38802</v>
      </c>
      <c r="D15" s="12" t="s">
        <v>276</v>
      </c>
      <c r="E15" s="12" t="s">
        <v>277</v>
      </c>
      <c r="F15" s="12" t="s">
        <v>278</v>
      </c>
      <c r="G15" s="12" t="s">
        <v>279</v>
      </c>
    </row>
    <row r="16" spans="1:7" x14ac:dyDescent="0.3">
      <c r="A16" s="62">
        <v>30.893599999999999</v>
      </c>
      <c r="B16" s="62">
        <v>-89.016000000000005</v>
      </c>
      <c r="C16" s="5">
        <v>39184</v>
      </c>
      <c r="D16" t="s">
        <v>276</v>
      </c>
      <c r="E16" t="s">
        <v>277</v>
      </c>
      <c r="F16" t="s">
        <v>280</v>
      </c>
      <c r="G16" t="s">
        <v>281</v>
      </c>
    </row>
    <row r="17" spans="1:7" x14ac:dyDescent="0.3">
      <c r="A17" s="62">
        <v>30.402010000000001</v>
      </c>
      <c r="B17" s="62">
        <v>-85.540220000000005</v>
      </c>
      <c r="C17" s="5">
        <v>39212</v>
      </c>
      <c r="D17" t="s">
        <v>282</v>
      </c>
      <c r="E17" t="s">
        <v>255</v>
      </c>
      <c r="F17" t="s">
        <v>283</v>
      </c>
      <c r="G17" t="s">
        <v>284</v>
      </c>
    </row>
    <row r="18" spans="1:7" x14ac:dyDescent="0.3">
      <c r="A18" s="62">
        <v>30.406243</v>
      </c>
      <c r="B18" s="62">
        <v>-85.529638000000006</v>
      </c>
      <c r="C18" s="5">
        <v>39212</v>
      </c>
      <c r="D18" t="s">
        <v>282</v>
      </c>
      <c r="E18" t="s">
        <v>255</v>
      </c>
      <c r="F18" t="s">
        <v>149</v>
      </c>
      <c r="G18" t="s">
        <v>18</v>
      </c>
    </row>
    <row r="19" spans="1:7" x14ac:dyDescent="0.3">
      <c r="A19" s="62">
        <v>30.7316</v>
      </c>
      <c r="B19" s="62">
        <v>-86.801599999999993</v>
      </c>
      <c r="C19" s="5">
        <v>39551</v>
      </c>
      <c r="D19" t="s">
        <v>285</v>
      </c>
      <c r="E19" t="s">
        <v>255</v>
      </c>
      <c r="F19" t="s">
        <v>286</v>
      </c>
      <c r="G19" t="s">
        <v>287</v>
      </c>
    </row>
    <row r="20" spans="1:7" x14ac:dyDescent="0.3">
      <c r="A20" s="62">
        <v>30.450489999999999</v>
      </c>
      <c r="B20" s="62">
        <v>-85.837540000000004</v>
      </c>
      <c r="C20" s="5">
        <v>39925</v>
      </c>
      <c r="D20" t="s">
        <v>288</v>
      </c>
      <c r="E20" t="s">
        <v>255</v>
      </c>
      <c r="F20" t="s">
        <v>289</v>
      </c>
      <c r="G20" t="s">
        <v>290</v>
      </c>
    </row>
    <row r="21" spans="1:7" x14ac:dyDescent="0.3">
      <c r="A21" s="62">
        <v>30.7273</v>
      </c>
      <c r="B21" s="62">
        <v>-87.498400000000004</v>
      </c>
      <c r="C21" s="5">
        <v>41361</v>
      </c>
      <c r="D21" t="s">
        <v>291</v>
      </c>
      <c r="E21" t="s">
        <v>255</v>
      </c>
      <c r="F21" t="s">
        <v>292</v>
      </c>
      <c r="G21" t="s">
        <v>293</v>
      </c>
    </row>
    <row r="22" spans="1:7" x14ac:dyDescent="0.3">
      <c r="A22" s="62">
        <v>30.719100000000001</v>
      </c>
      <c r="B22" s="62">
        <v>-86.808800000000005</v>
      </c>
      <c r="C22" s="5">
        <v>41362</v>
      </c>
      <c r="D22" t="s">
        <v>285</v>
      </c>
      <c r="E22" t="s">
        <v>255</v>
      </c>
      <c r="F22" t="s">
        <v>294</v>
      </c>
      <c r="G22" t="s">
        <v>295</v>
      </c>
    </row>
    <row r="23" spans="1:7" x14ac:dyDescent="0.3">
      <c r="A23" s="64">
        <v>30.718225</v>
      </c>
      <c r="B23" s="64">
        <v>-86.809754999999996</v>
      </c>
      <c r="C23" s="5">
        <v>41723</v>
      </c>
      <c r="D23" t="s">
        <v>285</v>
      </c>
      <c r="E23" t="s">
        <v>255</v>
      </c>
      <c r="F23" s="10" t="s">
        <v>296</v>
      </c>
    </row>
    <row r="24" spans="1:7" x14ac:dyDescent="0.3">
      <c r="A24" s="64">
        <v>30.718225</v>
      </c>
      <c r="B24" s="64">
        <v>-86.809754999999996</v>
      </c>
      <c r="C24" s="5">
        <v>41723</v>
      </c>
      <c r="D24" t="s">
        <v>285</v>
      </c>
      <c r="E24" t="s">
        <v>255</v>
      </c>
      <c r="F24" s="10" t="s">
        <v>296</v>
      </c>
    </row>
    <row r="25" spans="1:7" x14ac:dyDescent="0.3">
      <c r="A25" s="64">
        <v>30.718225</v>
      </c>
      <c r="B25" s="64">
        <v>-86.809754999999996</v>
      </c>
      <c r="C25" s="5">
        <v>41723</v>
      </c>
      <c r="D25" t="s">
        <v>285</v>
      </c>
      <c r="E25" t="s">
        <v>255</v>
      </c>
      <c r="F25" s="10" t="s">
        <v>296</v>
      </c>
    </row>
    <row r="26" spans="1:7" x14ac:dyDescent="0.3">
      <c r="A26" s="64">
        <v>30.718225</v>
      </c>
      <c r="B26" s="64">
        <v>-86.809754999999996</v>
      </c>
      <c r="C26" s="5">
        <v>41723</v>
      </c>
      <c r="D26" t="s">
        <v>285</v>
      </c>
      <c r="E26" t="s">
        <v>255</v>
      </c>
      <c r="F26" s="10" t="s">
        <v>296</v>
      </c>
    </row>
    <row r="27" spans="1:7" x14ac:dyDescent="0.3">
      <c r="A27" s="62">
        <v>30.7364</v>
      </c>
      <c r="B27" s="62">
        <v>-86.803200000000004</v>
      </c>
      <c r="C27" s="5">
        <v>42478</v>
      </c>
      <c r="D27" t="s">
        <v>285</v>
      </c>
      <c r="E27" t="s">
        <v>255</v>
      </c>
      <c r="F27" t="s">
        <v>297</v>
      </c>
      <c r="G27" t="s">
        <v>298</v>
      </c>
    </row>
    <row r="28" spans="1:7" x14ac:dyDescent="0.3">
      <c r="A28" s="62">
        <v>32.550269999999998</v>
      </c>
      <c r="B28" s="62">
        <v>-84.520600000000002</v>
      </c>
      <c r="C28" s="5">
        <v>42520</v>
      </c>
      <c r="D28" t="s">
        <v>299</v>
      </c>
      <c r="E28" t="s">
        <v>270</v>
      </c>
      <c r="F28" s="10" t="s">
        <v>300</v>
      </c>
      <c r="G28" t="s">
        <v>301</v>
      </c>
    </row>
    <row r="29" spans="1:7" x14ac:dyDescent="0.3">
      <c r="A29" s="62">
        <v>30.54533</v>
      </c>
      <c r="B29" s="62">
        <v>-87.788300000000007</v>
      </c>
      <c r="C29" s="5">
        <v>42855</v>
      </c>
      <c r="D29" t="s">
        <v>302</v>
      </c>
      <c r="E29" t="s">
        <v>303</v>
      </c>
      <c r="F29" t="s">
        <v>304</v>
      </c>
      <c r="G29" t="s">
        <v>305</v>
      </c>
    </row>
    <row r="30" spans="1:7" x14ac:dyDescent="0.3">
      <c r="A30" s="62">
        <v>30.831713000000001</v>
      </c>
      <c r="B30" s="62">
        <v>-86.903396000000001</v>
      </c>
      <c r="C30" s="5">
        <v>43220</v>
      </c>
      <c r="D30" t="s">
        <v>285</v>
      </c>
      <c r="E30" t="s">
        <v>255</v>
      </c>
      <c r="F30" t="s">
        <v>306</v>
      </c>
      <c r="G30" t="s">
        <v>307</v>
      </c>
    </row>
    <row r="31" spans="1:7" x14ac:dyDescent="0.3">
      <c r="A31" s="62">
        <v>30.837167000000001</v>
      </c>
      <c r="B31" s="62">
        <v>-86.871149000000003</v>
      </c>
      <c r="C31" s="5">
        <v>43220</v>
      </c>
      <c r="D31" t="s">
        <v>285</v>
      </c>
      <c r="E31" t="s">
        <v>255</v>
      </c>
      <c r="F31" t="s">
        <v>308</v>
      </c>
      <c r="G31" t="s">
        <v>309</v>
      </c>
    </row>
    <row r="32" spans="1:7" x14ac:dyDescent="0.3">
      <c r="A32" s="62">
        <v>30.785516999999999</v>
      </c>
      <c r="B32" s="62">
        <v>-86.891160999999997</v>
      </c>
      <c r="C32" s="5">
        <v>43220</v>
      </c>
      <c r="D32" t="s">
        <v>285</v>
      </c>
      <c r="E32" t="s">
        <v>255</v>
      </c>
      <c r="F32" t="s">
        <v>310</v>
      </c>
      <c r="G32" t="s">
        <v>311</v>
      </c>
    </row>
    <row r="33" spans="1:7" x14ac:dyDescent="0.3">
      <c r="A33" s="64">
        <v>30.719835</v>
      </c>
      <c r="B33" s="64">
        <v>-86.807855000000004</v>
      </c>
      <c r="C33" s="5">
        <v>43552</v>
      </c>
      <c r="D33" t="s">
        <v>285</v>
      </c>
      <c r="E33" t="s">
        <v>255</v>
      </c>
      <c r="F33" s="10" t="s">
        <v>312</v>
      </c>
    </row>
    <row r="34" spans="1:7" x14ac:dyDescent="0.3">
      <c r="A34" s="64">
        <v>30.735593999999999</v>
      </c>
      <c r="B34" s="64">
        <v>-86.804305999999997</v>
      </c>
      <c r="C34" s="14">
        <v>43553</v>
      </c>
      <c r="D34" t="s">
        <v>285</v>
      </c>
      <c r="E34" t="s">
        <v>255</v>
      </c>
      <c r="F34" s="10" t="s">
        <v>313</v>
      </c>
      <c r="G34" t="s">
        <v>314</v>
      </c>
    </row>
    <row r="35" spans="1:7" x14ac:dyDescent="0.3">
      <c r="A35" s="64">
        <v>30.722086999999998</v>
      </c>
      <c r="B35" s="64">
        <v>-86.801849000000004</v>
      </c>
      <c r="C35" s="5">
        <v>43553</v>
      </c>
      <c r="D35" t="s">
        <v>285</v>
      </c>
      <c r="E35" t="s">
        <v>255</v>
      </c>
      <c r="F35" s="10" t="s">
        <v>313</v>
      </c>
      <c r="G35" t="s">
        <v>315</v>
      </c>
    </row>
    <row r="36" spans="1:7" x14ac:dyDescent="0.3">
      <c r="A36" s="62">
        <v>30.719110000000001</v>
      </c>
      <c r="B36" s="62">
        <v>-86.808580000000006</v>
      </c>
      <c r="C36" s="5">
        <v>43553</v>
      </c>
      <c r="D36" t="s">
        <v>285</v>
      </c>
      <c r="E36" t="s">
        <v>255</v>
      </c>
      <c r="F36" s="10" t="s">
        <v>316</v>
      </c>
      <c r="G36" t="s">
        <v>317</v>
      </c>
    </row>
    <row r="37" spans="1:7" x14ac:dyDescent="0.3">
      <c r="A37" s="62">
        <v>30.724074000000002</v>
      </c>
      <c r="B37" s="62">
        <v>-86.799352999999996</v>
      </c>
      <c r="C37" s="5">
        <v>43553</v>
      </c>
      <c r="D37" t="s">
        <v>285</v>
      </c>
      <c r="E37" t="s">
        <v>255</v>
      </c>
      <c r="F37" s="10" t="s">
        <v>319</v>
      </c>
    </row>
    <row r="38" spans="1:7" x14ac:dyDescent="0.3">
      <c r="A38" s="62">
        <v>30.906310999999999</v>
      </c>
      <c r="B38" s="62">
        <v>-86.736214000000004</v>
      </c>
      <c r="C38" s="5">
        <v>43553</v>
      </c>
      <c r="D38" t="s">
        <v>261</v>
      </c>
      <c r="E38" t="s">
        <v>255</v>
      </c>
      <c r="F38" s="10" t="s">
        <v>320</v>
      </c>
      <c r="G38" t="s">
        <v>321</v>
      </c>
    </row>
    <row r="39" spans="1:7" x14ac:dyDescent="0.3">
      <c r="A39" s="64">
        <v>30.837897000000002</v>
      </c>
      <c r="B39" s="64">
        <v>-86.871059000000002</v>
      </c>
      <c r="C39" s="5">
        <v>43554</v>
      </c>
      <c r="D39" t="s">
        <v>285</v>
      </c>
      <c r="E39" t="s">
        <v>255</v>
      </c>
      <c r="F39" s="10" t="s">
        <v>312</v>
      </c>
    </row>
    <row r="40" spans="1:7" x14ac:dyDescent="0.3">
      <c r="A40" s="64">
        <v>30.837809</v>
      </c>
      <c r="B40" s="64">
        <v>-86.870952000000003</v>
      </c>
      <c r="C40" s="5">
        <v>43554</v>
      </c>
      <c r="D40" t="s">
        <v>285</v>
      </c>
      <c r="E40" t="s">
        <v>255</v>
      </c>
      <c r="F40" s="10" t="s">
        <v>312</v>
      </c>
    </row>
    <row r="41" spans="1:7" x14ac:dyDescent="0.3">
      <c r="A41" s="65">
        <v>30.723309</v>
      </c>
      <c r="B41" s="65">
        <v>-86.798356999999996</v>
      </c>
      <c r="C41" s="5">
        <v>43554</v>
      </c>
      <c r="D41" t="s">
        <v>285</v>
      </c>
      <c r="E41" t="s">
        <v>255</v>
      </c>
      <c r="F41" s="10" t="s">
        <v>322</v>
      </c>
    </row>
    <row r="42" spans="1:7" x14ac:dyDescent="0.3">
      <c r="A42" s="64">
        <v>30.719747000000002</v>
      </c>
      <c r="B42" s="62">
        <v>-86.807704999999999</v>
      </c>
      <c r="C42" s="5">
        <v>43554</v>
      </c>
      <c r="D42" t="s">
        <v>285</v>
      </c>
      <c r="E42" t="s">
        <v>255</v>
      </c>
      <c r="F42" s="10" t="s">
        <v>318</v>
      </c>
    </row>
    <row r="43" spans="1:7" x14ac:dyDescent="0.3">
      <c r="A43" s="64">
        <v>30.846039000000001</v>
      </c>
      <c r="B43" s="64">
        <v>-86.838470999999998</v>
      </c>
      <c r="C43" s="5">
        <v>43554</v>
      </c>
      <c r="D43" t="s">
        <v>285</v>
      </c>
      <c r="E43" t="s">
        <v>255</v>
      </c>
      <c r="F43" s="10" t="s">
        <v>323</v>
      </c>
    </row>
    <row r="44" spans="1:7" x14ac:dyDescent="0.3">
      <c r="A44" s="62">
        <v>30.906310999999999</v>
      </c>
      <c r="B44" s="62">
        <v>-86.736214000000004</v>
      </c>
      <c r="C44" s="5">
        <v>43554</v>
      </c>
      <c r="D44" t="s">
        <v>285</v>
      </c>
      <c r="E44" t="s">
        <v>255</v>
      </c>
      <c r="F44" s="10" t="s">
        <v>320</v>
      </c>
    </row>
    <row r="45" spans="1:7" x14ac:dyDescent="0.3">
      <c r="A45" s="62">
        <v>30.714200000000002</v>
      </c>
      <c r="B45" s="62">
        <v>-86.852249999999998</v>
      </c>
      <c r="C45" s="5">
        <v>43554</v>
      </c>
      <c r="D45" t="s">
        <v>285</v>
      </c>
      <c r="E45" t="s">
        <v>255</v>
      </c>
      <c r="F45" t="s">
        <v>203</v>
      </c>
      <c r="G45" t="s">
        <v>20</v>
      </c>
    </row>
    <row r="46" spans="1:7" x14ac:dyDescent="0.3">
      <c r="A46" s="65">
        <v>30.723309</v>
      </c>
      <c r="B46" s="65">
        <v>-86.798356999999996</v>
      </c>
      <c r="C46" s="5">
        <v>43555</v>
      </c>
      <c r="D46" t="s">
        <v>285</v>
      </c>
      <c r="E46" t="s">
        <v>255</v>
      </c>
      <c r="F46" s="10" t="s">
        <v>322</v>
      </c>
    </row>
    <row r="47" spans="1:7" x14ac:dyDescent="0.3">
      <c r="A47" s="64">
        <v>30.42633</v>
      </c>
      <c r="B47" s="64">
        <v>-85.295205999999993</v>
      </c>
      <c r="C47" s="5">
        <v>43555</v>
      </c>
      <c r="D47" t="s">
        <v>324</v>
      </c>
      <c r="E47" t="s">
        <v>255</v>
      </c>
      <c r="F47" s="10" t="s">
        <v>325</v>
      </c>
      <c r="G47" t="s">
        <v>326</v>
      </c>
    </row>
    <row r="48" spans="1:7" x14ac:dyDescent="0.3">
      <c r="A48" s="64">
        <v>30.42633</v>
      </c>
      <c r="B48" s="64">
        <v>-85.295205999999993</v>
      </c>
      <c r="C48" s="5">
        <v>43555</v>
      </c>
      <c r="D48" t="s">
        <v>324</v>
      </c>
      <c r="E48" t="s">
        <v>255</v>
      </c>
      <c r="F48" s="10" t="s">
        <v>325</v>
      </c>
      <c r="G48" t="s">
        <v>326</v>
      </c>
    </row>
    <row r="49" spans="1:7" x14ac:dyDescent="0.3">
      <c r="A49" s="64">
        <v>30.258700000000001</v>
      </c>
      <c r="B49" s="64">
        <v>-84.972099999999998</v>
      </c>
      <c r="C49" s="5">
        <v>44293</v>
      </c>
      <c r="D49" t="s">
        <v>327</v>
      </c>
      <c r="E49" t="s">
        <v>255</v>
      </c>
      <c r="F49" s="10" t="s">
        <v>328</v>
      </c>
    </row>
    <row r="50" spans="1:7" x14ac:dyDescent="0.3">
      <c r="A50" s="62">
        <v>31.195209999999999</v>
      </c>
      <c r="B50" s="62">
        <v>-85.095510000000004</v>
      </c>
      <c r="C50" s="9">
        <v>44306</v>
      </c>
      <c r="D50" t="s">
        <v>329</v>
      </c>
      <c r="E50" t="s">
        <v>270</v>
      </c>
      <c r="F50" s="10" t="s">
        <v>330</v>
      </c>
      <c r="G50" t="s">
        <v>331</v>
      </c>
    </row>
    <row r="51" spans="1:7" x14ac:dyDescent="0.3">
      <c r="A51" s="62">
        <v>30.785008000000001</v>
      </c>
      <c r="B51" s="62">
        <v>-86.892262000000002</v>
      </c>
      <c r="C51" s="5">
        <v>44312</v>
      </c>
      <c r="D51" t="s">
        <v>285</v>
      </c>
      <c r="E51" t="s">
        <v>255</v>
      </c>
      <c r="F51" t="s">
        <v>332</v>
      </c>
      <c r="G51" t="s">
        <v>333</v>
      </c>
    </row>
    <row r="52" spans="1:7" x14ac:dyDescent="0.3">
      <c r="A52" s="64">
        <v>30.525064</v>
      </c>
      <c r="B52" s="64">
        <v>-84.969842999999997</v>
      </c>
      <c r="C52" t="s">
        <v>334</v>
      </c>
      <c r="D52" t="s">
        <v>327</v>
      </c>
      <c r="E52" t="s">
        <v>255</v>
      </c>
      <c r="F52" s="10" t="s">
        <v>335</v>
      </c>
      <c r="G52" t="s">
        <v>336</v>
      </c>
    </row>
    <row r="53" spans="1:7" x14ac:dyDescent="0.3">
      <c r="A53" s="64">
        <v>30.925374999999999</v>
      </c>
      <c r="B53" s="64">
        <v>-86.559057999999993</v>
      </c>
      <c r="C53" s="5" t="s">
        <v>342</v>
      </c>
      <c r="D53" t="s">
        <v>261</v>
      </c>
      <c r="E53" t="s">
        <v>255</v>
      </c>
      <c r="F53" s="15" t="s">
        <v>339</v>
      </c>
      <c r="G53" s="15" t="s">
        <v>343</v>
      </c>
    </row>
    <row r="54" spans="1:7" x14ac:dyDescent="0.3">
      <c r="A54" s="64">
        <v>30.583421999999999</v>
      </c>
      <c r="B54" s="64">
        <v>-84.880814000000001</v>
      </c>
      <c r="C54" t="s">
        <v>337</v>
      </c>
      <c r="D54" t="s">
        <v>338</v>
      </c>
      <c r="E54" t="s">
        <v>255</v>
      </c>
      <c r="F54" s="15" t="s">
        <v>339</v>
      </c>
      <c r="G54" s="15" t="s">
        <v>340</v>
      </c>
    </row>
    <row r="55" spans="1:7" x14ac:dyDescent="0.3">
      <c r="A55" s="64">
        <v>30.626328000000001</v>
      </c>
      <c r="B55" s="64">
        <v>-84.825035999999997</v>
      </c>
      <c r="C55" t="s">
        <v>337</v>
      </c>
      <c r="D55" t="s">
        <v>338</v>
      </c>
      <c r="E55" t="s">
        <v>255</v>
      </c>
      <c r="F55" s="15" t="s">
        <v>339</v>
      </c>
      <c r="G55" s="15" t="s">
        <v>341</v>
      </c>
    </row>
    <row r="56" spans="1:7" x14ac:dyDescent="0.3">
      <c r="A56" s="70">
        <v>30.451412999999999</v>
      </c>
      <c r="B56" s="64">
        <v>-85.529830000000004</v>
      </c>
      <c r="C56" s="5">
        <v>44998</v>
      </c>
      <c r="D56" t="s">
        <v>282</v>
      </c>
      <c r="E56" t="s">
        <v>255</v>
      </c>
      <c r="F56" s="10" t="s">
        <v>668</v>
      </c>
      <c r="G56" s="15" t="s">
        <v>669</v>
      </c>
    </row>
    <row r="57" spans="1:7" x14ac:dyDescent="0.3">
      <c r="A57" s="64">
        <v>30.389489000000001</v>
      </c>
      <c r="B57">
        <v>-85.261270999999994</v>
      </c>
      <c r="C57" s="5">
        <v>45015</v>
      </c>
      <c r="D57" t="s">
        <v>324</v>
      </c>
      <c r="E57" t="s">
        <v>255</v>
      </c>
      <c r="F57" s="71" t="s">
        <v>672</v>
      </c>
      <c r="G57" s="15" t="s">
        <v>674</v>
      </c>
    </row>
    <row r="58" spans="1:7" x14ac:dyDescent="0.3">
      <c r="A58" s="64">
        <v>30.426303000000001</v>
      </c>
      <c r="B58">
        <v>-85.295167000000006</v>
      </c>
      <c r="C58" s="5">
        <v>45015</v>
      </c>
      <c r="D58" t="s">
        <v>324</v>
      </c>
      <c r="E58" t="s">
        <v>255</v>
      </c>
      <c r="F58" s="10" t="s">
        <v>673</v>
      </c>
      <c r="G58" s="15" t="s">
        <v>675</v>
      </c>
    </row>
  </sheetData>
  <sortState xmlns:xlrd2="http://schemas.microsoft.com/office/spreadsheetml/2017/richdata2" ref="A2:G55">
    <sortCondition ref="C1:C55"/>
  </sortState>
  <hyperlinks>
    <hyperlink ref="F43" r:id="rId1" display="https://www.inaturalist.org/observations/22067134" xr:uid="{374DA4DA-A29E-4921-BF6F-2EF445EFCE26}"/>
    <hyperlink ref="F33" r:id="rId2" display="https://www.inaturalist.org/observations/22918698" xr:uid="{B407B063-6755-4AD1-B3E2-AB0CCD6EEDD8}"/>
    <hyperlink ref="F39" r:id="rId3" display="https://www.inaturalist.org/observations/23173563" xr:uid="{6BBD0F47-8367-4C9B-A3D0-48139AFFB54C}"/>
    <hyperlink ref="F40" r:id="rId4" display="https://www.inaturalist.org/observations/23175079" xr:uid="{5C3F439D-3C61-473A-B419-089475499E9B}"/>
    <hyperlink ref="F49" r:id="rId5" display="https://www.inaturalist.org/observations/77401634" xr:uid="{CED7E9DB-E6FF-4E90-89F3-1A9C9029B35F}"/>
    <hyperlink ref="F23" r:id="rId6" display="https://www.inaturalist.org/observations/69650951" xr:uid="{60DC6C5F-B2D9-4131-BB7E-41654167C031}"/>
    <hyperlink ref="F24" r:id="rId7" display="https://www.inaturalist.org/observations/69650947" xr:uid="{0E56AB24-88D9-4D1E-9FE9-94BDA5DE58D6}"/>
    <hyperlink ref="F25" r:id="rId8" display="https://www.inaturalist.org/observations/35315072" xr:uid="{FD772FA8-515F-4827-9F7E-F6387EC1639C}"/>
    <hyperlink ref="F26" r:id="rId9" display="https://www.inaturalist.org/observations/35315033" xr:uid="{5B6DF5EB-A652-450D-A52B-91D322AFF644}"/>
    <hyperlink ref="F41" r:id="rId10" display="https://www.inaturalist.org/observations/22863463" xr:uid="{F1AAAB05-55CC-4052-B0BD-D8B3A9D02273}"/>
    <hyperlink ref="F46" r:id="rId11" display="https://www.inaturalist.org/observations/22206856" xr:uid="{9ADA0E07-8515-4A4B-8C2A-D88EF8704C58}"/>
    <hyperlink ref="F34" r:id="rId12" display="https://www.inaturalist.org/observations/21994795" xr:uid="{50EF73ED-EEB8-48B2-B267-A9817B997A24}"/>
    <hyperlink ref="F35" r:id="rId13" display="https://www.inaturalist.org/observations/21996870" xr:uid="{07F7D1C9-32B5-4EED-B29F-8CBA85F4AF47}"/>
    <hyperlink ref="F36" r:id="rId14" display="https://www.inaturalist.org/observations/36133159" xr:uid="{B273FC0E-8A1C-42C2-8FA4-FAE25B95E4FC}"/>
    <hyperlink ref="F47" r:id="rId15" display="https://www.inaturalist.org/observations/22087790" xr:uid="{9504D92C-1545-4CF0-B85A-64A8930B7610}"/>
    <hyperlink ref="F48" r:id="rId16" display="https://www.inaturalist.org/observations/22087785" xr:uid="{79F39186-1F53-4040-8B6C-4F8E22B9275A}"/>
    <hyperlink ref="F42" r:id="rId17" display="https://www.inaturalist.org/observations/22061616" xr:uid="{E604C871-CE21-406C-88B9-D7E02C9E338A}"/>
    <hyperlink ref="F10" r:id="rId18" display="https://www.inaturalist.org/observations/35955206" xr:uid="{C27B267B-4C7E-4E2F-8EEA-9F3DD3953547}"/>
    <hyperlink ref="F11" r:id="rId19" display="https://www.inaturalist.org/observations/59980259" xr:uid="{97D3D85C-72DA-4BD8-81E4-4A9E36A6AD51}"/>
    <hyperlink ref="F50" r:id="rId20" display="https://www.inaturalist.org/observations/80508318" xr:uid="{6E16AE05-3F52-4E28-B2A7-B8A69853F7F5}"/>
    <hyperlink ref="F37" r:id="rId21" display="https://www.inaturalist.org/observations/39226360" xr:uid="{56D3A7A6-0302-42FB-A91B-CF428DF402AB}"/>
    <hyperlink ref="F38" r:id="rId22" display="https://www.inaturalist.org/observations/21819120" xr:uid="{0A05F95B-AB07-411F-B413-ED7929D327E1}"/>
    <hyperlink ref="F44" r:id="rId23" display="https://www.inaturalist.org/observations/24248122" xr:uid="{643898CE-8A54-47A3-ACC7-6F111EF9A73F}"/>
    <hyperlink ref="F28" r:id="rId24" location="/view/445451" display="https://www.odonatacentral.org/app/ - /view/445451" xr:uid="{5095A0B7-7E97-422C-AD79-9D251D1A52FC}"/>
    <hyperlink ref="F52" r:id="rId25" display="http://www.edlam.net/dragonflyroad/5_07SE.html" xr:uid="{6D9E60BC-4BFB-4B31-8845-032EEA18236D}"/>
    <hyperlink ref="F56" r:id="rId26" xr:uid="{0C5AD79F-02F1-4D06-8358-F367C5CD6C70}"/>
    <hyperlink ref="F57" r:id="rId27" xr:uid="{CF50EFEA-7421-49C6-978A-7C50D9E92163}"/>
    <hyperlink ref="F58" r:id="rId28" display="https://www.inaturalist.org/observations/155242344" xr:uid="{5F6DD087-554D-4F71-B5FE-0EDDF42F5AB6}"/>
  </hyperlinks>
  <pageMargins left="0.7" right="0.7" top="0.75" bottom="0.75" header="0.3" footer="0.3"/>
  <pageSetup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A38E-4467-40CA-B9AE-B356AB7F190E}">
  <dimension ref="A1:Q125"/>
  <sheetViews>
    <sheetView tabSelected="1" workbookViewId="0">
      <pane ySplit="1" topLeftCell="A2" activePane="bottomLeft" state="frozen"/>
      <selection pane="bottomLeft" activeCell="H106" sqref="H106"/>
    </sheetView>
  </sheetViews>
  <sheetFormatPr defaultRowHeight="14.4" x14ac:dyDescent="0.3"/>
  <cols>
    <col min="1" max="1" width="9.77734375" bestFit="1" customWidth="1"/>
    <col min="2" max="2" width="10" bestFit="1" customWidth="1"/>
    <col min="3" max="3" width="10.6640625" bestFit="1" customWidth="1"/>
    <col min="4" max="5" width="10.6640625" customWidth="1"/>
    <col min="6" max="6" width="10" bestFit="1" customWidth="1"/>
    <col min="7" max="7" width="8.109375" bestFit="1" customWidth="1"/>
    <col min="8" max="8" width="16.88671875" customWidth="1"/>
    <col min="9" max="9" width="16.88671875" style="1" customWidth="1"/>
    <col min="10" max="10" width="12.33203125" bestFit="1" customWidth="1"/>
    <col min="11" max="11" width="12.88671875" bestFit="1" customWidth="1"/>
    <col min="12" max="12" width="8.109375" bestFit="1" customWidth="1"/>
    <col min="13" max="13" width="11.88671875" bestFit="1" customWidth="1"/>
    <col min="14" max="15" width="13" customWidth="1"/>
    <col min="16" max="16" width="8.77734375" bestFit="1" customWidth="1"/>
  </cols>
  <sheetData>
    <row r="1" spans="1:17" s="2" customFormat="1" ht="28.8" x14ac:dyDescent="0.3">
      <c r="A1" s="3" t="s">
        <v>545</v>
      </c>
      <c r="B1" s="3" t="s">
        <v>2</v>
      </c>
      <c r="C1" s="3" t="s">
        <v>1</v>
      </c>
      <c r="D1" s="4" t="s">
        <v>603</v>
      </c>
      <c r="E1" s="3" t="s">
        <v>249</v>
      </c>
      <c r="F1" s="3" t="s">
        <v>250</v>
      </c>
      <c r="G1" s="3" t="s">
        <v>251</v>
      </c>
      <c r="H1" s="51" t="s">
        <v>536</v>
      </c>
      <c r="I1" s="3" t="s">
        <v>554</v>
      </c>
      <c r="J1" s="54" t="s">
        <v>541</v>
      </c>
      <c r="K1" s="4" t="s">
        <v>540</v>
      </c>
      <c r="L1" s="4" t="s">
        <v>546</v>
      </c>
      <c r="M1" s="4" t="s">
        <v>543</v>
      </c>
      <c r="N1" s="4" t="s">
        <v>542</v>
      </c>
      <c r="O1" s="4" t="s">
        <v>544</v>
      </c>
      <c r="P1" s="4" t="s">
        <v>17</v>
      </c>
      <c r="Q1" s="3" t="s">
        <v>365</v>
      </c>
    </row>
    <row r="2" spans="1:17" x14ac:dyDescent="0.3">
      <c r="A2" s="1" t="s">
        <v>353</v>
      </c>
      <c r="B2" s="1">
        <v>30.479595</v>
      </c>
      <c r="C2" s="1">
        <v>-84.625860000000003</v>
      </c>
      <c r="D2" s="17" t="str">
        <f>IF(C2&gt;-85, "East", "West")</f>
        <v>East</v>
      </c>
      <c r="E2" s="16">
        <v>38025</v>
      </c>
      <c r="F2" s="1" t="s">
        <v>338</v>
      </c>
      <c r="G2" s="1" t="s">
        <v>255</v>
      </c>
      <c r="H2" s="52" t="s">
        <v>364</v>
      </c>
      <c r="I2" s="1" t="s">
        <v>607</v>
      </c>
      <c r="J2" s="55">
        <v>4.7039999999999997</v>
      </c>
      <c r="K2" s="1">
        <v>4.7039999999999997</v>
      </c>
      <c r="L2" s="18">
        <f>K2/J2</f>
        <v>1</v>
      </c>
      <c r="M2" s="1">
        <v>1.25</v>
      </c>
      <c r="N2" s="1">
        <v>2.8319999999999999</v>
      </c>
      <c r="O2" s="1">
        <v>2.88</v>
      </c>
      <c r="P2" s="1" t="s">
        <v>347</v>
      </c>
      <c r="Q2" s="1" t="str">
        <f>IF(L2&gt;=0.67, "F-0", IF(L2&gt;=0.544, "F-1", IF(L2&gt;=0.5, "F-2+", "F-2+")))</f>
        <v>F-0</v>
      </c>
    </row>
    <row r="3" spans="1:17" x14ac:dyDescent="0.3">
      <c r="A3" s="1" t="s">
        <v>354</v>
      </c>
      <c r="B3" s="1">
        <v>30.479595</v>
      </c>
      <c r="C3" s="1">
        <v>-84.625860000000003</v>
      </c>
      <c r="D3" s="17" t="str">
        <f>IF(C3&gt;-85, "East", "West")</f>
        <v>East</v>
      </c>
      <c r="E3" s="16">
        <v>38025</v>
      </c>
      <c r="F3" s="1" t="s">
        <v>338</v>
      </c>
      <c r="G3" s="1" t="s">
        <v>255</v>
      </c>
      <c r="H3" s="52" t="s">
        <v>364</v>
      </c>
      <c r="I3" s="1" t="s">
        <v>607</v>
      </c>
      <c r="J3" s="55">
        <v>4.7039999999999997</v>
      </c>
      <c r="K3" s="1">
        <v>4.7039999999999997</v>
      </c>
      <c r="L3" s="18">
        <f>K3/J3</f>
        <v>1</v>
      </c>
      <c r="M3" s="1">
        <v>1.2090000000000001</v>
      </c>
      <c r="N3" s="1">
        <v>2.6880000000000002</v>
      </c>
      <c r="O3" s="1">
        <v>2.976</v>
      </c>
      <c r="P3" s="1" t="s">
        <v>347</v>
      </c>
      <c r="Q3" s="1" t="str">
        <f>IF(L3&gt;=0.67, "F-0", IF(L3&gt;=0.544, "F-1", IF(L3&gt;=0.5, "F-2+", "F-2+")))</f>
        <v>F-0</v>
      </c>
    </row>
    <row r="4" spans="1:17" x14ac:dyDescent="0.3">
      <c r="A4" s="1" t="s">
        <v>248</v>
      </c>
      <c r="B4" s="1">
        <v>30.479595</v>
      </c>
      <c r="C4" s="1">
        <v>-84.625860000000003</v>
      </c>
      <c r="D4" s="17" t="str">
        <f>IF(C4&gt;-85, "East", "West")</f>
        <v>East</v>
      </c>
      <c r="E4" s="16">
        <v>38025</v>
      </c>
      <c r="F4" s="1" t="s">
        <v>338</v>
      </c>
      <c r="G4" s="1" t="s">
        <v>255</v>
      </c>
      <c r="H4" s="52" t="s">
        <v>364</v>
      </c>
      <c r="I4" s="1" t="s">
        <v>607</v>
      </c>
      <c r="J4" s="55">
        <v>4.7039999999999997</v>
      </c>
      <c r="K4" s="1">
        <v>4.851</v>
      </c>
      <c r="L4" s="18">
        <f>K4/J4</f>
        <v>1.03125</v>
      </c>
      <c r="M4" s="1">
        <v>1.25</v>
      </c>
      <c r="N4" s="1">
        <v>2.7930000000000001</v>
      </c>
      <c r="O4" s="1">
        <v>2.72</v>
      </c>
      <c r="P4" s="1" t="s">
        <v>347</v>
      </c>
      <c r="Q4" s="1" t="str">
        <f>IF(L4&gt;=0.67, "F-0", IF(L4&gt;=0.544, "F-1", IF(L4&gt;=0.5, "F-2+", "F-2+")))</f>
        <v>F-0</v>
      </c>
    </row>
    <row r="5" spans="1:17" x14ac:dyDescent="0.3">
      <c r="A5" s="1" t="s">
        <v>351</v>
      </c>
      <c r="B5" s="1">
        <v>30.479595</v>
      </c>
      <c r="C5" s="1">
        <v>-84.625860000000003</v>
      </c>
      <c r="D5" s="17" t="str">
        <f>IF(C5&gt;-85, "East", "West")</f>
        <v>East</v>
      </c>
      <c r="E5" s="16">
        <v>38025</v>
      </c>
      <c r="F5" s="1" t="s">
        <v>338</v>
      </c>
      <c r="G5" s="1" t="s">
        <v>255</v>
      </c>
      <c r="H5" s="52" t="s">
        <v>364</v>
      </c>
      <c r="I5" s="1" t="s">
        <v>607</v>
      </c>
      <c r="J5" s="55">
        <v>4.851</v>
      </c>
      <c r="K5" s="1">
        <v>4.9980000000000002</v>
      </c>
      <c r="L5" s="18">
        <f>K5/J5</f>
        <v>1.0303030303030303</v>
      </c>
      <c r="M5" s="1">
        <v>1.25</v>
      </c>
      <c r="N5" s="1">
        <v>2.7930000000000001</v>
      </c>
      <c r="O5" s="1">
        <v>2.94</v>
      </c>
      <c r="P5" s="1" t="s">
        <v>348</v>
      </c>
      <c r="Q5" s="1" t="str">
        <f>IF(L5&gt;=0.67, "F-0", IF(L5&gt;=0.544, "F-1", IF(L5&gt;=0.5, "F-2+", "F-2+")))</f>
        <v>F-0</v>
      </c>
    </row>
    <row r="6" spans="1:17" x14ac:dyDescent="0.3">
      <c r="A6" s="1" t="s">
        <v>447</v>
      </c>
      <c r="B6" s="1">
        <v>30.472000000000001</v>
      </c>
      <c r="C6" s="1">
        <v>-84.625</v>
      </c>
      <c r="D6" s="17" t="str">
        <f>IF(C6&gt;-85, "East", "West")</f>
        <v>East</v>
      </c>
      <c r="E6" s="16">
        <v>45001</v>
      </c>
      <c r="F6" s="1" t="s">
        <v>338</v>
      </c>
      <c r="G6" s="1" t="s">
        <v>255</v>
      </c>
      <c r="H6" s="52" t="s">
        <v>598</v>
      </c>
      <c r="I6" s="1" t="s">
        <v>658</v>
      </c>
      <c r="J6" s="55">
        <v>5.1649000000000003</v>
      </c>
      <c r="K6" s="1">
        <v>5.4664999999999999</v>
      </c>
      <c r="L6" s="18">
        <f>K6/J6</f>
        <v>1.0583941605839415</v>
      </c>
      <c r="M6" s="1">
        <v>1.1000000000000001</v>
      </c>
      <c r="N6" s="1">
        <v>2.9405999999999999</v>
      </c>
      <c r="O6" s="1">
        <v>3.016</v>
      </c>
      <c r="P6" s="1" t="s">
        <v>347</v>
      </c>
      <c r="Q6" s="1" t="str">
        <f>IF(L6&gt;=0.67, "F-0", IF(L6&gt;=0.544, "F-1", IF(L6&gt;=0.5, "F-2+", "F-2+")))</f>
        <v>F-0</v>
      </c>
    </row>
    <row r="7" spans="1:17" x14ac:dyDescent="0.3">
      <c r="A7" s="1" t="s">
        <v>245</v>
      </c>
      <c r="B7" s="1">
        <v>30.544599999999999</v>
      </c>
      <c r="C7" s="1">
        <v>-86.413709999999995</v>
      </c>
      <c r="D7" s="17" t="str">
        <f>IF(C7&gt;-85, "East", "West")</f>
        <v>West</v>
      </c>
      <c r="E7" s="16">
        <v>44543</v>
      </c>
      <c r="F7" s="1" t="s">
        <v>261</v>
      </c>
      <c r="G7" s="1" t="s">
        <v>255</v>
      </c>
      <c r="H7" s="52" t="s">
        <v>350</v>
      </c>
      <c r="I7" s="1" t="s">
        <v>558</v>
      </c>
      <c r="J7" s="55">
        <v>4.5570000000000004</v>
      </c>
      <c r="K7" s="1">
        <v>4.7039999999999997</v>
      </c>
      <c r="L7" s="18">
        <f>K7/J7</f>
        <v>1.0322580645161288</v>
      </c>
      <c r="M7" s="1">
        <v>1.25</v>
      </c>
      <c r="N7" s="1">
        <v>2.7930000000000001</v>
      </c>
      <c r="O7" s="1">
        <v>2.87</v>
      </c>
      <c r="P7" s="1" t="s">
        <v>347</v>
      </c>
      <c r="Q7" s="1" t="str">
        <f>IF(L7&gt;=0.67, "F-0", IF(L7&gt;=0.544, "F-1", IF(L7&gt;=0.5, "F-2+", "F-2+")))</f>
        <v>F-0</v>
      </c>
    </row>
    <row r="8" spans="1:17" x14ac:dyDescent="0.3">
      <c r="A8" s="1" t="s">
        <v>235</v>
      </c>
      <c r="B8" s="1">
        <v>30.725318999999999</v>
      </c>
      <c r="C8" s="1">
        <v>-86.794539</v>
      </c>
      <c r="D8" s="17" t="str">
        <f>IF(C8&gt;-85, "East", "West")</f>
        <v>West</v>
      </c>
      <c r="E8" s="16">
        <v>39748</v>
      </c>
      <c r="F8" s="16" t="s">
        <v>261</v>
      </c>
      <c r="G8" s="16" t="s">
        <v>255</v>
      </c>
      <c r="H8" s="52" t="s">
        <v>346</v>
      </c>
      <c r="I8" s="1" t="s">
        <v>608</v>
      </c>
      <c r="J8" s="55">
        <v>4.6779999999999999</v>
      </c>
      <c r="K8" s="1">
        <v>4.5579999999999998</v>
      </c>
      <c r="L8" s="18">
        <f>K8/J8</f>
        <v>0.97434801197092769</v>
      </c>
      <c r="M8" s="1">
        <v>1.2</v>
      </c>
      <c r="N8" s="1">
        <v>2.6880000000000002</v>
      </c>
      <c r="O8" s="1">
        <v>2.88</v>
      </c>
      <c r="P8" s="1" t="s">
        <v>347</v>
      </c>
      <c r="Q8" s="1" t="str">
        <f>IF(L8&gt;=0.67, "F-0", IF(L8&gt;=0.544, "F-1", IF(L8&gt;=0.5, "F-2+", "F-2+")))</f>
        <v>F-0</v>
      </c>
    </row>
    <row r="9" spans="1:17" x14ac:dyDescent="0.3">
      <c r="A9" s="1" t="s">
        <v>416</v>
      </c>
      <c r="B9" s="1">
        <v>30.671312</v>
      </c>
      <c r="C9" s="1">
        <v>-86.661395400000004</v>
      </c>
      <c r="D9" s="17" t="str">
        <f>IF(C9&gt;-85, "East", "West")</f>
        <v>West</v>
      </c>
      <c r="E9" s="16">
        <v>44544</v>
      </c>
      <c r="F9" s="1" t="s">
        <v>261</v>
      </c>
      <c r="G9" s="1" t="s">
        <v>255</v>
      </c>
      <c r="H9" s="52" t="s">
        <v>490</v>
      </c>
      <c r="I9" s="1" t="s">
        <v>555</v>
      </c>
      <c r="J9" s="55">
        <f>8*0.6061</f>
        <v>4.8487999999999998</v>
      </c>
      <c r="K9" s="1">
        <f>10*0.4762</f>
        <v>4.7620000000000005</v>
      </c>
      <c r="L9" s="18">
        <f>K9/J9</f>
        <v>0.98209866358686704</v>
      </c>
      <c r="M9" s="1">
        <f>4*0.3</f>
        <v>1.2</v>
      </c>
      <c r="N9" s="1">
        <f>6.1*0.4762</f>
        <v>2.90482</v>
      </c>
      <c r="O9" s="1">
        <f>6.5*0.4762</f>
        <v>3.0952999999999999</v>
      </c>
      <c r="P9" s="1" t="s">
        <v>347</v>
      </c>
      <c r="Q9" s="1" t="str">
        <f>IF(L9&gt;=0.67, "F-0", IF(L9&gt;=0.544, "F-1", IF(L9&gt;=0.5, "F-2+", "F-2+")))</f>
        <v>F-0</v>
      </c>
    </row>
    <row r="10" spans="1:17" x14ac:dyDescent="0.3">
      <c r="A10" s="1" t="s">
        <v>237</v>
      </c>
      <c r="B10" s="1">
        <v>30.786522000000001</v>
      </c>
      <c r="C10" s="1">
        <v>-86.797717000000006</v>
      </c>
      <c r="D10" s="17" t="str">
        <f>IF(C10&gt;-85, "East", "West")</f>
        <v>West</v>
      </c>
      <c r="E10" s="16">
        <v>26739</v>
      </c>
      <c r="F10" s="1" t="s">
        <v>285</v>
      </c>
      <c r="G10" s="1" t="s">
        <v>255</v>
      </c>
      <c r="H10" s="52" t="s">
        <v>349</v>
      </c>
      <c r="I10" s="1" t="s">
        <v>609</v>
      </c>
      <c r="J10" s="55">
        <v>4.9180000000000001</v>
      </c>
      <c r="K10" s="1">
        <v>5.0380000000000003</v>
      </c>
      <c r="L10" s="18">
        <f>K10/J10</f>
        <v>1.0244001626677512</v>
      </c>
      <c r="M10" s="1">
        <v>1.2</v>
      </c>
      <c r="N10" s="1">
        <v>2.88</v>
      </c>
      <c r="O10" s="1">
        <v>2.9990000000000001</v>
      </c>
      <c r="P10" s="1" t="s">
        <v>348</v>
      </c>
      <c r="Q10" s="1" t="str">
        <f>IF(L10&gt;=0.67, "F-0", IF(L10&gt;=0.544, "F-1", IF(L10&gt;=0.5, "F-2+", "F-2+")))</f>
        <v>F-0</v>
      </c>
    </row>
    <row r="11" spans="1:17" x14ac:dyDescent="0.3">
      <c r="A11" s="1" t="s">
        <v>233</v>
      </c>
      <c r="B11" s="1">
        <v>30.725318999999999</v>
      </c>
      <c r="C11" s="1">
        <v>-86.794539</v>
      </c>
      <c r="D11" s="17" t="str">
        <f>IF(C11&gt;-85, "East", "West")</f>
        <v>West</v>
      </c>
      <c r="E11" s="16">
        <v>39748</v>
      </c>
      <c r="F11" s="16" t="s">
        <v>261</v>
      </c>
      <c r="G11" s="16" t="s">
        <v>255</v>
      </c>
      <c r="H11" s="52" t="s">
        <v>346</v>
      </c>
      <c r="I11" s="1" t="s">
        <v>608</v>
      </c>
      <c r="J11" s="55">
        <v>4.992</v>
      </c>
      <c r="K11" s="1">
        <v>4.992</v>
      </c>
      <c r="L11" s="18">
        <f>K11/J11</f>
        <v>1</v>
      </c>
      <c r="M11" s="1">
        <v>1.25</v>
      </c>
      <c r="N11" s="1">
        <v>2.879</v>
      </c>
      <c r="O11" s="1">
        <v>2.7589999999999999</v>
      </c>
      <c r="P11" s="1" t="s">
        <v>347</v>
      </c>
      <c r="Q11" s="1" t="str">
        <f>IF(L11&gt;=0.67, "F-0", IF(L11&gt;=0.544, "F-1", IF(L11&gt;=0.5, "F-2+", "F-2+")))</f>
        <v>F-0</v>
      </c>
    </row>
    <row r="12" spans="1:17" x14ac:dyDescent="0.3">
      <c r="A12" s="1" t="s">
        <v>240</v>
      </c>
      <c r="B12" s="1">
        <v>30.447800000000001</v>
      </c>
      <c r="C12" s="1">
        <v>-85.841639999999998</v>
      </c>
      <c r="D12" s="17" t="str">
        <f>IF(C12&gt;-85, "East", "West")</f>
        <v>West</v>
      </c>
      <c r="E12" s="16">
        <v>41310</v>
      </c>
      <c r="F12" s="1" t="s">
        <v>288</v>
      </c>
      <c r="G12" s="1" t="s">
        <v>255</v>
      </c>
      <c r="H12" s="52" t="s">
        <v>345</v>
      </c>
      <c r="I12" s="1" t="s">
        <v>610</v>
      </c>
      <c r="J12" s="55">
        <v>4.992</v>
      </c>
      <c r="K12" s="1">
        <v>5.1840000000000002</v>
      </c>
      <c r="L12" s="18">
        <f>K12/J12</f>
        <v>1.0384615384615385</v>
      </c>
      <c r="M12" s="1">
        <v>1.17</v>
      </c>
      <c r="N12" s="1">
        <v>3.0720000000000001</v>
      </c>
      <c r="O12" s="1">
        <v>2.976</v>
      </c>
      <c r="P12" s="1" t="s">
        <v>347</v>
      </c>
      <c r="Q12" s="1" t="str">
        <f>IF(L12&gt;=0.67, "F-0", IF(L12&gt;=0.544, "F-1", IF(L12&gt;=0.5, "F-2+", "F-2+")))</f>
        <v>F-0</v>
      </c>
    </row>
    <row r="13" spans="1:17" x14ac:dyDescent="0.3">
      <c r="A13" s="1" t="s">
        <v>242</v>
      </c>
      <c r="B13" s="1">
        <v>30.447800000000001</v>
      </c>
      <c r="C13" s="1">
        <v>-85.841639999999998</v>
      </c>
      <c r="D13" s="17" t="str">
        <f>IF(C13&gt;-85, "East", "West")</f>
        <v>West</v>
      </c>
      <c r="E13" s="16">
        <v>41310</v>
      </c>
      <c r="F13" s="1" t="s">
        <v>288</v>
      </c>
      <c r="G13" s="1" t="s">
        <v>255</v>
      </c>
      <c r="H13" s="52" t="s">
        <v>345</v>
      </c>
      <c r="I13" s="1" t="s">
        <v>610</v>
      </c>
      <c r="J13" s="55">
        <v>4.992</v>
      </c>
      <c r="K13" s="1">
        <v>5.1840000000000002</v>
      </c>
      <c r="L13" s="18">
        <f>K13/J13</f>
        <v>1.0384615384615385</v>
      </c>
      <c r="M13" s="1">
        <v>1.17</v>
      </c>
      <c r="N13" s="1">
        <v>2.88</v>
      </c>
      <c r="O13" s="1">
        <v>3.0720000000000001</v>
      </c>
      <c r="P13" s="1" t="s">
        <v>347</v>
      </c>
      <c r="Q13" s="1" t="str">
        <f>IF(L13&gt;=0.67, "F-0", IF(L13&gt;=0.544, "F-1", IF(L13&gt;=0.5, "F-2+", "F-2+")))</f>
        <v>F-0</v>
      </c>
    </row>
    <row r="14" spans="1:17" x14ac:dyDescent="0.3">
      <c r="A14" s="1" t="s">
        <v>243</v>
      </c>
      <c r="B14" s="1">
        <v>30.447800000000001</v>
      </c>
      <c r="C14" s="1">
        <v>-85.841639999999998</v>
      </c>
      <c r="D14" s="17" t="str">
        <f>IF(C14&gt;-85, "East", "West")</f>
        <v>West</v>
      </c>
      <c r="E14" s="16">
        <v>41310</v>
      </c>
      <c r="F14" s="1" t="s">
        <v>288</v>
      </c>
      <c r="G14" s="1" t="s">
        <v>255</v>
      </c>
      <c r="H14" s="52" t="s">
        <v>345</v>
      </c>
      <c r="I14" s="1" t="s">
        <v>610</v>
      </c>
      <c r="J14" s="55">
        <v>4.992</v>
      </c>
      <c r="K14" s="1">
        <v>5.28</v>
      </c>
      <c r="L14" s="18">
        <f>K14/J14</f>
        <v>1.0576923076923077</v>
      </c>
      <c r="M14" s="1">
        <v>1.17</v>
      </c>
      <c r="N14" s="1">
        <v>2.88</v>
      </c>
      <c r="O14" s="1">
        <v>2.88</v>
      </c>
      <c r="P14" s="1" t="s">
        <v>347</v>
      </c>
      <c r="Q14" s="1" t="str">
        <f>IF(L14&gt;=0.67, "F-0", IF(L14&gt;=0.544, "F-1", IF(L14&gt;=0.5, "F-2+", "F-2+")))</f>
        <v>F-0</v>
      </c>
    </row>
    <row r="15" spans="1:17" x14ac:dyDescent="0.3">
      <c r="A15" s="1" t="s">
        <v>238</v>
      </c>
      <c r="B15" s="1">
        <v>30.786522000000001</v>
      </c>
      <c r="C15" s="1">
        <v>-86.797717000000006</v>
      </c>
      <c r="D15" s="17" t="str">
        <f>IF(C15&gt;-85, "East", "West")</f>
        <v>West</v>
      </c>
      <c r="E15" s="16">
        <v>26739</v>
      </c>
      <c r="F15" s="1" t="s">
        <v>285</v>
      </c>
      <c r="G15" s="1" t="s">
        <v>255</v>
      </c>
      <c r="H15" s="52" t="s">
        <v>349</v>
      </c>
      <c r="I15" s="1" t="s">
        <v>609</v>
      </c>
      <c r="J15" s="55">
        <v>4.9980000000000002</v>
      </c>
      <c r="K15" s="1">
        <v>5.1449999999999996</v>
      </c>
      <c r="L15" s="18">
        <f>K15/J15</f>
        <v>1.0294117647058822</v>
      </c>
      <c r="M15" s="1">
        <v>1.2390000000000001</v>
      </c>
      <c r="N15" s="1">
        <v>2.976</v>
      </c>
      <c r="O15" s="1">
        <v>3.0720000000000001</v>
      </c>
      <c r="P15" s="1" t="s">
        <v>348</v>
      </c>
      <c r="Q15" s="1" t="str">
        <f>IF(L15&gt;=0.67, "F-0", IF(L15&gt;=0.544, "F-1", IF(L15&gt;=0.5, "F-2+", "F-2+")))</f>
        <v>F-0</v>
      </c>
    </row>
    <row r="16" spans="1:17" x14ac:dyDescent="0.3">
      <c r="A16" s="1" t="s">
        <v>234</v>
      </c>
      <c r="B16" s="1">
        <v>30.725318999999999</v>
      </c>
      <c r="C16" s="1">
        <v>-86.794539</v>
      </c>
      <c r="D16" s="17" t="str">
        <f>IF(C16&gt;-85, "East", "West")</f>
        <v>West</v>
      </c>
      <c r="E16" s="16">
        <v>39748</v>
      </c>
      <c r="F16" s="16" t="s">
        <v>261</v>
      </c>
      <c r="G16" s="16" t="s">
        <v>255</v>
      </c>
      <c r="H16" s="52" t="s">
        <v>346</v>
      </c>
      <c r="I16" s="1" t="s">
        <v>608</v>
      </c>
      <c r="J16" s="55">
        <v>5.0380000000000003</v>
      </c>
      <c r="K16" s="1">
        <v>4.798</v>
      </c>
      <c r="L16" s="18">
        <f>K16/J16</f>
        <v>0.95236204843191741</v>
      </c>
      <c r="M16" s="1">
        <v>1.2090000000000001</v>
      </c>
      <c r="N16" s="1">
        <v>2.7839999999999998</v>
      </c>
      <c r="O16" s="1">
        <v>3.1680000000000001</v>
      </c>
      <c r="P16" s="1" t="s">
        <v>348</v>
      </c>
      <c r="Q16" s="1" t="str">
        <f>IF(L16&gt;=0.67, "F-0", IF(L16&gt;=0.544, "F-1", IF(L16&gt;=0.5, "F-2+", "F-2+")))</f>
        <v>F-0</v>
      </c>
    </row>
    <row r="17" spans="1:17" x14ac:dyDescent="0.3">
      <c r="A17" s="1" t="s">
        <v>405</v>
      </c>
      <c r="B17" s="1">
        <v>30.671312</v>
      </c>
      <c r="C17" s="1">
        <v>-86.661395400000004</v>
      </c>
      <c r="D17" s="17" t="str">
        <f>IF(C17&gt;-85, "East", "West")</f>
        <v>West</v>
      </c>
      <c r="E17" s="16">
        <v>44544</v>
      </c>
      <c r="F17" s="1" t="s">
        <v>261</v>
      </c>
      <c r="G17" s="1" t="s">
        <v>255</v>
      </c>
      <c r="H17" s="52" t="s">
        <v>489</v>
      </c>
      <c r="I17" s="1" t="s">
        <v>562</v>
      </c>
      <c r="J17" s="55">
        <v>5.0380000000000003</v>
      </c>
      <c r="K17" s="1">
        <v>4.9180000000000001</v>
      </c>
      <c r="L17" s="18">
        <f>K17/J17</f>
        <v>0.97618102421595865</v>
      </c>
      <c r="M17" s="1">
        <v>1.25</v>
      </c>
      <c r="N17" s="1">
        <v>2.88</v>
      </c>
      <c r="O17" s="1">
        <v>2.88</v>
      </c>
      <c r="P17" s="1" t="s">
        <v>348</v>
      </c>
      <c r="Q17" s="1" t="str">
        <f>IF(L17&gt;=0.67, "F-0", IF(L17&gt;=0.544, "F-1", IF(L17&gt;=0.5, "F-2+", "F-2+")))</f>
        <v>F-0</v>
      </c>
    </row>
    <row r="18" spans="1:17" x14ac:dyDescent="0.3">
      <c r="A18" s="1" t="s">
        <v>232</v>
      </c>
      <c r="B18" s="1">
        <v>30.725318999999999</v>
      </c>
      <c r="C18" s="1">
        <v>-86.794539</v>
      </c>
      <c r="D18" s="17" t="str">
        <f>IF(C18&gt;-85, "East", "West")</f>
        <v>West</v>
      </c>
      <c r="E18" s="16">
        <v>39748</v>
      </c>
      <c r="F18" s="16" t="s">
        <v>261</v>
      </c>
      <c r="G18" s="16" t="s">
        <v>255</v>
      </c>
      <c r="H18" s="52" t="s">
        <v>346</v>
      </c>
      <c r="I18" s="1" t="s">
        <v>608</v>
      </c>
      <c r="J18" s="55">
        <v>5.0380000000000003</v>
      </c>
      <c r="K18" s="1">
        <v>5.1580000000000004</v>
      </c>
      <c r="L18" s="18">
        <f>K18/J18</f>
        <v>1.0238189757840412</v>
      </c>
      <c r="M18" s="1">
        <v>1.25</v>
      </c>
      <c r="N18" s="1">
        <v>2.976</v>
      </c>
      <c r="O18" s="1">
        <v>2.976</v>
      </c>
      <c r="P18" s="1" t="s">
        <v>348</v>
      </c>
      <c r="Q18" s="1" t="str">
        <f>IF(L18&gt;=0.67, "F-0", IF(L18&gt;=0.544, "F-1", IF(L18&gt;=0.5, "F-2+", "F-2+")))</f>
        <v>F-0</v>
      </c>
    </row>
    <row r="19" spans="1:17" x14ac:dyDescent="0.3">
      <c r="A19" s="1" t="s">
        <v>431</v>
      </c>
      <c r="B19" s="1">
        <v>30.657679999999999</v>
      </c>
      <c r="C19" s="1">
        <v>-86.588639999999998</v>
      </c>
      <c r="D19" s="17" t="str">
        <f>IF(C19&gt;-85, "East", "West")</f>
        <v>West</v>
      </c>
      <c r="E19" s="16">
        <v>44624</v>
      </c>
      <c r="F19" s="1" t="s">
        <v>261</v>
      </c>
      <c r="G19" s="1" t="s">
        <v>255</v>
      </c>
      <c r="H19" s="52" t="s">
        <v>532</v>
      </c>
      <c r="I19" s="1" t="s">
        <v>605</v>
      </c>
      <c r="J19" s="55">
        <v>5.04772</v>
      </c>
      <c r="K19" s="1">
        <v>5.04772</v>
      </c>
      <c r="L19" s="18">
        <f>K19/J19</f>
        <v>1</v>
      </c>
      <c r="M19" s="1">
        <f>4.5*0.25</f>
        <v>1.125</v>
      </c>
      <c r="N19" s="1">
        <v>3</v>
      </c>
      <c r="O19" s="1">
        <v>3.0952999999999999</v>
      </c>
      <c r="P19" s="1" t="s">
        <v>347</v>
      </c>
      <c r="Q19" s="1" t="str">
        <f>IF(L19&gt;=0.67, "F-0", IF(L19&gt;=0.544, "F-1", IF(L19&gt;=0.5, "F-2+", "F-2+")))</f>
        <v>F-0</v>
      </c>
    </row>
    <row r="20" spans="1:17" x14ac:dyDescent="0.3">
      <c r="A20" s="1" t="s">
        <v>244</v>
      </c>
      <c r="B20" s="1">
        <v>30.447800000000001</v>
      </c>
      <c r="C20" s="1">
        <v>-85.841639999999998</v>
      </c>
      <c r="D20" s="17" t="str">
        <f>IF(C20&gt;-85, "East", "West")</f>
        <v>West</v>
      </c>
      <c r="E20" s="16">
        <v>41310</v>
      </c>
      <c r="F20" s="1" t="s">
        <v>288</v>
      </c>
      <c r="G20" s="1" t="s">
        <v>255</v>
      </c>
      <c r="H20" s="52" t="s">
        <v>345</v>
      </c>
      <c r="I20" s="1" t="s">
        <v>610</v>
      </c>
      <c r="J20" s="55">
        <v>5.1840000000000002</v>
      </c>
      <c r="K20" s="1">
        <v>5.28</v>
      </c>
      <c r="L20" s="18">
        <f>K20/J20</f>
        <v>1.0185185185185186</v>
      </c>
      <c r="M20" s="1">
        <v>1.17</v>
      </c>
      <c r="N20" s="1">
        <v>3.0720000000000001</v>
      </c>
      <c r="O20" s="1">
        <v>2.976</v>
      </c>
      <c r="P20" s="1" t="s">
        <v>347</v>
      </c>
      <c r="Q20" s="1" t="str">
        <f>IF(L20&gt;=0.67, "F-0", IF(L20&gt;=0.544, "F-1", IF(L20&gt;=0.5, "F-2+", "F-2+")))</f>
        <v>F-0</v>
      </c>
    </row>
    <row r="21" spans="1:17" x14ac:dyDescent="0.3">
      <c r="A21" s="1" t="s">
        <v>429</v>
      </c>
      <c r="B21" s="1">
        <v>30.657679999999999</v>
      </c>
      <c r="C21" s="1">
        <v>-86.588639999999998</v>
      </c>
      <c r="D21" s="17" t="str">
        <f>IF(C21&gt;-85, "East", "West")</f>
        <v>West</v>
      </c>
      <c r="E21" s="16">
        <v>44624</v>
      </c>
      <c r="F21" s="1" t="s">
        <v>261</v>
      </c>
      <c r="G21" s="1" t="s">
        <v>255</v>
      </c>
      <c r="H21" s="52" t="s">
        <v>532</v>
      </c>
      <c r="I21" s="1" t="s">
        <v>605</v>
      </c>
      <c r="J21" s="55">
        <v>5.1905799999999997</v>
      </c>
      <c r="K21" s="1">
        <v>5.1429600000000004</v>
      </c>
      <c r="L21" s="18">
        <f>K21/J21</f>
        <v>0.99082568807339466</v>
      </c>
      <c r="M21" s="1">
        <v>1.125</v>
      </c>
      <c r="N21" s="1">
        <v>2.9782999999999999</v>
      </c>
      <c r="O21" s="1">
        <v>2.9782999999999999</v>
      </c>
      <c r="P21" s="1" t="s">
        <v>348</v>
      </c>
      <c r="Q21" s="1" t="str">
        <f>IF(L21&gt;=0.67, "F-0", IF(L21&gt;=0.544, "F-1", IF(L21&gt;=0.5, "F-2+", "F-2+")))</f>
        <v>F-0</v>
      </c>
    </row>
    <row r="22" spans="1:17" x14ac:dyDescent="0.3">
      <c r="A22" s="1" t="s">
        <v>239</v>
      </c>
      <c r="B22" s="1">
        <v>30.447800000000001</v>
      </c>
      <c r="C22" s="1">
        <v>-85.841639999999998</v>
      </c>
      <c r="D22" s="17" t="str">
        <f>IF(C22&gt;-85, "East", "West")</f>
        <v>West</v>
      </c>
      <c r="E22" s="16">
        <v>41310</v>
      </c>
      <c r="F22" s="1" t="s">
        <v>288</v>
      </c>
      <c r="G22" s="1" t="s">
        <v>255</v>
      </c>
      <c r="H22" s="52" t="s">
        <v>345</v>
      </c>
      <c r="I22" s="1" t="s">
        <v>610</v>
      </c>
      <c r="J22" s="55">
        <v>5.28</v>
      </c>
      <c r="K22" s="1">
        <v>5.28</v>
      </c>
      <c r="L22" s="18">
        <f>K22/J22</f>
        <v>1</v>
      </c>
      <c r="M22" s="1">
        <v>1.3260000000000001</v>
      </c>
      <c r="N22" s="1">
        <v>3.0720000000000001</v>
      </c>
      <c r="O22" s="1">
        <v>3.0720000000000001</v>
      </c>
      <c r="P22" s="1" t="s">
        <v>348</v>
      </c>
      <c r="Q22" s="1" t="str">
        <f>IF(L22&gt;=0.67, "F-0", IF(L22&gt;=0.544, "F-1", IF(L22&gt;=0.5, "F-2+", "F-2+")))</f>
        <v>F-0</v>
      </c>
    </row>
    <row r="23" spans="1:17" x14ac:dyDescent="0.3">
      <c r="A23" s="1" t="s">
        <v>241</v>
      </c>
      <c r="B23" s="1">
        <v>30.447800000000001</v>
      </c>
      <c r="C23" s="1">
        <v>-85.841639999999998</v>
      </c>
      <c r="D23" s="17" t="str">
        <f>IF(C23&gt;-85, "East", "West")</f>
        <v>West</v>
      </c>
      <c r="E23" s="16">
        <v>41310</v>
      </c>
      <c r="F23" s="1" t="s">
        <v>288</v>
      </c>
      <c r="G23" s="1" t="s">
        <v>255</v>
      </c>
      <c r="H23" s="52" t="s">
        <v>345</v>
      </c>
      <c r="I23" s="1" t="s">
        <v>610</v>
      </c>
      <c r="J23" s="55">
        <v>5.28</v>
      </c>
      <c r="K23" s="1">
        <v>5.28</v>
      </c>
      <c r="L23" s="18">
        <f>K23/J23</f>
        <v>1</v>
      </c>
      <c r="M23" s="1">
        <v>1.2090000000000001</v>
      </c>
      <c r="N23" s="1">
        <v>2.976</v>
      </c>
      <c r="O23" s="1">
        <v>3.0720000000000001</v>
      </c>
      <c r="P23" s="1" t="s">
        <v>348</v>
      </c>
      <c r="Q23" s="1" t="str">
        <f>IF(L23&gt;=0.67, "F-0", IF(L23&gt;=0.544, "F-1", IF(L23&gt;=0.5, "F-2+", "F-2+")))</f>
        <v>F-0</v>
      </c>
    </row>
    <row r="24" spans="1:17" x14ac:dyDescent="0.3">
      <c r="A24" s="1" t="s">
        <v>430</v>
      </c>
      <c r="B24" s="1">
        <v>30.657679999999999</v>
      </c>
      <c r="C24" s="1">
        <v>-86.588639999999998</v>
      </c>
      <c r="D24" s="17" t="str">
        <f>IF(C24&gt;-85, "East", "West")</f>
        <v>West</v>
      </c>
      <c r="E24" s="16">
        <v>44624</v>
      </c>
      <c r="F24" s="1" t="s">
        <v>261</v>
      </c>
      <c r="G24" s="1" t="s">
        <v>255</v>
      </c>
      <c r="H24" s="52" t="s">
        <v>532</v>
      </c>
      <c r="I24" s="1" t="s">
        <v>605</v>
      </c>
      <c r="J24" s="55">
        <v>5.3334400000000004</v>
      </c>
      <c r="K24" s="1">
        <v>5.6667800000000002</v>
      </c>
      <c r="L24" s="18">
        <f>K24/J24</f>
        <v>1.0625</v>
      </c>
      <c r="M24" s="1">
        <v>1.1000000000000001</v>
      </c>
      <c r="N24" s="1">
        <v>2.9405999999999999</v>
      </c>
      <c r="O24" s="1">
        <v>3.3553000000000002</v>
      </c>
      <c r="P24" s="1" t="s">
        <v>348</v>
      </c>
      <c r="Q24" s="1" t="str">
        <f>IF(L24&gt;=0.67, "F-0", IF(L24&gt;=0.544, "F-1", IF(L24&gt;=0.5, "F-2+", "F-2+")))</f>
        <v>F-0</v>
      </c>
    </row>
    <row r="25" spans="1:17" x14ac:dyDescent="0.3">
      <c r="A25" s="1" t="s">
        <v>352</v>
      </c>
      <c r="B25" s="1">
        <v>30.479595</v>
      </c>
      <c r="C25" s="1">
        <v>-84.625860000000003</v>
      </c>
      <c r="D25" s="17" t="str">
        <f>IF(C25&gt;-85, "East", "West")</f>
        <v>East</v>
      </c>
      <c r="E25" s="16">
        <v>38025</v>
      </c>
      <c r="F25" s="1" t="s">
        <v>338</v>
      </c>
      <c r="G25" s="1" t="s">
        <v>255</v>
      </c>
      <c r="H25" s="52" t="s">
        <v>364</v>
      </c>
      <c r="I25" s="1" t="s">
        <v>607</v>
      </c>
      <c r="J25" s="55">
        <v>3.552</v>
      </c>
      <c r="K25" s="1">
        <v>2.2080000000000002</v>
      </c>
      <c r="L25" s="18">
        <f>K25/J25</f>
        <v>0.62162162162162171</v>
      </c>
      <c r="M25" s="1">
        <v>0.99</v>
      </c>
      <c r="N25" s="1">
        <v>2.3239999999999998</v>
      </c>
      <c r="O25" s="1">
        <v>2.496</v>
      </c>
      <c r="P25" s="1" t="s">
        <v>363</v>
      </c>
      <c r="Q25" s="1" t="str">
        <f>IF(L25&gt;=0.67, "F-0", IF(L25&gt;=0.544, "F-1", IF(L25&gt;=0.5, "F-2+", "F-2+")))</f>
        <v>F-1</v>
      </c>
    </row>
    <row r="26" spans="1:17" x14ac:dyDescent="0.3">
      <c r="A26" s="1" t="s">
        <v>356</v>
      </c>
      <c r="B26" s="1">
        <v>30.479595</v>
      </c>
      <c r="C26" s="1">
        <v>-84.625860000000003</v>
      </c>
      <c r="D26" s="17" t="str">
        <f>IF(C26&gt;-85, "East", "West")</f>
        <v>East</v>
      </c>
      <c r="E26" s="16">
        <v>38025</v>
      </c>
      <c r="F26" s="1" t="s">
        <v>338</v>
      </c>
      <c r="G26" s="1" t="s">
        <v>255</v>
      </c>
      <c r="H26" s="52" t="s">
        <v>364</v>
      </c>
      <c r="I26" s="1" t="s">
        <v>607</v>
      </c>
      <c r="J26" s="55">
        <v>3.5990000000000002</v>
      </c>
      <c r="K26" s="1">
        <v>2.2999999999999998</v>
      </c>
      <c r="L26" s="18">
        <f>K26/J26</f>
        <v>0.6390664073353709</v>
      </c>
      <c r="M26" s="1">
        <v>1</v>
      </c>
      <c r="N26" s="1">
        <v>2.496</v>
      </c>
      <c r="O26" s="1">
        <v>2.399</v>
      </c>
      <c r="P26" s="1" t="s">
        <v>347</v>
      </c>
      <c r="Q26" s="1" t="str">
        <f>IF(L26&gt;=0.67, "F-0", IF(L26&gt;=0.544, "F-1", IF(L26&gt;=0.5, "F-2+", "F-2+")))</f>
        <v>F-1</v>
      </c>
    </row>
    <row r="27" spans="1:17" x14ac:dyDescent="0.3">
      <c r="A27" s="1" t="s">
        <v>358</v>
      </c>
      <c r="B27" s="1">
        <v>30.479595</v>
      </c>
      <c r="C27" s="1">
        <v>-84.625860000000003</v>
      </c>
      <c r="D27" s="17" t="str">
        <f>IF(C27&gt;-85, "East", "West")</f>
        <v>East</v>
      </c>
      <c r="E27" s="16">
        <v>38025</v>
      </c>
      <c r="F27" s="1" t="s">
        <v>338</v>
      </c>
      <c r="G27" s="1" t="s">
        <v>255</v>
      </c>
      <c r="H27" s="52" t="s">
        <v>364</v>
      </c>
      <c r="I27" s="1" t="s">
        <v>607</v>
      </c>
      <c r="J27" s="55">
        <v>3.6480000000000001</v>
      </c>
      <c r="K27" s="1">
        <v>2.25</v>
      </c>
      <c r="L27" s="18">
        <f>K27/J27</f>
        <v>0.61677631578947367</v>
      </c>
      <c r="M27" s="1">
        <v>1.05</v>
      </c>
      <c r="N27" s="1">
        <v>3.456</v>
      </c>
      <c r="O27" s="1">
        <v>2.5920000000000001</v>
      </c>
      <c r="P27" s="1" t="s">
        <v>347</v>
      </c>
      <c r="Q27" s="1" t="str">
        <f>IF(L27&gt;=0.67, "F-0", IF(L27&gt;=0.544, "F-1", IF(L27&gt;=0.5, "F-2+", "F-2+")))</f>
        <v>F-1</v>
      </c>
    </row>
    <row r="28" spans="1:17" x14ac:dyDescent="0.3">
      <c r="A28" s="1" t="s">
        <v>460</v>
      </c>
      <c r="B28" s="1">
        <v>30.458895999999999</v>
      </c>
      <c r="C28" s="1">
        <v>-84.980745999999996</v>
      </c>
      <c r="D28" s="17" t="str">
        <f>IF(C28&gt;-85, "East", "West")</f>
        <v>East</v>
      </c>
      <c r="E28" s="16">
        <v>45047</v>
      </c>
      <c r="F28" s="1" t="s">
        <v>327</v>
      </c>
      <c r="G28" s="1" t="s">
        <v>255</v>
      </c>
      <c r="H28" s="52" t="s">
        <v>802</v>
      </c>
      <c r="I28" s="1" t="s">
        <v>810</v>
      </c>
      <c r="J28" s="55">
        <v>3.7</v>
      </c>
      <c r="K28" s="1">
        <v>2.2250000000000001</v>
      </c>
      <c r="L28" s="18">
        <f>K28/J28</f>
        <v>0.60135135135135132</v>
      </c>
      <c r="M28" s="1">
        <v>0.875</v>
      </c>
      <c r="N28" s="1">
        <v>2.3250000000000002</v>
      </c>
      <c r="O28" s="1">
        <v>2.2999999999999998</v>
      </c>
      <c r="P28" s="1" t="s">
        <v>347</v>
      </c>
      <c r="Q28" s="1" t="str">
        <f>IF(L28&gt;=0.67, "F-0", IF(L28&gt;=0.544, "F-1", IF(L28&gt;=0.5, "F-2+", "F-2+")))</f>
        <v>F-1</v>
      </c>
    </row>
    <row r="29" spans="1:17" x14ac:dyDescent="0.3">
      <c r="A29" s="1" t="s">
        <v>412</v>
      </c>
      <c r="B29" s="1">
        <v>32.550275499999998</v>
      </c>
      <c r="C29" s="1">
        <v>-84.514962999999995</v>
      </c>
      <c r="D29" s="17" t="str">
        <f>IF(C29&gt;-85, "East", "West")</f>
        <v>East</v>
      </c>
      <c r="E29" s="16">
        <v>44691</v>
      </c>
      <c r="F29" s="1" t="s">
        <v>299</v>
      </c>
      <c r="G29" s="1" t="s">
        <v>270</v>
      </c>
      <c r="H29" s="52" t="s">
        <v>513</v>
      </c>
      <c r="I29" s="1" t="s">
        <v>579</v>
      </c>
      <c r="J29" s="55">
        <f>13*0.3</f>
        <v>3.9</v>
      </c>
      <c r="K29" s="1">
        <f>(12.7-5)*0.3</f>
        <v>2.3099999999999996</v>
      </c>
      <c r="L29" s="18">
        <f>K29/J29</f>
        <v>0.5923076923076922</v>
      </c>
      <c r="M29" s="1">
        <f>3.8*0.25</f>
        <v>0.95</v>
      </c>
      <c r="N29" s="1">
        <f>(13.2-5)*0.3</f>
        <v>2.4599999999999995</v>
      </c>
      <c r="O29" s="1">
        <f>(13.5-5)*0.3</f>
        <v>2.5499999999999998</v>
      </c>
      <c r="P29" s="1" t="s">
        <v>347</v>
      </c>
      <c r="Q29" s="1" t="str">
        <f>IF(L29&gt;=0.67, "F-0", IF(L29&gt;=0.544, "F-1", IF(L29&gt;=0.5, "F-2+", "F-2+")))</f>
        <v>F-1</v>
      </c>
    </row>
    <row r="30" spans="1:17" x14ac:dyDescent="0.3">
      <c r="A30" s="81" t="s">
        <v>458</v>
      </c>
      <c r="B30" s="81">
        <v>30.500082800000001</v>
      </c>
      <c r="C30" s="81">
        <v>-84.951697100000004</v>
      </c>
      <c r="D30" s="82" t="str">
        <f>IF(C30&gt;-85, "East", "West")</f>
        <v>East</v>
      </c>
      <c r="E30" s="83">
        <v>45057</v>
      </c>
      <c r="F30" s="81" t="s">
        <v>327</v>
      </c>
      <c r="G30" s="81" t="s">
        <v>255</v>
      </c>
      <c r="H30" s="53" t="s">
        <v>799</v>
      </c>
      <c r="I30" s="81" t="s">
        <v>811</v>
      </c>
      <c r="J30" s="84">
        <v>3.9962</v>
      </c>
      <c r="K30" s="81">
        <v>2.5259</v>
      </c>
      <c r="L30" s="85">
        <f>K30/J30</f>
        <v>0.63207547169811318</v>
      </c>
      <c r="M30" s="81">
        <v>0.95</v>
      </c>
      <c r="N30" s="81">
        <v>2.2242999999999999</v>
      </c>
      <c r="O30" s="81">
        <v>2.4504999999999999</v>
      </c>
      <c r="P30" s="81" t="s">
        <v>348</v>
      </c>
      <c r="Q30" s="1" t="str">
        <f>IF(L30&gt;=0.67, "F-0", IF(L30&gt;=0.544, "F-1", IF(L30&gt;=0.5, "F-2+", "F-2+")))</f>
        <v>F-1</v>
      </c>
    </row>
    <row r="31" spans="1:17" x14ac:dyDescent="0.3">
      <c r="A31" s="1" t="s">
        <v>448</v>
      </c>
      <c r="B31" s="1">
        <v>30.513054</v>
      </c>
      <c r="C31" s="1">
        <v>-86.914310999999998</v>
      </c>
      <c r="D31" s="17" t="str">
        <f>IF(C31&gt;-85, "East", "West")</f>
        <v>West</v>
      </c>
      <c r="E31" s="16">
        <v>44998</v>
      </c>
      <c r="F31" s="1" t="s">
        <v>285</v>
      </c>
      <c r="G31" s="1" t="s">
        <v>255</v>
      </c>
      <c r="H31" s="52" t="s">
        <v>772</v>
      </c>
      <c r="I31" s="1" t="s">
        <v>640</v>
      </c>
      <c r="J31" s="55">
        <v>3.3</v>
      </c>
      <c r="K31" s="1">
        <v>1.875</v>
      </c>
      <c r="L31" s="18">
        <f>K31/J31</f>
        <v>0.56818181818181823</v>
      </c>
      <c r="M31" s="1">
        <v>0.875</v>
      </c>
      <c r="N31" s="1">
        <v>2.15</v>
      </c>
      <c r="O31" s="1">
        <v>2.1749999999999998</v>
      </c>
      <c r="P31" s="1" t="s">
        <v>348</v>
      </c>
      <c r="Q31" s="1" t="str">
        <f>IF(L31&gt;=0.67, "F-0", IF(L31&gt;=0.544, "F-1", IF(L31&gt;=0.5, "F-2+", "F-2+")))</f>
        <v>F-1</v>
      </c>
    </row>
    <row r="32" spans="1:17" x14ac:dyDescent="0.3">
      <c r="A32" s="1" t="s">
        <v>453</v>
      </c>
      <c r="B32" s="1">
        <v>30.513054</v>
      </c>
      <c r="C32" s="1">
        <v>-86.914310999999998</v>
      </c>
      <c r="D32" s="17" t="str">
        <f>IF(C32&gt;-85, "East", "West")</f>
        <v>West</v>
      </c>
      <c r="E32" s="16">
        <v>44998</v>
      </c>
      <c r="F32" s="1" t="s">
        <v>285</v>
      </c>
      <c r="G32" s="1" t="s">
        <v>255</v>
      </c>
      <c r="H32" s="52" t="s">
        <v>772</v>
      </c>
      <c r="I32" s="1" t="s">
        <v>640</v>
      </c>
      <c r="J32" s="55">
        <v>3.3250000000000002</v>
      </c>
      <c r="K32" s="1">
        <v>2.0499999999999998</v>
      </c>
      <c r="L32" s="18">
        <f>K32/J32</f>
        <v>0.61654135338345861</v>
      </c>
      <c r="M32" s="1">
        <v>0.85</v>
      </c>
      <c r="N32" s="1">
        <v>2.1749999999999998</v>
      </c>
      <c r="O32" s="1">
        <v>2.125</v>
      </c>
      <c r="P32" s="1" t="s">
        <v>348</v>
      </c>
      <c r="Q32" s="1" t="str">
        <f>IF(L32&gt;=0.67, "F-0", IF(L32&gt;=0.544, "F-1", IF(L32&gt;=0.5, "F-2+", "F-2+")))</f>
        <v>F-1</v>
      </c>
    </row>
    <row r="33" spans="1:17" x14ac:dyDescent="0.3">
      <c r="A33" s="1" t="s">
        <v>450</v>
      </c>
      <c r="B33" s="1">
        <v>30.513054</v>
      </c>
      <c r="C33" s="1">
        <v>-86.914310999999998</v>
      </c>
      <c r="D33" s="17" t="str">
        <f>IF(C33&gt;-85, "East", "West")</f>
        <v>West</v>
      </c>
      <c r="E33" s="16">
        <v>44998</v>
      </c>
      <c r="F33" s="1" t="s">
        <v>285</v>
      </c>
      <c r="G33" s="1" t="s">
        <v>255</v>
      </c>
      <c r="H33" s="52" t="s">
        <v>772</v>
      </c>
      <c r="I33" s="1" t="s">
        <v>640</v>
      </c>
      <c r="J33" s="55">
        <v>3.35</v>
      </c>
      <c r="K33" s="1">
        <v>1.875</v>
      </c>
      <c r="L33" s="18">
        <f>K33/J33</f>
        <v>0.55970149253731338</v>
      </c>
      <c r="M33" s="1">
        <v>0.875</v>
      </c>
      <c r="N33" s="1">
        <v>2.1749999999999998</v>
      </c>
      <c r="O33" s="1">
        <v>2.0499999999999998</v>
      </c>
      <c r="P33" s="1" t="s">
        <v>348</v>
      </c>
      <c r="Q33" s="1" t="str">
        <f>IF(L33&gt;=0.67, "F-0", IF(L33&gt;=0.544, "F-1", IF(L33&gt;=0.5, "F-2+", "F-2+")))</f>
        <v>F-1</v>
      </c>
    </row>
    <row r="34" spans="1:17" x14ac:dyDescent="0.3">
      <c r="A34" s="1" t="s">
        <v>449</v>
      </c>
      <c r="B34" s="1">
        <v>30.513054</v>
      </c>
      <c r="C34" s="1">
        <v>-86.914310999999998</v>
      </c>
      <c r="D34" s="17" t="str">
        <f>IF(C34&gt;-85, "East", "West")</f>
        <v>West</v>
      </c>
      <c r="E34" s="16">
        <v>44998</v>
      </c>
      <c r="F34" s="1" t="s">
        <v>285</v>
      </c>
      <c r="G34" s="1" t="s">
        <v>255</v>
      </c>
      <c r="H34" s="52" t="s">
        <v>772</v>
      </c>
      <c r="I34" s="1" t="s">
        <v>640</v>
      </c>
      <c r="J34" s="55">
        <v>3.4249999999999998</v>
      </c>
      <c r="K34" s="1">
        <v>2.0249999999999999</v>
      </c>
      <c r="L34" s="18">
        <f>K34/J34</f>
        <v>0.59124087591240881</v>
      </c>
      <c r="M34" s="1">
        <v>0.85</v>
      </c>
      <c r="N34" s="1">
        <v>2.15</v>
      </c>
      <c r="O34" s="1">
        <v>2.15</v>
      </c>
      <c r="P34" s="1" t="s">
        <v>347</v>
      </c>
      <c r="Q34" s="1" t="str">
        <f>IF(L34&gt;=0.67, "F-0", IF(L34&gt;=0.544, "F-1", IF(L34&gt;=0.5, "F-2+", "F-2+")))</f>
        <v>F-1</v>
      </c>
    </row>
    <row r="35" spans="1:17" x14ac:dyDescent="0.3">
      <c r="A35" s="1" t="s">
        <v>452</v>
      </c>
      <c r="B35" s="1">
        <v>30.513054</v>
      </c>
      <c r="C35" s="1">
        <v>-86.914310999999998</v>
      </c>
      <c r="D35" s="17" t="str">
        <f>IF(C35&gt;-85, "East", "West")</f>
        <v>West</v>
      </c>
      <c r="E35" s="16">
        <v>44998</v>
      </c>
      <c r="F35" s="1" t="s">
        <v>285</v>
      </c>
      <c r="G35" s="1" t="s">
        <v>255</v>
      </c>
      <c r="H35" s="52" t="s">
        <v>772</v>
      </c>
      <c r="I35" s="1" t="s">
        <v>640</v>
      </c>
      <c r="J35" s="55">
        <v>3.45</v>
      </c>
      <c r="K35" s="1">
        <v>2.0249999999999999</v>
      </c>
      <c r="L35" s="18">
        <f>K35/J35</f>
        <v>0.58695652173913038</v>
      </c>
      <c r="M35" s="1">
        <v>0.92500000000000004</v>
      </c>
      <c r="N35" s="1">
        <v>2.25</v>
      </c>
      <c r="O35" s="1">
        <v>2.35</v>
      </c>
      <c r="P35" s="1" t="s">
        <v>348</v>
      </c>
      <c r="Q35" s="1" t="str">
        <f>IF(L35&gt;=0.67, "F-0", IF(L35&gt;=0.544, "F-1", IF(L35&gt;=0.5, "F-2+", "F-2+")))</f>
        <v>F-1</v>
      </c>
    </row>
    <row r="36" spans="1:17" x14ac:dyDescent="0.3">
      <c r="A36" s="1" t="s">
        <v>451</v>
      </c>
      <c r="B36" s="1">
        <v>30.513054</v>
      </c>
      <c r="C36" s="1">
        <v>-86.914310999999998</v>
      </c>
      <c r="D36" s="17" t="str">
        <f>IF(C36&gt;-85, "East", "West")</f>
        <v>West</v>
      </c>
      <c r="E36" s="16">
        <v>44998</v>
      </c>
      <c r="F36" s="1" t="s">
        <v>285</v>
      </c>
      <c r="G36" s="1" t="s">
        <v>255</v>
      </c>
      <c r="H36" s="52" t="s">
        <v>772</v>
      </c>
      <c r="I36" s="1" t="s">
        <v>640</v>
      </c>
      <c r="J36" s="55">
        <v>3.4750000000000001</v>
      </c>
      <c r="K36" s="1">
        <v>2.0750000000000002</v>
      </c>
      <c r="L36" s="18">
        <f>K36/J36</f>
        <v>0.59712230215827344</v>
      </c>
      <c r="M36" s="1">
        <v>0.9</v>
      </c>
      <c r="N36" s="1">
        <v>2.2250000000000001</v>
      </c>
      <c r="O36" s="1">
        <v>2.4</v>
      </c>
      <c r="P36" s="1" t="s">
        <v>348</v>
      </c>
      <c r="Q36" s="1" t="str">
        <f>IF(L36&gt;=0.67, "F-0", IF(L36&gt;=0.544, "F-1", IF(L36&gt;=0.5, "F-2+", "F-2+")))</f>
        <v>F-1</v>
      </c>
    </row>
    <row r="37" spans="1:17" x14ac:dyDescent="0.3">
      <c r="A37" s="1" t="s">
        <v>421</v>
      </c>
      <c r="B37" s="1">
        <v>30.513054</v>
      </c>
      <c r="C37" s="1">
        <v>-86.914310999999998</v>
      </c>
      <c r="D37" s="17" t="str">
        <f>IF(C37&gt;-85, "East", "West")</f>
        <v>West</v>
      </c>
      <c r="E37" s="16">
        <v>44699</v>
      </c>
      <c r="F37" s="1" t="s">
        <v>285</v>
      </c>
      <c r="G37" s="1" t="s">
        <v>255</v>
      </c>
      <c r="H37" s="52" t="s">
        <v>772</v>
      </c>
      <c r="I37" s="1" t="s">
        <v>581</v>
      </c>
      <c r="J37" s="55">
        <v>3.7323</v>
      </c>
      <c r="K37" s="1">
        <v>2.0358000000000001</v>
      </c>
      <c r="L37" s="18">
        <f>K37/J37</f>
        <v>0.54545454545454553</v>
      </c>
      <c r="M37" s="1">
        <v>0.98019999999999996</v>
      </c>
      <c r="N37" s="1">
        <v>2.4504999999999999</v>
      </c>
      <c r="O37" s="1">
        <v>2.262</v>
      </c>
      <c r="P37" s="1" t="s">
        <v>348</v>
      </c>
      <c r="Q37" s="1" t="str">
        <f>IF(L37&gt;=0.67, "F-0", IF(L37&gt;=0.544, "F-1", IF(L37&gt;=0.5, "F-2+", "F-2+")))</f>
        <v>F-1</v>
      </c>
    </row>
    <row r="38" spans="1:17" x14ac:dyDescent="0.3">
      <c r="A38" s="1" t="s">
        <v>436</v>
      </c>
      <c r="B38" s="1">
        <v>30.733000000000001</v>
      </c>
      <c r="C38" s="1">
        <v>-86.757999999999996</v>
      </c>
      <c r="D38" s="17" t="str">
        <f>IF(C38&gt;-85, "East", "West")</f>
        <v>West</v>
      </c>
      <c r="E38" s="16">
        <v>44692</v>
      </c>
      <c r="F38" s="1" t="s">
        <v>261</v>
      </c>
      <c r="G38" s="1" t="s">
        <v>255</v>
      </c>
      <c r="H38" s="52" t="s">
        <v>550</v>
      </c>
      <c r="I38" s="1" t="s">
        <v>594</v>
      </c>
      <c r="J38" s="55">
        <f>9.9*0.377</f>
        <v>3.7323</v>
      </c>
      <c r="K38" s="1">
        <f>5.7*0.377</f>
        <v>2.1489000000000003</v>
      </c>
      <c r="L38" s="18">
        <f>K38/J38</f>
        <v>0.5757575757575758</v>
      </c>
      <c r="M38" s="1">
        <f>3.7*0.25</f>
        <v>0.92500000000000004</v>
      </c>
      <c r="N38" s="1">
        <f>6.3*0.377</f>
        <v>2.3750999999999998</v>
      </c>
      <c r="O38" s="1">
        <f>6.4*0.377</f>
        <v>2.4128000000000003</v>
      </c>
      <c r="P38" s="1" t="s">
        <v>347</v>
      </c>
      <c r="Q38" s="1" t="str">
        <f>IF(L38&gt;=0.67, "F-0", IF(L38&gt;=0.544, "F-1", IF(L38&gt;=0.5, "F-2+", "F-2+")))</f>
        <v>F-1</v>
      </c>
    </row>
    <row r="39" spans="1:17" x14ac:dyDescent="0.3">
      <c r="A39" s="1" t="s">
        <v>438</v>
      </c>
      <c r="B39" s="1">
        <v>30.784144300000001</v>
      </c>
      <c r="C39" s="1">
        <v>-86.787083999999993</v>
      </c>
      <c r="D39" s="17" t="str">
        <f>IF(C39&gt;-85, "East", "West")</f>
        <v>West</v>
      </c>
      <c r="E39" s="16">
        <v>44997</v>
      </c>
      <c r="F39" s="1" t="s">
        <v>261</v>
      </c>
      <c r="G39" s="1" t="s">
        <v>255</v>
      </c>
      <c r="H39" s="52" t="s">
        <v>633</v>
      </c>
      <c r="I39" s="1" t="s">
        <v>635</v>
      </c>
      <c r="J39" s="55">
        <v>3.7323</v>
      </c>
      <c r="K39" s="1">
        <v>2.2242999999999999</v>
      </c>
      <c r="L39" s="18">
        <f>K39/J39</f>
        <v>0.59595959595959591</v>
      </c>
      <c r="M39" s="1">
        <v>0.7</v>
      </c>
      <c r="N39" s="1">
        <v>2.2250000000000001</v>
      </c>
      <c r="O39" s="1">
        <v>2.2749999999999999</v>
      </c>
      <c r="P39" s="1" t="s">
        <v>348</v>
      </c>
      <c r="Q39" s="1" t="str">
        <f>IF(L39&gt;=0.67, "F-0", IF(L39&gt;=0.544, "F-1", IF(L39&gt;=0.5, "F-2+", "F-2+")))</f>
        <v>F-1</v>
      </c>
    </row>
    <row r="40" spans="1:17" x14ac:dyDescent="0.3">
      <c r="A40" s="1" t="s">
        <v>398</v>
      </c>
      <c r="B40" s="22">
        <v>30.631959999999999</v>
      </c>
      <c r="C40" s="22">
        <v>-86.774979999999999</v>
      </c>
      <c r="D40" s="17" t="str">
        <f>IF(C40&gt;-85, "East", "West")</f>
        <v>West</v>
      </c>
      <c r="E40" s="16">
        <v>44634</v>
      </c>
      <c r="F40" s="1" t="s">
        <v>261</v>
      </c>
      <c r="G40" s="1" t="s">
        <v>255</v>
      </c>
      <c r="H40" s="52" t="s">
        <v>489</v>
      </c>
      <c r="I40" s="1" t="s">
        <v>568</v>
      </c>
      <c r="J40" s="55">
        <v>3.74</v>
      </c>
      <c r="K40" s="1">
        <v>2.1120000000000001</v>
      </c>
      <c r="L40" s="18">
        <f>K40/J40</f>
        <v>0.56470588235294117</v>
      </c>
      <c r="M40" s="1">
        <v>1.1000000000000001</v>
      </c>
      <c r="N40" s="1">
        <v>2.2999999999999998</v>
      </c>
      <c r="O40" s="1">
        <v>2.2999999999999998</v>
      </c>
      <c r="P40" s="1" t="s">
        <v>363</v>
      </c>
      <c r="Q40" s="1" t="str">
        <f>IF(L40&gt;=0.67, "F-0", IF(L40&gt;=0.544, "F-1", IF(L40&gt;=0.5, "F-2+", "F-2+")))</f>
        <v>F-1</v>
      </c>
    </row>
    <row r="41" spans="1:17" x14ac:dyDescent="0.3">
      <c r="A41" s="1" t="s">
        <v>409</v>
      </c>
      <c r="B41" s="1">
        <v>30.671312</v>
      </c>
      <c r="C41" s="1">
        <v>-86.661395400000004</v>
      </c>
      <c r="D41" s="17" t="str">
        <f>IF(C41&gt;-85, "East", "West")</f>
        <v>West</v>
      </c>
      <c r="E41" s="16">
        <v>44544</v>
      </c>
      <c r="F41" s="1" t="s">
        <v>261</v>
      </c>
      <c r="G41" s="1" t="s">
        <v>255</v>
      </c>
      <c r="H41" s="52" t="s">
        <v>489</v>
      </c>
      <c r="I41" s="1" t="s">
        <v>562</v>
      </c>
      <c r="J41" s="55">
        <v>3.7440000000000002</v>
      </c>
      <c r="K41" s="1">
        <v>2.35</v>
      </c>
      <c r="L41" s="18">
        <f>K41/J41</f>
        <v>0.62767094017094016</v>
      </c>
      <c r="M41" s="1">
        <v>1.014</v>
      </c>
      <c r="N41" s="1">
        <v>2.4</v>
      </c>
      <c r="O41" s="1">
        <v>2.2080000000000002</v>
      </c>
      <c r="P41" s="1" t="s">
        <v>348</v>
      </c>
      <c r="Q41" s="1" t="str">
        <f>IF(L41&gt;=0.67, "F-0", IF(L41&gt;=0.544, "F-1", IF(L41&gt;=0.5, "F-2+", "F-2+")))</f>
        <v>F-1</v>
      </c>
    </row>
    <row r="42" spans="1:17" x14ac:dyDescent="0.3">
      <c r="A42" s="1" t="s">
        <v>423</v>
      </c>
      <c r="B42" s="1">
        <v>30.513054</v>
      </c>
      <c r="C42" s="1">
        <v>-86.914310999999998</v>
      </c>
      <c r="D42" s="17" t="str">
        <f>IF(C42&gt;-85, "East", "West")</f>
        <v>West</v>
      </c>
      <c r="E42" s="16">
        <v>44699</v>
      </c>
      <c r="F42" s="1" t="s">
        <v>285</v>
      </c>
      <c r="G42" s="1" t="s">
        <v>255</v>
      </c>
      <c r="H42" s="52" t="s">
        <v>772</v>
      </c>
      <c r="I42" s="1" t="s">
        <v>581</v>
      </c>
      <c r="J42" s="55">
        <v>3.77</v>
      </c>
      <c r="K42" s="1">
        <v>2.1488999999999998</v>
      </c>
      <c r="L42" s="18">
        <f>K42/J42</f>
        <v>0.56999999999999995</v>
      </c>
      <c r="M42" s="1">
        <v>0.9</v>
      </c>
      <c r="N42" s="1">
        <v>2.4882</v>
      </c>
      <c r="O42" s="1">
        <v>2.6389999999999998</v>
      </c>
      <c r="P42" s="1" t="s">
        <v>348</v>
      </c>
      <c r="Q42" s="1" t="str">
        <f>IF(L42&gt;=0.67, "F-0", IF(L42&gt;=0.544, "F-1", IF(L42&gt;=0.5, "F-2+", "F-2+")))</f>
        <v>F-1</v>
      </c>
    </row>
    <row r="43" spans="1:17" x14ac:dyDescent="0.3">
      <c r="A43" s="1" t="s">
        <v>408</v>
      </c>
      <c r="B43" s="1">
        <v>30.671312</v>
      </c>
      <c r="C43" s="1">
        <v>-86.661395400000004</v>
      </c>
      <c r="D43" s="17" t="str">
        <f>IF(C43&gt;-85, "East", "West")</f>
        <v>West</v>
      </c>
      <c r="E43" s="16">
        <v>44544</v>
      </c>
      <c r="F43" s="1" t="s">
        <v>261</v>
      </c>
      <c r="G43" s="1" t="s">
        <v>255</v>
      </c>
      <c r="H43" s="52" t="s">
        <v>489</v>
      </c>
      <c r="I43" s="1" t="s">
        <v>562</v>
      </c>
      <c r="J43" s="55">
        <v>3.7959999999999998</v>
      </c>
      <c r="K43" s="1">
        <v>2.15</v>
      </c>
      <c r="L43" s="18">
        <f>K43/J43</f>
        <v>0.56638566912539512</v>
      </c>
      <c r="M43" s="1">
        <v>0.97499999999999998</v>
      </c>
      <c r="N43" s="1">
        <v>2.4500000000000002</v>
      </c>
      <c r="O43" s="1">
        <v>2.4</v>
      </c>
      <c r="P43" s="1" t="s">
        <v>348</v>
      </c>
      <c r="Q43" s="1" t="str">
        <f>IF(L43&gt;=0.67, "F-0", IF(L43&gt;=0.544, "F-1", IF(L43&gt;=0.5, "F-2+", "F-2+")))</f>
        <v>F-1</v>
      </c>
    </row>
    <row r="44" spans="1:17" x14ac:dyDescent="0.3">
      <c r="A44" s="1" t="s">
        <v>399</v>
      </c>
      <c r="B44" s="1">
        <v>30.585356000000001</v>
      </c>
      <c r="C44" s="1">
        <v>-86.403834000000003</v>
      </c>
      <c r="D44" s="17" t="str">
        <f>IF(C44&gt;-85, "East", "West")</f>
        <v>West</v>
      </c>
      <c r="E44" s="16">
        <v>44634</v>
      </c>
      <c r="F44" s="1" t="s">
        <v>261</v>
      </c>
      <c r="G44" s="1" t="s">
        <v>255</v>
      </c>
      <c r="H44" s="52" t="s">
        <v>582</v>
      </c>
      <c r="I44" s="1" t="s">
        <v>571</v>
      </c>
      <c r="J44" s="55">
        <f>4*0.96</f>
        <v>3.84</v>
      </c>
      <c r="K44" s="1">
        <f>4.5*0.5</f>
        <v>2.25</v>
      </c>
      <c r="L44" s="18">
        <f>K44/J44</f>
        <v>0.5859375</v>
      </c>
      <c r="M44" s="1">
        <f>2.5*0.39</f>
        <v>0.97500000000000009</v>
      </c>
      <c r="N44" s="1">
        <f>O44</f>
        <v>2.496</v>
      </c>
      <c r="O44" s="1">
        <f>2.6*0.96</f>
        <v>2.496</v>
      </c>
      <c r="P44" s="1" t="s">
        <v>363</v>
      </c>
      <c r="Q44" s="1" t="str">
        <f>IF(L44&gt;=0.67, "F-0", IF(L44&gt;=0.544, "F-1", IF(L44&gt;=0.5, "F-2+", "F-2+")))</f>
        <v>F-1</v>
      </c>
    </row>
    <row r="45" spans="1:17" x14ac:dyDescent="0.3">
      <c r="A45" s="1" t="s">
        <v>400</v>
      </c>
      <c r="B45" s="1">
        <v>30.585356000000001</v>
      </c>
      <c r="C45" s="1">
        <v>-86.403834000000003</v>
      </c>
      <c r="D45" s="17" t="str">
        <f>IF(C45&gt;-85, "East", "West")</f>
        <v>West</v>
      </c>
      <c r="E45" s="16">
        <v>44634</v>
      </c>
      <c r="F45" s="1" t="s">
        <v>261</v>
      </c>
      <c r="G45" s="1" t="s">
        <v>255</v>
      </c>
      <c r="H45" s="52" t="s">
        <v>582</v>
      </c>
      <c r="I45" s="1" t="s">
        <v>571</v>
      </c>
      <c r="J45" s="55">
        <f>4*0.96</f>
        <v>3.84</v>
      </c>
      <c r="K45" s="1">
        <f>4.6*0.5</f>
        <v>2.2999999999999998</v>
      </c>
      <c r="L45" s="18">
        <f>K45/J45</f>
        <v>0.59895833333333326</v>
      </c>
      <c r="M45" s="1">
        <f>3*0.3</f>
        <v>0.89999999999999991</v>
      </c>
      <c r="N45" s="1">
        <f>2.6*0.96</f>
        <v>2.496</v>
      </c>
      <c r="O45" s="1">
        <f>2.5*0.96</f>
        <v>2.4</v>
      </c>
      <c r="P45" s="1" t="s">
        <v>347</v>
      </c>
      <c r="Q45" s="1" t="str">
        <f>IF(L45&gt;=0.67, "F-0", IF(L45&gt;=0.544, "F-1", IF(L45&gt;=0.5, "F-2+", "F-2+")))</f>
        <v>F-1</v>
      </c>
    </row>
    <row r="46" spans="1:17" x14ac:dyDescent="0.3">
      <c r="A46" s="1" t="s">
        <v>360</v>
      </c>
      <c r="B46" s="1">
        <v>30.540894000000002</v>
      </c>
      <c r="C46" s="1">
        <v>-87.789871000000005</v>
      </c>
      <c r="D46" s="17" t="str">
        <f>IF(C46&gt;-85, "East", "West")</f>
        <v>West</v>
      </c>
      <c r="E46" s="16">
        <v>44633</v>
      </c>
      <c r="F46" s="1" t="s">
        <v>302</v>
      </c>
      <c r="G46" s="1" t="s">
        <v>303</v>
      </c>
      <c r="H46" s="52" t="s">
        <v>396</v>
      </c>
      <c r="I46" s="1" t="s">
        <v>566</v>
      </c>
      <c r="J46" s="55">
        <v>3.84</v>
      </c>
      <c r="K46" s="1">
        <v>2.35</v>
      </c>
      <c r="L46" s="18">
        <f>K46/J46</f>
        <v>0.61197916666666674</v>
      </c>
      <c r="M46" s="1">
        <v>0.93</v>
      </c>
      <c r="N46" s="1">
        <v>2.3039999999999998</v>
      </c>
      <c r="O46" s="1">
        <v>2.4</v>
      </c>
      <c r="P46" s="1" t="s">
        <v>363</v>
      </c>
      <c r="Q46" s="1" t="str">
        <f>IF(L46&gt;=0.67, "F-0", IF(L46&gt;=0.544, "F-1", IF(L46&gt;=0.5, "F-2+", "F-2+")))</f>
        <v>F-1</v>
      </c>
    </row>
    <row r="47" spans="1:17" x14ac:dyDescent="0.3">
      <c r="A47" s="1" t="s">
        <v>236</v>
      </c>
      <c r="B47" s="1">
        <v>30.786522000000001</v>
      </c>
      <c r="C47" s="1">
        <v>-86.797717000000006</v>
      </c>
      <c r="D47" s="17" t="str">
        <f>IF(C47&gt;-85, "East", "West")</f>
        <v>West</v>
      </c>
      <c r="E47" s="16">
        <v>26739</v>
      </c>
      <c r="F47" s="1" t="s">
        <v>285</v>
      </c>
      <c r="G47" s="1" t="s">
        <v>255</v>
      </c>
      <c r="H47" s="52" t="s">
        <v>349</v>
      </c>
      <c r="I47" s="1" t="s">
        <v>609</v>
      </c>
      <c r="J47" s="55">
        <v>3.84</v>
      </c>
      <c r="K47" s="1">
        <v>2.4</v>
      </c>
      <c r="L47" s="18">
        <f>K47/J47</f>
        <v>0.625</v>
      </c>
      <c r="M47" s="1">
        <v>1.05</v>
      </c>
      <c r="N47" s="1">
        <v>2.5920000000000001</v>
      </c>
      <c r="O47" s="1">
        <v>2.5920000000000001</v>
      </c>
      <c r="P47" s="1" t="s">
        <v>348</v>
      </c>
      <c r="Q47" s="1" t="str">
        <f>IF(L47&gt;=0.67, "F-0", IF(L47&gt;=0.544, "F-1", IF(L47&gt;=0.5, "F-2+", "F-2+")))</f>
        <v>F-1</v>
      </c>
    </row>
    <row r="48" spans="1:17" x14ac:dyDescent="0.3">
      <c r="A48" s="1" t="s">
        <v>361</v>
      </c>
      <c r="B48" s="1">
        <v>30.540894000000002</v>
      </c>
      <c r="C48" s="1">
        <v>-87.789871000000005</v>
      </c>
      <c r="D48" s="17" t="str">
        <f>IF(C48&gt;-85, "East", "West")</f>
        <v>West</v>
      </c>
      <c r="E48" s="16">
        <v>44633</v>
      </c>
      <c r="F48" s="1" t="s">
        <v>302</v>
      </c>
      <c r="G48" s="1" t="s">
        <v>303</v>
      </c>
      <c r="H48" s="52" t="s">
        <v>396</v>
      </c>
      <c r="I48" s="1" t="s">
        <v>566</v>
      </c>
      <c r="J48" s="55">
        <v>3.84</v>
      </c>
      <c r="K48" s="1">
        <v>2.4</v>
      </c>
      <c r="L48" s="18">
        <f>K48/J48</f>
        <v>0.625</v>
      </c>
      <c r="M48" s="1">
        <v>1.05</v>
      </c>
      <c r="N48" s="1">
        <v>2.4</v>
      </c>
      <c r="O48" s="1">
        <v>2.4</v>
      </c>
      <c r="P48" s="1" t="s">
        <v>363</v>
      </c>
      <c r="Q48" s="1" t="str">
        <f>IF(L48&gt;=0.67, "F-0", IF(L48&gt;=0.544, "F-1", IF(L48&gt;=0.5, "F-2+", "F-2+")))</f>
        <v>F-1</v>
      </c>
    </row>
    <row r="49" spans="1:17" x14ac:dyDescent="0.3">
      <c r="A49" s="1" t="s">
        <v>425</v>
      </c>
      <c r="B49" s="1">
        <v>30.513054</v>
      </c>
      <c r="C49" s="1">
        <v>-86.914310999999998</v>
      </c>
      <c r="D49" s="17" t="str">
        <f>IF(C49&gt;-85, "East", "West")</f>
        <v>West</v>
      </c>
      <c r="E49" s="16">
        <v>44699</v>
      </c>
      <c r="F49" s="1" t="s">
        <v>285</v>
      </c>
      <c r="G49" s="1" t="s">
        <v>255</v>
      </c>
      <c r="H49" s="52" t="s">
        <v>772</v>
      </c>
      <c r="I49" s="1" t="s">
        <v>581</v>
      </c>
      <c r="J49" s="55">
        <v>3.8454000000000002</v>
      </c>
      <c r="K49" s="1">
        <v>2.1488999999999998</v>
      </c>
      <c r="L49" s="18">
        <f>K49/J49</f>
        <v>0.55882352941176461</v>
      </c>
      <c r="M49" s="1">
        <v>0.9425</v>
      </c>
      <c r="N49" s="1">
        <v>2.4504999999999999</v>
      </c>
      <c r="O49" s="1">
        <v>2.5259</v>
      </c>
      <c r="P49" s="1" t="s">
        <v>348</v>
      </c>
      <c r="Q49" s="1" t="str">
        <f>IF(L49&gt;=0.67, "F-0", IF(L49&gt;=0.544, "F-1", IF(L49&gt;=0.5, "F-2+", "F-2+")))</f>
        <v>F-1</v>
      </c>
    </row>
    <row r="50" spans="1:17" x14ac:dyDescent="0.3">
      <c r="A50" s="1" t="s">
        <v>437</v>
      </c>
      <c r="B50" s="1">
        <v>30.784144300000001</v>
      </c>
      <c r="C50" s="1">
        <v>-86.787083999999993</v>
      </c>
      <c r="D50" s="17" t="str">
        <f>IF(C50&gt;-85, "East", "West")</f>
        <v>West</v>
      </c>
      <c r="E50" s="16">
        <v>44997</v>
      </c>
      <c r="F50" s="1" t="s">
        <v>261</v>
      </c>
      <c r="G50" s="1" t="s">
        <v>255</v>
      </c>
      <c r="H50" s="52" t="s">
        <v>633</v>
      </c>
      <c r="I50" s="1" t="s">
        <v>635</v>
      </c>
      <c r="J50" s="55">
        <v>3.8454000000000002</v>
      </c>
      <c r="K50" s="1">
        <v>2.3374000000000001</v>
      </c>
      <c r="L50" s="18">
        <f>K50/J50</f>
        <v>0.60784313725490202</v>
      </c>
      <c r="M50" s="1">
        <f>3.7*0.25</f>
        <v>0.92500000000000004</v>
      </c>
      <c r="N50" s="1">
        <v>2.35</v>
      </c>
      <c r="O50" s="1">
        <v>2.375</v>
      </c>
      <c r="P50" s="1" t="s">
        <v>348</v>
      </c>
      <c r="Q50" s="1" t="str">
        <f>IF(L50&gt;=0.67, "F-0", IF(L50&gt;=0.544, "F-1", IF(L50&gt;=0.5, "F-2+", "F-2+")))</f>
        <v>F-1</v>
      </c>
    </row>
    <row r="51" spans="1:17" x14ac:dyDescent="0.3">
      <c r="A51" s="1" t="s">
        <v>411</v>
      </c>
      <c r="B51" s="1">
        <v>30.540894000000002</v>
      </c>
      <c r="C51" s="1">
        <v>-87.789871000000005</v>
      </c>
      <c r="D51" s="17" t="str">
        <f>IF(C51&gt;-85, "East", "West")</f>
        <v>West</v>
      </c>
      <c r="E51" s="16">
        <v>44688</v>
      </c>
      <c r="F51" s="1" t="s">
        <v>302</v>
      </c>
      <c r="G51" s="1" t="s">
        <v>303</v>
      </c>
      <c r="H51" s="52" t="s">
        <v>396</v>
      </c>
      <c r="I51" s="1" t="s">
        <v>574</v>
      </c>
      <c r="J51" s="55">
        <f>8.1*0.4762</f>
        <v>3.8572199999999999</v>
      </c>
      <c r="K51" s="1">
        <f>5.6*0.377</f>
        <v>2.1111999999999997</v>
      </c>
      <c r="L51" s="18">
        <f>K51/J51</f>
        <v>0.54733720140412001</v>
      </c>
      <c r="M51" s="1">
        <f>3.7*0.25</f>
        <v>0.92500000000000004</v>
      </c>
      <c r="N51" s="1">
        <f>9*0.25</f>
        <v>2.25</v>
      </c>
      <c r="O51" s="1">
        <f>6*0.377</f>
        <v>2.262</v>
      </c>
      <c r="P51" s="1" t="s">
        <v>348</v>
      </c>
      <c r="Q51" s="1" t="str">
        <f>IF(L51&gt;=0.67, "F-0", IF(L51&gt;=0.544, "F-1", IF(L51&gt;=0.5, "F-2+", "F-2+")))</f>
        <v>F-1</v>
      </c>
    </row>
    <row r="52" spans="1:17" x14ac:dyDescent="0.3">
      <c r="A52" s="1" t="s">
        <v>454</v>
      </c>
      <c r="B52" s="1">
        <v>30.513054</v>
      </c>
      <c r="C52" s="1">
        <v>-86.914310999999998</v>
      </c>
      <c r="D52" s="17" t="str">
        <f>IF(C52&gt;-85, "East", "West")</f>
        <v>West</v>
      </c>
      <c r="E52" s="16">
        <v>45059</v>
      </c>
      <c r="F52" s="1" t="s">
        <v>285</v>
      </c>
      <c r="G52" s="1" t="s">
        <v>255</v>
      </c>
      <c r="H52" s="52" t="s">
        <v>772</v>
      </c>
      <c r="I52" s="1" t="s">
        <v>812</v>
      </c>
      <c r="J52" s="55">
        <v>3.9584999999999999</v>
      </c>
      <c r="K52" s="1">
        <v>2.5259</v>
      </c>
      <c r="L52" s="18">
        <f>K52/J52</f>
        <v>0.63809523809523816</v>
      </c>
      <c r="M52" s="1">
        <v>0.95</v>
      </c>
      <c r="N52" s="1">
        <v>2.524</v>
      </c>
      <c r="O52" s="1">
        <v>2.81</v>
      </c>
      <c r="P52" s="1" t="s">
        <v>348</v>
      </c>
      <c r="Q52" s="1" t="str">
        <f>IF(L52&gt;=0.67, "F-0", IF(L52&gt;=0.544, "F-1", IF(L52&gt;=0.5, "F-2+", "F-2+")))</f>
        <v>F-1</v>
      </c>
    </row>
    <row r="53" spans="1:17" x14ac:dyDescent="0.3">
      <c r="A53" s="1" t="s">
        <v>362</v>
      </c>
      <c r="B53" s="22">
        <v>30.631959999999999</v>
      </c>
      <c r="C53" s="22">
        <v>-86.774979999999999</v>
      </c>
      <c r="D53" s="17" t="str">
        <f>IF(C53&gt;-85, "East", "West")</f>
        <v>West</v>
      </c>
      <c r="E53" s="16">
        <v>44634</v>
      </c>
      <c r="F53" s="1" t="s">
        <v>261</v>
      </c>
      <c r="G53" s="1" t="s">
        <v>255</v>
      </c>
      <c r="H53" s="52" t="s">
        <v>489</v>
      </c>
      <c r="I53" s="1" t="s">
        <v>568</v>
      </c>
      <c r="J53" s="55">
        <v>3.96</v>
      </c>
      <c r="K53" s="1">
        <v>2.39</v>
      </c>
      <c r="L53" s="18">
        <f>K53/J53</f>
        <v>0.60353535353535359</v>
      </c>
      <c r="M53" s="1">
        <v>1</v>
      </c>
      <c r="N53" s="1">
        <v>2.4</v>
      </c>
      <c r="O53" s="1">
        <v>2.52</v>
      </c>
      <c r="P53" s="1" t="s">
        <v>363</v>
      </c>
      <c r="Q53" s="1" t="str">
        <f>IF(L53&gt;=0.67, "F-0", IF(L53&gt;=0.544, "F-1", IF(L53&gt;=0.5, "F-2+", "F-2+")))</f>
        <v>F-1</v>
      </c>
    </row>
    <row r="54" spans="1:17" x14ac:dyDescent="0.3">
      <c r="A54" s="1" t="s">
        <v>413</v>
      </c>
      <c r="B54" s="1">
        <v>32.550275499999998</v>
      </c>
      <c r="C54" s="1">
        <v>-84.514962999999995</v>
      </c>
      <c r="D54" s="17" t="str">
        <f>IF(C54&gt;-85, "East", "West")</f>
        <v>East</v>
      </c>
      <c r="E54" s="16">
        <v>44691</v>
      </c>
      <c r="F54" s="1" t="s">
        <v>299</v>
      </c>
      <c r="G54" s="1" t="s">
        <v>270</v>
      </c>
      <c r="H54" s="52" t="s">
        <v>513</v>
      </c>
      <c r="I54" s="1" t="s">
        <v>579</v>
      </c>
      <c r="J54" s="55">
        <f>(12-5)*0.25</f>
        <v>1.75</v>
      </c>
      <c r="K54" s="1">
        <f>0.9*0.25</f>
        <v>0.22500000000000001</v>
      </c>
      <c r="L54" s="18">
        <f>K54/J54</f>
        <v>0.12857142857142859</v>
      </c>
      <c r="M54" s="1">
        <f>1.7*0.25</f>
        <v>0.42499999999999999</v>
      </c>
      <c r="N54" s="1">
        <f>0.25*4.6</f>
        <v>1.1499999999999999</v>
      </c>
      <c r="O54" s="1">
        <f>4.5*0.25</f>
        <v>1.125</v>
      </c>
      <c r="P54" s="1" t="s">
        <v>363</v>
      </c>
      <c r="Q54" s="1" t="str">
        <f>IF(L54&gt;=0.67, "F-0", IF(L54&gt;=0.544, "F-1", IF(L54&gt;=0.5, "F-2+", "F-2+")))</f>
        <v>F-2+</v>
      </c>
    </row>
    <row r="55" spans="1:17" x14ac:dyDescent="0.3">
      <c r="A55" s="1" t="s">
        <v>434</v>
      </c>
      <c r="B55" s="1">
        <v>30.458895999999999</v>
      </c>
      <c r="C55" s="1">
        <v>-84.980745999999996</v>
      </c>
      <c r="D55" s="17" t="str">
        <f>IF(C55&gt;-85, "East", "West")</f>
        <v>East</v>
      </c>
      <c r="E55" s="16">
        <v>44694</v>
      </c>
      <c r="F55" s="1" t="s">
        <v>327</v>
      </c>
      <c r="G55" s="1" t="s">
        <v>255</v>
      </c>
      <c r="H55" s="53" t="s">
        <v>549</v>
      </c>
      <c r="I55" s="1" t="s">
        <v>580</v>
      </c>
      <c r="J55" s="55">
        <v>1.75</v>
      </c>
      <c r="K55" s="1">
        <v>0.3</v>
      </c>
      <c r="L55" s="18">
        <f>K55/J55</f>
        <v>0.17142857142857143</v>
      </c>
      <c r="M55" s="1">
        <v>0.42499999999999999</v>
      </c>
      <c r="N55" s="1">
        <v>1.2</v>
      </c>
      <c r="O55" s="1">
        <v>1.175</v>
      </c>
      <c r="P55" s="1" t="s">
        <v>363</v>
      </c>
      <c r="Q55" s="1" t="str">
        <f>IF(L55&gt;=0.67, "F-0", IF(L55&gt;=0.544, "F-1", IF(L55&gt;=0.5, "F-2+", "F-2+")))</f>
        <v>F-2+</v>
      </c>
    </row>
    <row r="56" spans="1:17" x14ac:dyDescent="0.3">
      <c r="A56" s="1" t="s">
        <v>446</v>
      </c>
      <c r="B56" s="1">
        <v>30.458895999999999</v>
      </c>
      <c r="C56" s="1">
        <v>-84.980745999999996</v>
      </c>
      <c r="D56" s="17" t="str">
        <f>IF(C56&gt;-85, "East", "West")</f>
        <v>East</v>
      </c>
      <c r="E56" s="16">
        <v>44999</v>
      </c>
      <c r="F56" s="1" t="s">
        <v>327</v>
      </c>
      <c r="G56" s="1" t="s">
        <v>255</v>
      </c>
      <c r="H56" s="52" t="s">
        <v>671</v>
      </c>
      <c r="I56" s="1" t="s">
        <v>648</v>
      </c>
      <c r="J56" s="55">
        <v>1.8</v>
      </c>
      <c r="K56" s="1">
        <v>0.25</v>
      </c>
      <c r="L56" s="18">
        <f>K56/J56</f>
        <v>0.1388888888888889</v>
      </c>
      <c r="M56" s="1">
        <v>0.42499999999999999</v>
      </c>
      <c r="N56" s="1">
        <v>1.1499999999999999</v>
      </c>
      <c r="O56" s="1">
        <v>1.2749999999999999</v>
      </c>
      <c r="P56" s="1" t="s">
        <v>363</v>
      </c>
      <c r="Q56" s="1" t="str">
        <f>IF(L56&gt;=0.67, "F-0", IF(L56&gt;=0.544, "F-1", IF(L56&gt;=0.5, "F-2+", "F-2+")))</f>
        <v>F-2+</v>
      </c>
    </row>
    <row r="57" spans="1:17" x14ac:dyDescent="0.3">
      <c r="A57" s="1" t="s">
        <v>355</v>
      </c>
      <c r="B57" s="1">
        <v>30.479595</v>
      </c>
      <c r="C57" s="1">
        <v>-84.625860000000003</v>
      </c>
      <c r="D57" s="17" t="str">
        <f>IF(C57&gt;-85, "East", "West")</f>
        <v>East</v>
      </c>
      <c r="E57" s="16">
        <v>38025</v>
      </c>
      <c r="F57" s="1" t="s">
        <v>338</v>
      </c>
      <c r="G57" s="1" t="s">
        <v>255</v>
      </c>
      <c r="H57" s="52" t="s">
        <v>364</v>
      </c>
      <c r="I57" s="1" t="s">
        <v>607</v>
      </c>
      <c r="J57" s="55">
        <v>2</v>
      </c>
      <c r="K57" s="1">
        <v>0.36</v>
      </c>
      <c r="L57" s="18">
        <f>K57/J57</f>
        <v>0.18</v>
      </c>
      <c r="M57" s="1">
        <v>0.52500000000000002</v>
      </c>
      <c r="N57" s="1">
        <v>1.25</v>
      </c>
      <c r="O57" s="1">
        <v>1.3</v>
      </c>
      <c r="P57" s="1" t="s">
        <v>363</v>
      </c>
      <c r="Q57" s="1" t="str">
        <f>IF(L57&gt;=0.67, "F-0", IF(L57&gt;=0.544, "F-1", IF(L57&gt;=0.5, "F-2+", "F-2+")))</f>
        <v>F-2+</v>
      </c>
    </row>
    <row r="58" spans="1:17" x14ac:dyDescent="0.3">
      <c r="A58" s="1" t="s">
        <v>357</v>
      </c>
      <c r="B58" s="1">
        <v>30.479595</v>
      </c>
      <c r="C58" s="1">
        <v>-84.625860000000003</v>
      </c>
      <c r="D58" s="17" t="str">
        <f>IF(C58&gt;-85, "East", "West")</f>
        <v>East</v>
      </c>
      <c r="E58" s="16">
        <v>38025</v>
      </c>
      <c r="F58" s="1" t="s">
        <v>338</v>
      </c>
      <c r="G58" s="1" t="s">
        <v>255</v>
      </c>
      <c r="H58" s="52" t="s">
        <v>364</v>
      </c>
      <c r="I58" s="1" t="s">
        <v>607</v>
      </c>
      <c r="J58" s="55">
        <v>2</v>
      </c>
      <c r="K58" s="1">
        <v>0.36</v>
      </c>
      <c r="L58" s="18">
        <f>K58/J58</f>
        <v>0.18</v>
      </c>
      <c r="M58" s="1">
        <v>0.51</v>
      </c>
      <c r="N58" s="1">
        <v>1.35</v>
      </c>
      <c r="O58" s="1">
        <v>1.4</v>
      </c>
      <c r="P58" s="1" t="s">
        <v>363</v>
      </c>
      <c r="Q58" s="1" t="str">
        <f>IF(L58&gt;=0.67, "F-0", IF(L58&gt;=0.544, "F-1", IF(L58&gt;=0.5, "F-2+", "F-2+")))</f>
        <v>F-2+</v>
      </c>
    </row>
    <row r="59" spans="1:17" x14ac:dyDescent="0.3">
      <c r="A59" s="1" t="s">
        <v>435</v>
      </c>
      <c r="B59" s="1">
        <v>30.472000000000001</v>
      </c>
      <c r="C59" s="1">
        <v>-84.625</v>
      </c>
      <c r="D59" s="17" t="str">
        <f>IF(C59&gt;-85, "East", "West")</f>
        <v>East</v>
      </c>
      <c r="E59" s="16">
        <v>44695</v>
      </c>
      <c r="F59" s="1" t="s">
        <v>338</v>
      </c>
      <c r="G59" s="1" t="s">
        <v>255</v>
      </c>
      <c r="H59" s="52" t="s">
        <v>548</v>
      </c>
      <c r="I59" s="1" t="s">
        <v>600</v>
      </c>
      <c r="J59" s="55">
        <f>8.8*0.25</f>
        <v>2.2000000000000002</v>
      </c>
      <c r="K59" s="1">
        <f>2.2*0.25</f>
        <v>0.55000000000000004</v>
      </c>
      <c r="L59" s="18">
        <f>K59/J59</f>
        <v>0.25</v>
      </c>
      <c r="M59" s="1">
        <f>2.3*0.25</f>
        <v>0.57499999999999996</v>
      </c>
      <c r="N59" s="1">
        <f>5.7*0.25</f>
        <v>1.425</v>
      </c>
      <c r="O59" s="1">
        <f>6.5*0.25</f>
        <v>1.625</v>
      </c>
      <c r="P59" s="1" t="s">
        <v>363</v>
      </c>
      <c r="Q59" s="1" t="str">
        <f>IF(L59&gt;=0.67, "F-0", IF(L59&gt;=0.544, "F-1", IF(L59&gt;=0.5, "F-2+", "F-2+")))</f>
        <v>F-2+</v>
      </c>
    </row>
    <row r="60" spans="1:17" x14ac:dyDescent="0.3">
      <c r="A60" s="1" t="s">
        <v>420</v>
      </c>
      <c r="B60" s="1">
        <v>30.458895999999999</v>
      </c>
      <c r="C60" s="1">
        <v>-84.980745999999996</v>
      </c>
      <c r="D60" s="17" t="str">
        <f>IF(C60&gt;-85, "East", "West")</f>
        <v>East</v>
      </c>
      <c r="E60" s="16">
        <v>44694</v>
      </c>
      <c r="F60" s="1" t="s">
        <v>327</v>
      </c>
      <c r="G60" s="1" t="s">
        <v>255</v>
      </c>
      <c r="H60" s="53" t="s">
        <v>517</v>
      </c>
      <c r="I60" s="1" t="s">
        <v>580</v>
      </c>
      <c r="J60" s="55">
        <v>2.2250000000000001</v>
      </c>
      <c r="K60" s="1">
        <v>0.625</v>
      </c>
      <c r="L60" s="18">
        <f>K60/J60</f>
        <v>0.28089887640449435</v>
      </c>
      <c r="M60" s="1">
        <v>0.625</v>
      </c>
      <c r="N60" s="1">
        <v>1.5</v>
      </c>
      <c r="O60" s="1">
        <v>1.625</v>
      </c>
      <c r="P60" s="1" t="s">
        <v>363</v>
      </c>
      <c r="Q60" s="1" t="str">
        <f>IF(L60&gt;=0.67, "F-0", IF(L60&gt;=0.544, "F-1", IF(L60&gt;=0.5, "F-2+", "F-2+")))</f>
        <v>F-2+</v>
      </c>
    </row>
    <row r="61" spans="1:17" x14ac:dyDescent="0.3">
      <c r="A61" s="1" t="s">
        <v>415</v>
      </c>
      <c r="B61" s="1">
        <v>31.195029000000002</v>
      </c>
      <c r="C61" s="1">
        <v>-85.096153000000001</v>
      </c>
      <c r="D61" s="17" t="s">
        <v>515</v>
      </c>
      <c r="E61" s="16">
        <v>44690</v>
      </c>
      <c r="F61" s="1" t="s">
        <v>329</v>
      </c>
      <c r="G61" s="1" t="s">
        <v>270</v>
      </c>
      <c r="H61" s="52" t="s">
        <v>514</v>
      </c>
      <c r="I61" s="1" t="s">
        <v>578</v>
      </c>
      <c r="J61" s="55">
        <f>(12.1-3)*0.25</f>
        <v>2.2749999999999999</v>
      </c>
      <c r="K61" s="1">
        <f>2*0.25</f>
        <v>0.5</v>
      </c>
      <c r="L61" s="18">
        <f>K61/J61</f>
        <v>0.21978021978021978</v>
      </c>
      <c r="M61" s="1">
        <f>2.3*0.25</f>
        <v>0.57499999999999996</v>
      </c>
      <c r="N61" s="1">
        <f>6*0.25</f>
        <v>1.5</v>
      </c>
      <c r="O61" s="1">
        <f>(8.9-3)*0.25</f>
        <v>1.4750000000000001</v>
      </c>
      <c r="P61" s="1" t="s">
        <v>363</v>
      </c>
      <c r="Q61" s="1" t="str">
        <f>IF(L61&gt;=0.67, "F-0", IF(L61&gt;=0.544, "F-1", IF(L61&gt;=0.5, "F-2+", "F-2+")))</f>
        <v>F-2+</v>
      </c>
    </row>
    <row r="62" spans="1:17" x14ac:dyDescent="0.3">
      <c r="A62" s="1" t="s">
        <v>359</v>
      </c>
      <c r="B62" s="1">
        <v>30.479595</v>
      </c>
      <c r="C62" s="1">
        <v>-84.625860000000003</v>
      </c>
      <c r="D62" s="17" t="str">
        <f>IF(C62&gt;-85, "East", "West")</f>
        <v>East</v>
      </c>
      <c r="E62" s="16">
        <v>38025</v>
      </c>
      <c r="F62" s="1" t="s">
        <v>338</v>
      </c>
      <c r="G62" s="1" t="s">
        <v>255</v>
      </c>
      <c r="H62" s="52" t="s">
        <v>364</v>
      </c>
      <c r="I62" s="1" t="s">
        <v>607</v>
      </c>
      <c r="J62" s="55">
        <v>2.5920000000000001</v>
      </c>
      <c r="K62" s="1">
        <v>0.74099999999999999</v>
      </c>
      <c r="L62" s="18">
        <f>K62/J62</f>
        <v>0.28587962962962959</v>
      </c>
      <c r="M62" s="1">
        <v>0.65</v>
      </c>
      <c r="N62" s="1">
        <v>1.65</v>
      </c>
      <c r="O62" s="1">
        <v>1.85</v>
      </c>
      <c r="P62" s="1" t="s">
        <v>363</v>
      </c>
      <c r="Q62" s="1" t="str">
        <f>IF(L62&gt;=0.67, "F-0", IF(L62&gt;=0.544, "F-1", IF(L62&gt;=0.5, "F-2+", "F-2+")))</f>
        <v>F-2+</v>
      </c>
    </row>
    <row r="63" spans="1:17" x14ac:dyDescent="0.3">
      <c r="A63" s="1" t="s">
        <v>459</v>
      </c>
      <c r="B63" s="1">
        <v>30.458895999999999</v>
      </c>
      <c r="C63" s="1">
        <v>-84.980745999999996</v>
      </c>
      <c r="D63" s="17" t="str">
        <f>IF(C63&gt;-85, "East", "West")</f>
        <v>East</v>
      </c>
      <c r="E63" s="16">
        <v>45047</v>
      </c>
      <c r="F63" s="1" t="s">
        <v>327</v>
      </c>
      <c r="G63" s="1" t="s">
        <v>255</v>
      </c>
      <c r="H63" s="52" t="s">
        <v>802</v>
      </c>
      <c r="I63" s="1" t="s">
        <v>810</v>
      </c>
      <c r="J63" s="55">
        <v>2.8250000000000002</v>
      </c>
      <c r="K63" s="1">
        <v>1.075</v>
      </c>
      <c r="L63" s="18">
        <f>K63/J63</f>
        <v>0.38053097345132741</v>
      </c>
      <c r="M63" s="1">
        <v>0.75</v>
      </c>
      <c r="N63" s="1">
        <v>1.825</v>
      </c>
      <c r="O63" s="1">
        <v>1.925</v>
      </c>
      <c r="P63" s="1" t="s">
        <v>363</v>
      </c>
      <c r="Q63" s="1" t="str">
        <f>IF(L63&gt;=0.67, "F-0", IF(L63&gt;=0.544, "F-1", IF(L63&gt;=0.5, "F-2+", "F-2+")))</f>
        <v>F-2+</v>
      </c>
    </row>
    <row r="64" spans="1:17" x14ac:dyDescent="0.3">
      <c r="A64" s="1" t="s">
        <v>445</v>
      </c>
      <c r="B64" s="1">
        <v>30.458895999999999</v>
      </c>
      <c r="C64" s="1">
        <v>-84.980745999999996</v>
      </c>
      <c r="D64" s="17" t="str">
        <f>IF(C64&gt;-85, "East", "West")</f>
        <v>East</v>
      </c>
      <c r="E64" s="16">
        <v>44999</v>
      </c>
      <c r="F64" s="1" t="s">
        <v>327</v>
      </c>
      <c r="G64" s="1" t="s">
        <v>255</v>
      </c>
      <c r="H64" s="52" t="s">
        <v>671</v>
      </c>
      <c r="I64" s="1" t="s">
        <v>648</v>
      </c>
      <c r="J64" s="55">
        <v>2.85</v>
      </c>
      <c r="K64" s="44">
        <v>1.05</v>
      </c>
      <c r="L64" s="18">
        <f>K64/J64</f>
        <v>0.36842105263157893</v>
      </c>
      <c r="M64" s="1">
        <v>0.77500000000000002</v>
      </c>
      <c r="N64" s="1">
        <v>1.875</v>
      </c>
      <c r="O64" s="1">
        <v>1.8</v>
      </c>
      <c r="P64" s="1" t="s">
        <v>363</v>
      </c>
      <c r="Q64" s="1" t="str">
        <f>IF(L64&gt;=0.67, "F-0", IF(L64&gt;=0.544, "F-1", IF(L64&gt;=0.5, "F-2+", "F-2+")))</f>
        <v>F-2+</v>
      </c>
    </row>
    <row r="65" spans="1:17" x14ac:dyDescent="0.3">
      <c r="A65" s="1" t="s">
        <v>414</v>
      </c>
      <c r="B65" s="1">
        <v>31.195029000000002</v>
      </c>
      <c r="C65" s="1">
        <v>-85.096153000000001</v>
      </c>
      <c r="D65" s="17" t="s">
        <v>515</v>
      </c>
      <c r="E65" s="16">
        <v>44690</v>
      </c>
      <c r="F65" s="1" t="s">
        <v>329</v>
      </c>
      <c r="G65" s="1" t="s">
        <v>270</v>
      </c>
      <c r="H65" s="52" t="s">
        <v>514</v>
      </c>
      <c r="I65" s="1" t="s">
        <v>578</v>
      </c>
      <c r="J65" s="55">
        <f>12.4*0.25</f>
        <v>3.1</v>
      </c>
      <c r="K65" s="1">
        <f>(9.5-5)*0.25</f>
        <v>1.125</v>
      </c>
      <c r="L65" s="18">
        <f>K65/J65</f>
        <v>0.36290322580645162</v>
      </c>
      <c r="M65" s="1">
        <f>3*0.25</f>
        <v>0.75</v>
      </c>
      <c r="N65" s="1">
        <f>(11.9-4)*0.25</f>
        <v>1.9750000000000001</v>
      </c>
      <c r="O65" s="1">
        <f>(11.9-4)*0.25</f>
        <v>1.9750000000000001</v>
      </c>
      <c r="P65" s="1" t="s">
        <v>363</v>
      </c>
      <c r="Q65" s="1" t="str">
        <f>IF(L65&gt;=0.67, "F-0", IF(L65&gt;=0.544, "F-1", IF(L65&gt;=0.5, "F-2+", "F-2+")))</f>
        <v>F-2+</v>
      </c>
    </row>
    <row r="66" spans="1:17" x14ac:dyDescent="0.3">
      <c r="A66" s="1" t="s">
        <v>433</v>
      </c>
      <c r="B66" s="1">
        <v>30.472000000000001</v>
      </c>
      <c r="C66" s="1">
        <v>-84.625</v>
      </c>
      <c r="D66" s="17" t="str">
        <f>IF(C66&gt;-85, "East", "West")</f>
        <v>East</v>
      </c>
      <c r="E66" s="16">
        <v>44695</v>
      </c>
      <c r="F66" s="1" t="s">
        <v>338</v>
      </c>
      <c r="G66" s="1" t="s">
        <v>255</v>
      </c>
      <c r="H66" s="52" t="s">
        <v>548</v>
      </c>
      <c r="I66" s="1" t="s">
        <v>600</v>
      </c>
      <c r="J66" s="55">
        <f>8.3*0.377</f>
        <v>3.1291000000000002</v>
      </c>
      <c r="K66" s="1">
        <f>3.2*0.377</f>
        <v>1.2064000000000001</v>
      </c>
      <c r="L66" s="18">
        <f>K66/J66</f>
        <v>0.38554216867469882</v>
      </c>
      <c r="M66" s="1">
        <f>3.1*0.25</f>
        <v>0.77500000000000002</v>
      </c>
      <c r="N66" s="1">
        <f>7.9*0.25</f>
        <v>1.9750000000000001</v>
      </c>
      <c r="O66" s="1">
        <f>7.5*0.25</f>
        <v>1.875</v>
      </c>
      <c r="P66" s="1" t="s">
        <v>363</v>
      </c>
      <c r="Q66" s="1" t="str">
        <f>IF(L66&gt;=0.67, "F-0", IF(L66&gt;=0.544, "F-1", IF(L66&gt;=0.5, "F-2+", "F-2+")))</f>
        <v>F-2+</v>
      </c>
    </row>
    <row r="67" spans="1:17" x14ac:dyDescent="0.3">
      <c r="A67" s="1" t="s">
        <v>455</v>
      </c>
      <c r="B67" s="1">
        <v>31.195029000000002</v>
      </c>
      <c r="C67" s="1">
        <v>-85.096153000000001</v>
      </c>
      <c r="D67" s="17" t="s">
        <v>515</v>
      </c>
      <c r="E67" s="16">
        <v>45000</v>
      </c>
      <c r="F67" s="1" t="s">
        <v>329</v>
      </c>
      <c r="G67" s="1" t="s">
        <v>270</v>
      </c>
      <c r="H67" s="52" t="s">
        <v>514</v>
      </c>
      <c r="I67" s="1" t="s">
        <v>651</v>
      </c>
      <c r="J67" s="55">
        <v>3.2799</v>
      </c>
      <c r="K67" s="1">
        <v>1.25</v>
      </c>
      <c r="L67" s="18">
        <f>K67/J67</f>
        <v>0.38110918015793166</v>
      </c>
      <c r="M67" s="1">
        <v>0.8</v>
      </c>
      <c r="N67" s="1">
        <v>2</v>
      </c>
      <c r="O67" s="1">
        <v>2.1</v>
      </c>
      <c r="P67" s="1" t="s">
        <v>363</v>
      </c>
      <c r="Q67" s="1" t="str">
        <f>IF(L67&gt;=0.67, "F-0", IF(L67&gt;=0.544, "F-1", IF(L67&gt;=0.5, "F-2+", "F-2+")))</f>
        <v>F-2+</v>
      </c>
    </row>
    <row r="68" spans="1:17" x14ac:dyDescent="0.3">
      <c r="A68" s="1" t="s">
        <v>432</v>
      </c>
      <c r="B68" s="1">
        <v>30.657679999999999</v>
      </c>
      <c r="C68" s="1">
        <v>-86.588639999999998</v>
      </c>
      <c r="D68" s="17" t="str">
        <f>IF(C68&gt;-85, "East", "West")</f>
        <v>West</v>
      </c>
      <c r="E68" s="16">
        <v>44624</v>
      </c>
      <c r="F68" s="1" t="s">
        <v>261</v>
      </c>
      <c r="G68" s="1" t="s">
        <v>255</v>
      </c>
      <c r="H68" s="52" t="s">
        <v>532</v>
      </c>
      <c r="I68" s="1" t="s">
        <v>605</v>
      </c>
      <c r="J68" s="87">
        <v>2.2000000000000002</v>
      </c>
      <c r="K68" s="1">
        <v>0.45</v>
      </c>
      <c r="L68" s="18">
        <f>K68/J68</f>
        <v>0.20454545454545453</v>
      </c>
      <c r="M68" s="1">
        <f>2.4*0.25</f>
        <v>0.6</v>
      </c>
      <c r="N68" s="1">
        <f>6*0.25</f>
        <v>1.5</v>
      </c>
      <c r="O68" s="1">
        <f>6.2*0.25</f>
        <v>1.55</v>
      </c>
      <c r="P68" s="1" t="s">
        <v>363</v>
      </c>
      <c r="Q68" s="1" t="str">
        <f>IF(L68&gt;=0.67, "F-0", IF(L68&gt;=0.544, "F-1", IF(L68&gt;=0.5, "F-2+", "F-2+")))</f>
        <v>F-2+</v>
      </c>
    </row>
    <row r="69" spans="1:17" x14ac:dyDescent="0.3">
      <c r="A69" s="1" t="s">
        <v>456</v>
      </c>
      <c r="B69" s="1">
        <v>30.516442999999999</v>
      </c>
      <c r="C69" s="1">
        <v>-86.859300000000005</v>
      </c>
      <c r="D69" s="17" t="str">
        <f>IF(C69&gt;-85, "East", "West")</f>
        <v>West</v>
      </c>
      <c r="E69" s="16">
        <v>44998</v>
      </c>
      <c r="F69" s="1" t="s">
        <v>285</v>
      </c>
      <c r="G69" s="1" t="s">
        <v>255</v>
      </c>
      <c r="H69" s="52" t="s">
        <v>773</v>
      </c>
      <c r="I69" s="1" t="s">
        <v>663</v>
      </c>
      <c r="J69" s="55">
        <v>2.2250000000000001</v>
      </c>
      <c r="K69" s="1">
        <v>0.6</v>
      </c>
      <c r="L69" s="18">
        <f>K69/J69</f>
        <v>0.2696629213483146</v>
      </c>
      <c r="M69" s="1">
        <v>0.6</v>
      </c>
      <c r="N69" s="1">
        <v>1.55</v>
      </c>
      <c r="O69" s="1">
        <v>1.4</v>
      </c>
      <c r="P69" s="1" t="s">
        <v>363</v>
      </c>
      <c r="Q69" s="1" t="str">
        <f>IF(L69&gt;=0.67, "F-0", IF(L69&gt;=0.544, "F-1", IF(L69&gt;=0.5, "F-2+", "F-2+")))</f>
        <v>F-2+</v>
      </c>
    </row>
    <row r="70" spans="1:17" x14ac:dyDescent="0.3">
      <c r="A70" s="1" t="s">
        <v>457</v>
      </c>
      <c r="B70" s="1">
        <v>30.731078</v>
      </c>
      <c r="C70" s="1">
        <v>-86.848718000000005</v>
      </c>
      <c r="D70" s="17" t="str">
        <f>IF(C70&gt;-85, "East", "West")</f>
        <v>West</v>
      </c>
      <c r="E70" s="16">
        <v>45040</v>
      </c>
      <c r="F70" s="1" t="s">
        <v>285</v>
      </c>
      <c r="G70" s="1" t="s">
        <v>255</v>
      </c>
      <c r="H70" s="52" t="s">
        <v>795</v>
      </c>
      <c r="I70" s="1" t="s">
        <v>809</v>
      </c>
      <c r="J70" s="55">
        <v>2.25</v>
      </c>
      <c r="K70" s="1">
        <v>0.57499999999999996</v>
      </c>
      <c r="L70" s="18">
        <f>K70/J70</f>
        <v>0.25555555555555554</v>
      </c>
      <c r="M70" s="1">
        <v>0.55000000000000004</v>
      </c>
      <c r="N70" s="1">
        <v>1.5</v>
      </c>
      <c r="O70" s="1">
        <v>1.625</v>
      </c>
      <c r="P70" s="1" t="s">
        <v>363</v>
      </c>
      <c r="Q70" s="1" t="str">
        <f>IF(L70&gt;=0.67, "F-0", IF(L70&gt;=0.544, "F-1", IF(L70&gt;=0.5, "F-2+", "F-2+")))</f>
        <v>F-2+</v>
      </c>
    </row>
    <row r="71" spans="1:17" x14ac:dyDescent="0.3">
      <c r="A71" s="1" t="s">
        <v>410</v>
      </c>
      <c r="B71" s="1">
        <v>30.530290000000001</v>
      </c>
      <c r="C71" s="1">
        <v>-86.087451999999999</v>
      </c>
      <c r="D71" s="17" t="str">
        <f>IF(C71&gt;-85, "East", "West")</f>
        <v>West</v>
      </c>
      <c r="E71" s="16">
        <v>44698</v>
      </c>
      <c r="F71" s="1" t="s">
        <v>254</v>
      </c>
      <c r="G71" s="1" t="s">
        <v>255</v>
      </c>
      <c r="H71" s="52" t="s">
        <v>499</v>
      </c>
      <c r="I71" s="1" t="s">
        <v>572</v>
      </c>
      <c r="J71" s="55">
        <f>5.1*0.4762</f>
        <v>2.42862</v>
      </c>
      <c r="K71" s="1">
        <f>1.7*0.25</f>
        <v>0.42499999999999999</v>
      </c>
      <c r="L71" s="18">
        <f>K71/J71</f>
        <v>0.17499650006999859</v>
      </c>
      <c r="M71" s="1">
        <f>2.4*0.25</f>
        <v>0.6</v>
      </c>
      <c r="N71" s="1">
        <f>5.9*0.25</f>
        <v>1.4750000000000001</v>
      </c>
      <c r="O71" s="1">
        <f>6*0.25</f>
        <v>1.5</v>
      </c>
      <c r="P71" s="1" t="s">
        <v>363</v>
      </c>
      <c r="Q71" s="1" t="str">
        <f>IF(L71&gt;=0.67, "F-0", IF(L71&gt;=0.544, "F-1", IF(L71&gt;=0.5, "F-2+", "F-2+")))</f>
        <v>F-2+</v>
      </c>
    </row>
    <row r="72" spans="1:17" x14ac:dyDescent="0.3">
      <c r="A72" s="1" t="s">
        <v>441</v>
      </c>
      <c r="B72" s="1">
        <v>30.631959999999999</v>
      </c>
      <c r="C72" s="1">
        <v>-86.774979999999999</v>
      </c>
      <c r="D72" s="17" t="str">
        <f>IF(C72&gt;-85, "East", "West")</f>
        <v>West</v>
      </c>
      <c r="E72" s="16">
        <v>44998</v>
      </c>
      <c r="F72" s="1" t="s">
        <v>261</v>
      </c>
      <c r="G72" s="1" t="s">
        <v>255</v>
      </c>
      <c r="H72" s="52" t="s">
        <v>489</v>
      </c>
      <c r="I72" s="1" t="s">
        <v>638</v>
      </c>
      <c r="J72" s="55">
        <v>2.5750000000000002</v>
      </c>
      <c r="K72" s="1">
        <v>0.82499999999999996</v>
      </c>
      <c r="L72" s="18">
        <f>K72/J72</f>
        <v>0.32038834951456308</v>
      </c>
      <c r="M72" s="1">
        <v>0.72499999999999998</v>
      </c>
      <c r="N72" s="1">
        <v>1.675</v>
      </c>
      <c r="O72" s="1">
        <v>1.7</v>
      </c>
      <c r="P72" s="1" t="s">
        <v>363</v>
      </c>
      <c r="Q72" s="1" t="str">
        <f>IF(L72&gt;=0.67, "F-0", IF(L72&gt;=0.544, "F-1", IF(L72&gt;=0.5, "F-2+", "F-2+")))</f>
        <v>F-2+</v>
      </c>
    </row>
    <row r="73" spans="1:17" x14ac:dyDescent="0.3">
      <c r="A73" s="1" t="s">
        <v>442</v>
      </c>
      <c r="B73" s="1">
        <v>30.631959999999999</v>
      </c>
      <c r="C73" s="1">
        <v>-86.774979999999999</v>
      </c>
      <c r="D73" s="17" t="str">
        <f>IF(C73&gt;-85, "East", "West")</f>
        <v>West</v>
      </c>
      <c r="E73" s="16">
        <v>44998</v>
      </c>
      <c r="F73" s="1" t="s">
        <v>261</v>
      </c>
      <c r="G73" s="1" t="s">
        <v>255</v>
      </c>
      <c r="H73" s="52" t="s">
        <v>489</v>
      </c>
      <c r="I73" s="1" t="s">
        <v>638</v>
      </c>
      <c r="J73" s="55">
        <v>2.625</v>
      </c>
      <c r="K73" s="1">
        <v>0.95</v>
      </c>
      <c r="L73" s="18">
        <f>K73/J73</f>
        <v>0.3619047619047619</v>
      </c>
      <c r="M73" s="1">
        <v>0.75</v>
      </c>
      <c r="N73" s="1">
        <v>1.75</v>
      </c>
      <c r="O73" s="1">
        <v>1.75</v>
      </c>
      <c r="P73" s="1" t="s">
        <v>363</v>
      </c>
      <c r="Q73" s="1" t="str">
        <f>IF(L73&gt;=0.67, "F-0", IF(L73&gt;=0.544, "F-1", IF(L73&gt;=0.5, "F-2+", "F-2+")))</f>
        <v>F-2+</v>
      </c>
    </row>
    <row r="74" spans="1:17" x14ac:dyDescent="0.3">
      <c r="A74" s="1" t="s">
        <v>426</v>
      </c>
      <c r="B74" s="1">
        <v>30.513054</v>
      </c>
      <c r="C74" s="1">
        <v>-86.914310999999998</v>
      </c>
      <c r="D74" s="17" t="str">
        <f>IF(C74&gt;-85, "East", "West")</f>
        <v>West</v>
      </c>
      <c r="E74" s="16">
        <v>44699</v>
      </c>
      <c r="F74" s="1" t="s">
        <v>285</v>
      </c>
      <c r="G74" s="1" t="s">
        <v>255</v>
      </c>
      <c r="H74" s="52" t="s">
        <v>772</v>
      </c>
      <c r="I74" s="1" t="s">
        <v>581</v>
      </c>
      <c r="J74" s="55">
        <v>2.65</v>
      </c>
      <c r="K74" s="1">
        <v>0.77500000000000002</v>
      </c>
      <c r="L74" s="18">
        <f>K74/J74</f>
        <v>0.29245283018867924</v>
      </c>
      <c r="M74" s="1">
        <v>0.77500000000000002</v>
      </c>
      <c r="N74" s="1">
        <v>1.825</v>
      </c>
      <c r="O74" s="1">
        <v>1.8</v>
      </c>
      <c r="P74" s="1" t="s">
        <v>363</v>
      </c>
      <c r="Q74" s="1" t="str">
        <f>IF(L74&gt;=0.67, "F-0", IF(L74&gt;=0.544, "F-1", IF(L74&gt;=0.5, "F-2+", "F-2+")))</f>
        <v>F-2+</v>
      </c>
    </row>
    <row r="75" spans="1:17" x14ac:dyDescent="0.3">
      <c r="A75" s="1" t="s">
        <v>422</v>
      </c>
      <c r="B75" s="1">
        <v>30.513054</v>
      </c>
      <c r="C75" s="1">
        <v>-86.914310999999998</v>
      </c>
      <c r="D75" s="17" t="str">
        <f>IF(C75&gt;-85, "East", "West")</f>
        <v>West</v>
      </c>
      <c r="E75" s="16">
        <v>44699</v>
      </c>
      <c r="F75" s="1" t="s">
        <v>285</v>
      </c>
      <c r="G75" s="1" t="s">
        <v>255</v>
      </c>
      <c r="H75" s="52" t="s">
        <v>772</v>
      </c>
      <c r="I75" s="1" t="s">
        <v>581</v>
      </c>
      <c r="J75" s="55">
        <v>2.6749999999999998</v>
      </c>
      <c r="K75" s="1">
        <v>0.82499999999999996</v>
      </c>
      <c r="L75" s="18">
        <f>K75/J75</f>
        <v>0.30841121495327101</v>
      </c>
      <c r="M75" s="1">
        <v>0.8</v>
      </c>
      <c r="N75" s="1">
        <v>1.75</v>
      </c>
      <c r="O75" s="1">
        <v>1.75</v>
      </c>
      <c r="P75" s="1" t="s">
        <v>363</v>
      </c>
      <c r="Q75" s="1" t="str">
        <f>IF(L75&gt;=0.67, "F-0", IF(L75&gt;=0.544, "F-1", IF(L75&gt;=0.5, "F-2+", "F-2+")))</f>
        <v>F-2+</v>
      </c>
    </row>
    <row r="76" spans="1:17" x14ac:dyDescent="0.3">
      <c r="A76" s="1" t="s">
        <v>439</v>
      </c>
      <c r="B76" s="1">
        <v>30.631959999999999</v>
      </c>
      <c r="C76" s="1">
        <v>-86.774979999999999</v>
      </c>
      <c r="D76" s="17" t="str">
        <f>IF(C76&gt;-85, "East", "West")</f>
        <v>West</v>
      </c>
      <c r="E76" s="16">
        <v>44998</v>
      </c>
      <c r="F76" s="1" t="s">
        <v>261</v>
      </c>
      <c r="G76" s="1" t="s">
        <v>255</v>
      </c>
      <c r="H76" s="52" t="s">
        <v>489</v>
      </c>
      <c r="I76" s="1" t="s">
        <v>638</v>
      </c>
      <c r="J76" s="55">
        <v>2.6749999999999998</v>
      </c>
      <c r="K76" s="1">
        <v>0.875</v>
      </c>
      <c r="L76" s="18">
        <f>K76/J76</f>
        <v>0.32710280373831779</v>
      </c>
      <c r="M76" s="1">
        <v>0.77500000000000002</v>
      </c>
      <c r="N76" s="1">
        <v>1.75</v>
      </c>
      <c r="O76" s="1">
        <v>1.825</v>
      </c>
      <c r="P76" s="1" t="s">
        <v>348</v>
      </c>
      <c r="Q76" s="1" t="str">
        <f>IF(L76&gt;=0.67, "F-0", IF(L76&gt;=0.544, "F-1", IF(L76&gt;=0.5, "F-2+", "F-2+")))</f>
        <v>F-2+</v>
      </c>
    </row>
    <row r="77" spans="1:17" x14ac:dyDescent="0.3">
      <c r="A77" s="1" t="s">
        <v>440</v>
      </c>
      <c r="B77" s="1">
        <v>30.631959999999999</v>
      </c>
      <c r="C77" s="1">
        <v>-86.774979999999999</v>
      </c>
      <c r="D77" s="17" t="str">
        <f>IF(C77&gt;-85, "East", "West")</f>
        <v>West</v>
      </c>
      <c r="E77" s="16">
        <v>44998</v>
      </c>
      <c r="F77" s="1" t="s">
        <v>261</v>
      </c>
      <c r="G77" s="1" t="s">
        <v>255</v>
      </c>
      <c r="H77" s="52" t="s">
        <v>489</v>
      </c>
      <c r="I77" s="1" t="s">
        <v>638</v>
      </c>
      <c r="J77" s="55">
        <v>2.75</v>
      </c>
      <c r="K77" s="1">
        <v>0.9</v>
      </c>
      <c r="L77" s="18">
        <f>K77/J77</f>
        <v>0.32727272727272727</v>
      </c>
      <c r="M77" s="1">
        <v>0.7</v>
      </c>
      <c r="N77" s="1">
        <v>1.85</v>
      </c>
      <c r="O77" s="1">
        <v>1.825</v>
      </c>
      <c r="P77" s="1" t="s">
        <v>363</v>
      </c>
      <c r="Q77" s="1" t="str">
        <f>IF(L77&gt;=0.67, "F-0", IF(L77&gt;=0.544, "F-1", IF(L77&gt;=0.5, "F-2+", "F-2+")))</f>
        <v>F-2+</v>
      </c>
    </row>
    <row r="78" spans="1:17" x14ac:dyDescent="0.3">
      <c r="A78" s="1" t="s">
        <v>444</v>
      </c>
      <c r="B78" s="1">
        <v>30.527003000000001</v>
      </c>
      <c r="C78" s="1">
        <v>-86.055300000000003</v>
      </c>
      <c r="D78" s="17" t="str">
        <f>IF(C78&gt;-85, "East", "West")</f>
        <v>West</v>
      </c>
      <c r="E78" s="16">
        <v>44999</v>
      </c>
      <c r="F78" s="1" t="s">
        <v>254</v>
      </c>
      <c r="G78" s="1" t="s">
        <v>255</v>
      </c>
      <c r="H78" s="52" t="s">
        <v>622</v>
      </c>
      <c r="I78" s="1" t="s">
        <v>645</v>
      </c>
      <c r="J78" s="55">
        <v>2.7749999999999999</v>
      </c>
      <c r="K78" s="1">
        <v>1.0249999999999999</v>
      </c>
      <c r="L78" s="18">
        <f>K78/J78</f>
        <v>0.36936936936936937</v>
      </c>
      <c r="M78" s="1">
        <v>0.72499999999999998</v>
      </c>
      <c r="N78" s="1">
        <v>1.825</v>
      </c>
      <c r="O78" s="1">
        <v>1.85</v>
      </c>
      <c r="P78" s="1" t="s">
        <v>363</v>
      </c>
      <c r="Q78" s="1" t="str">
        <f>IF(L78&gt;=0.67, "F-0", IF(L78&gt;=0.544, "F-1", IF(L78&gt;=0.5, "F-2+", "F-2+")))</f>
        <v>F-2+</v>
      </c>
    </row>
    <row r="79" spans="1:17" x14ac:dyDescent="0.3">
      <c r="A79" s="1" t="s">
        <v>231</v>
      </c>
      <c r="B79" s="1">
        <v>30.725318999999999</v>
      </c>
      <c r="C79" s="1">
        <v>-86.794539</v>
      </c>
      <c r="D79" s="17" t="str">
        <f>IF(C79&gt;-85, "East", "West")</f>
        <v>West</v>
      </c>
      <c r="E79" s="16">
        <v>39748</v>
      </c>
      <c r="F79" s="16" t="s">
        <v>261</v>
      </c>
      <c r="G79" s="16" t="s">
        <v>255</v>
      </c>
      <c r="H79" s="52" t="s">
        <v>346</v>
      </c>
      <c r="I79" s="1" t="s">
        <v>608</v>
      </c>
      <c r="J79" s="55">
        <v>2.7839999999999998</v>
      </c>
      <c r="K79" s="1">
        <v>1.05</v>
      </c>
      <c r="L79" s="18">
        <f>K79/J79</f>
        <v>0.37715517241379315</v>
      </c>
      <c r="M79" s="1">
        <v>0.87</v>
      </c>
      <c r="N79" s="1">
        <v>1.782</v>
      </c>
      <c r="O79" s="1">
        <v>1.859</v>
      </c>
      <c r="P79" s="1" t="s">
        <v>347</v>
      </c>
      <c r="Q79" s="1" t="str">
        <f>IF(L79&gt;=0.67, "F-0", IF(L79&gt;=0.544, "F-1", IF(L79&gt;=0.5, "F-2+", "F-2+")))</f>
        <v>F-2+</v>
      </c>
    </row>
    <row r="80" spans="1:17" x14ac:dyDescent="0.3">
      <c r="A80" s="1" t="s">
        <v>424</v>
      </c>
      <c r="B80" s="1">
        <v>30.513054</v>
      </c>
      <c r="C80" s="1">
        <v>-86.914310999999998</v>
      </c>
      <c r="D80" s="17" t="str">
        <f>IF(C80&gt;-85, "East", "West")</f>
        <v>West</v>
      </c>
      <c r="E80" s="16">
        <v>44699</v>
      </c>
      <c r="F80" s="1" t="s">
        <v>285</v>
      </c>
      <c r="G80" s="1" t="s">
        <v>255</v>
      </c>
      <c r="H80" s="52" t="s">
        <v>772</v>
      </c>
      <c r="I80" s="1" t="s">
        <v>581</v>
      </c>
      <c r="J80" s="55">
        <v>2.8652000000000002</v>
      </c>
      <c r="K80" s="1">
        <v>0.875</v>
      </c>
      <c r="L80" s="18">
        <f>K80/J80</f>
        <v>0.30538880357392151</v>
      </c>
      <c r="M80" s="1">
        <v>0.75</v>
      </c>
      <c r="N80" s="1">
        <v>1.7749999999999999</v>
      </c>
      <c r="O80" s="1">
        <v>1.8</v>
      </c>
      <c r="P80" s="1" t="s">
        <v>363</v>
      </c>
      <c r="Q80" s="1" t="str">
        <f>IF(L80&gt;=0.67, "F-0", IF(L80&gt;=0.544, "F-1", IF(L80&gt;=0.5, "F-2+", "F-2+")))</f>
        <v>F-2+</v>
      </c>
    </row>
    <row r="81" spans="1:17" x14ac:dyDescent="0.3">
      <c r="A81" s="1" t="s">
        <v>443</v>
      </c>
      <c r="B81" s="1">
        <v>30.631959999999999</v>
      </c>
      <c r="C81" s="1">
        <v>-86.774979999999999</v>
      </c>
      <c r="D81" s="17" t="str">
        <f>IF(C81&gt;-85, "East", "West")</f>
        <v>West</v>
      </c>
      <c r="E81" s="16">
        <v>44998</v>
      </c>
      <c r="F81" s="1" t="s">
        <v>261</v>
      </c>
      <c r="G81" s="1" t="s">
        <v>255</v>
      </c>
      <c r="H81" s="52" t="s">
        <v>489</v>
      </c>
      <c r="I81" s="1" t="s">
        <v>638</v>
      </c>
      <c r="J81" s="55">
        <v>2.875</v>
      </c>
      <c r="K81" s="1">
        <v>1.0249999999999999</v>
      </c>
      <c r="L81" s="18">
        <f>K81/J81</f>
        <v>0.35652173913043478</v>
      </c>
      <c r="M81" s="1">
        <v>0.67500000000000004</v>
      </c>
      <c r="N81" s="1">
        <v>1.825</v>
      </c>
      <c r="O81" s="1">
        <v>1.575</v>
      </c>
      <c r="P81" s="1" t="s">
        <v>363</v>
      </c>
      <c r="Q81" s="1" t="str">
        <f>IF(L81&gt;=0.67, "F-0", IF(L81&gt;=0.544, "F-1", IF(L81&gt;=0.5, "F-2+", "F-2+")))</f>
        <v>F-2+</v>
      </c>
    </row>
    <row r="82" spans="1:17" x14ac:dyDescent="0.3">
      <c r="A82" s="1" t="s">
        <v>407</v>
      </c>
      <c r="B82" s="1">
        <v>30.671312</v>
      </c>
      <c r="C82" s="1">
        <v>-86.661395400000004</v>
      </c>
      <c r="D82" s="17" t="str">
        <f>IF(C82&gt;-85, "East", "West")</f>
        <v>West</v>
      </c>
      <c r="E82" s="16">
        <v>44544</v>
      </c>
      <c r="F82" s="1" t="s">
        <v>261</v>
      </c>
      <c r="G82" s="1" t="s">
        <v>255</v>
      </c>
      <c r="H82" s="52" t="s">
        <v>489</v>
      </c>
      <c r="I82" s="1" t="s">
        <v>562</v>
      </c>
      <c r="J82" s="55">
        <v>2.88</v>
      </c>
      <c r="K82" s="1">
        <v>1.014</v>
      </c>
      <c r="L82" s="18">
        <f>K82/J82</f>
        <v>0.35208333333333336</v>
      </c>
      <c r="M82" s="1">
        <v>0.74099999999999999</v>
      </c>
      <c r="N82" s="1">
        <v>2</v>
      </c>
      <c r="O82" s="1">
        <v>1.7</v>
      </c>
      <c r="P82" s="1" t="s">
        <v>363</v>
      </c>
      <c r="Q82" s="1" t="str">
        <f>IF(L82&gt;=0.67, "F-0", IF(L82&gt;=0.544, "F-1", IF(L82&gt;=0.5, "F-2+", "F-2+")))</f>
        <v>F-2+</v>
      </c>
    </row>
    <row r="83" spans="1:17" x14ac:dyDescent="0.3">
      <c r="A83" s="1" t="s">
        <v>427</v>
      </c>
      <c r="B83" s="1">
        <v>30.718029999999999</v>
      </c>
      <c r="C83" s="1">
        <v>-86.315039999999996</v>
      </c>
      <c r="D83" s="17" t="str">
        <f>IF(C83&gt;-85, "East", "West")</f>
        <v>West</v>
      </c>
      <c r="E83" s="16">
        <v>44628</v>
      </c>
      <c r="F83" s="1" t="s">
        <v>254</v>
      </c>
      <c r="G83" s="1" t="s">
        <v>255</v>
      </c>
      <c r="H83" s="52" t="s">
        <v>527</v>
      </c>
      <c r="I83" s="1" t="s">
        <v>604</v>
      </c>
      <c r="J83" s="55">
        <v>2.9028999999999998</v>
      </c>
      <c r="K83" s="1">
        <v>1.0932999999999999</v>
      </c>
      <c r="L83" s="18">
        <f>K83/J83</f>
        <v>0.37662337662337664</v>
      </c>
      <c r="M83" s="1">
        <v>0.67500000000000004</v>
      </c>
      <c r="N83" s="1">
        <v>1.9981</v>
      </c>
      <c r="O83" s="1">
        <v>2.0735000000000001</v>
      </c>
      <c r="P83" s="1" t="s">
        <v>363</v>
      </c>
      <c r="Q83" s="1" t="str">
        <f>IF(L83&gt;=0.67, "F-0", IF(L83&gt;=0.544, "F-1", IF(L83&gt;=0.5, "F-2+", "F-2+")))</f>
        <v>F-2+</v>
      </c>
    </row>
    <row r="84" spans="1:17" x14ac:dyDescent="0.3">
      <c r="A84" s="1" t="s">
        <v>418</v>
      </c>
      <c r="B84" s="1">
        <v>30.610005999999998</v>
      </c>
      <c r="C84" s="1">
        <v>-86.426220000000001</v>
      </c>
      <c r="D84" s="17" t="str">
        <f>IF(C84&gt;-85, "East", "West")</f>
        <v>West</v>
      </c>
      <c r="E84" s="16">
        <v>44543</v>
      </c>
      <c r="F84" s="1" t="s">
        <v>261</v>
      </c>
      <c r="G84" s="1" t="s">
        <v>255</v>
      </c>
      <c r="H84" s="52" t="s">
        <v>516</v>
      </c>
      <c r="I84" s="1" t="s">
        <v>560</v>
      </c>
      <c r="J84" s="55">
        <f>6.1*0.4762</f>
        <v>2.90482</v>
      </c>
      <c r="K84" s="1">
        <f>2.4*0.4762</f>
        <v>1.1428799999999999</v>
      </c>
      <c r="L84" s="18">
        <f>K84/J84</f>
        <v>0.39344262295081966</v>
      </c>
      <c r="M84" s="1">
        <f>3*0.25</f>
        <v>0.75</v>
      </c>
      <c r="N84" s="1">
        <f>7*0.25</f>
        <v>1.75</v>
      </c>
      <c r="O84" s="1">
        <f>(10.5-4)*0.25</f>
        <v>1.625</v>
      </c>
      <c r="P84" s="1" t="s">
        <v>363</v>
      </c>
      <c r="Q84" s="1" t="str">
        <f>IF(L84&gt;=0.67, "F-0", IF(L84&gt;=0.544, "F-1", IF(L84&gt;=0.5, "F-2+", "F-2+")))</f>
        <v>F-2+</v>
      </c>
    </row>
    <row r="85" spans="1:17" x14ac:dyDescent="0.3">
      <c r="A85" s="1" t="s">
        <v>404</v>
      </c>
      <c r="B85" s="1">
        <v>30.671312</v>
      </c>
      <c r="C85" s="1">
        <v>-86.661395400000004</v>
      </c>
      <c r="D85" s="17" t="str">
        <f>IF(C85&gt;-85, "East", "West")</f>
        <v>West</v>
      </c>
      <c r="E85" s="16">
        <v>44634</v>
      </c>
      <c r="F85" s="1" t="s">
        <v>261</v>
      </c>
      <c r="G85" s="1" t="s">
        <v>255</v>
      </c>
      <c r="H85" s="52" t="s">
        <v>490</v>
      </c>
      <c r="I85" s="1" t="s">
        <v>570</v>
      </c>
      <c r="J85" s="55">
        <f>3.1*0.96</f>
        <v>2.976</v>
      </c>
      <c r="K85" s="1">
        <f>4.2*0.25</f>
        <v>1.05</v>
      </c>
      <c r="L85" s="18">
        <f>K85/J85</f>
        <v>0.35282258064516131</v>
      </c>
      <c r="M85" s="1">
        <f>1.7*0.39</f>
        <v>0.66300000000000003</v>
      </c>
      <c r="N85" s="1">
        <f>4*0.5</f>
        <v>2</v>
      </c>
      <c r="O85" s="1">
        <f>4.1*0.5</f>
        <v>2.0499999999999998</v>
      </c>
      <c r="P85" s="1" t="s">
        <v>363</v>
      </c>
      <c r="Q85" s="1" t="str">
        <f>IF(L85&gt;=0.67, "F-0", IF(L85&gt;=0.544, "F-1", IF(L85&gt;=0.5, "F-2+", "F-2+")))</f>
        <v>F-2+</v>
      </c>
    </row>
    <row r="86" spans="1:17" x14ac:dyDescent="0.3">
      <c r="A86" s="1" t="s">
        <v>401</v>
      </c>
      <c r="B86" s="1">
        <v>30.585356000000001</v>
      </c>
      <c r="C86" s="1">
        <v>-86.403834000000003</v>
      </c>
      <c r="D86" s="17" t="str">
        <f>IF(C86&gt;-85, "East", "West")</f>
        <v>West</v>
      </c>
      <c r="E86" s="16">
        <v>44634</v>
      </c>
      <c r="F86" s="1" t="s">
        <v>261</v>
      </c>
      <c r="G86" s="1" t="s">
        <v>255</v>
      </c>
      <c r="H86" s="52" t="s">
        <v>582</v>
      </c>
      <c r="I86" s="1" t="s">
        <v>571</v>
      </c>
      <c r="J86" s="55">
        <f>3.1*0.96</f>
        <v>2.976</v>
      </c>
      <c r="K86" s="1">
        <f>3.6*0.3</f>
        <v>1.08</v>
      </c>
      <c r="L86" s="18">
        <f>K86/J86</f>
        <v>0.36290322580645162</v>
      </c>
      <c r="M86" s="1">
        <f>2.5*0.3</f>
        <v>0.75</v>
      </c>
      <c r="N86" s="1">
        <f>4*0.5</f>
        <v>2</v>
      </c>
      <c r="O86" s="1">
        <f>4.2*0.5</f>
        <v>2.1</v>
      </c>
      <c r="P86" s="1" t="s">
        <v>363</v>
      </c>
      <c r="Q86" s="1" t="str">
        <f>IF(L86&gt;=0.67, "F-0", IF(L86&gt;=0.544, "F-1", IF(L86&gt;=0.5, "F-2+", "F-2+")))</f>
        <v>F-2+</v>
      </c>
    </row>
    <row r="87" spans="1:17" x14ac:dyDescent="0.3">
      <c r="A87" s="1" t="s">
        <v>402</v>
      </c>
      <c r="B87" s="1">
        <v>30.585356000000001</v>
      </c>
      <c r="C87" s="1">
        <v>-86.403834000000003</v>
      </c>
      <c r="D87" s="17" t="str">
        <f>IF(C87&gt;-85, "East", "West")</f>
        <v>West</v>
      </c>
      <c r="E87" s="16">
        <v>44634</v>
      </c>
      <c r="F87" s="1" t="s">
        <v>261</v>
      </c>
      <c r="G87" s="1" t="s">
        <v>255</v>
      </c>
      <c r="H87" s="52" t="s">
        <v>582</v>
      </c>
      <c r="I87" s="1" t="s">
        <v>571</v>
      </c>
      <c r="J87" s="55">
        <f>3.1*0.96</f>
        <v>2.976</v>
      </c>
      <c r="K87" s="1">
        <f>3.6*0.3</f>
        <v>1.08</v>
      </c>
      <c r="L87" s="18">
        <f>K87/J87</f>
        <v>0.36290322580645162</v>
      </c>
      <c r="M87" s="1">
        <f>2.3*0.3</f>
        <v>0.69</v>
      </c>
      <c r="N87" s="1">
        <f>4.2*0.5</f>
        <v>2.1</v>
      </c>
      <c r="O87" s="1">
        <f>4.2*0.5</f>
        <v>2.1</v>
      </c>
      <c r="P87" s="1" t="s">
        <v>363</v>
      </c>
      <c r="Q87" s="1" t="str">
        <f>IF(L87&gt;=0.67, "F-0", IF(L87&gt;=0.544, "F-1", IF(L87&gt;=0.5, "F-2+", "F-2+")))</f>
        <v>F-2+</v>
      </c>
    </row>
    <row r="88" spans="1:17" x14ac:dyDescent="0.3">
      <c r="A88" s="1" t="s">
        <v>428</v>
      </c>
      <c r="B88" s="1">
        <v>30.708539999999999</v>
      </c>
      <c r="C88" s="1">
        <v>-86.344539999999995</v>
      </c>
      <c r="D88" s="17" t="str">
        <f>IF(C88&gt;-85, "East", "West")</f>
        <v>West</v>
      </c>
      <c r="E88" s="16">
        <v>44628</v>
      </c>
      <c r="F88" s="1" t="s">
        <v>254</v>
      </c>
      <c r="G88" s="1" t="s">
        <v>255</v>
      </c>
      <c r="H88" s="52" t="s">
        <v>531</v>
      </c>
      <c r="I88" s="1" t="s">
        <v>606</v>
      </c>
      <c r="J88" s="55">
        <v>2.9782999999999999</v>
      </c>
      <c r="K88" s="1">
        <v>0.82940000000000003</v>
      </c>
      <c r="L88" s="18">
        <f>K88/J88</f>
        <v>0.27848101265822789</v>
      </c>
      <c r="M88" s="1">
        <v>0.7</v>
      </c>
      <c r="N88" s="1">
        <v>2.04</v>
      </c>
      <c r="O88" s="1">
        <v>2.16</v>
      </c>
      <c r="P88" s="1" t="s">
        <v>363</v>
      </c>
      <c r="Q88" s="1" t="str">
        <f>IF(L88&gt;=0.67, "F-0", IF(L88&gt;=0.544, "F-1", IF(L88&gt;=0.5, "F-2+", "F-2+")))</f>
        <v>F-2+</v>
      </c>
    </row>
    <row r="89" spans="1:17" x14ac:dyDescent="0.3">
      <c r="A89" s="1" t="s">
        <v>406</v>
      </c>
      <c r="B89" s="1">
        <v>30.671312</v>
      </c>
      <c r="C89" s="1">
        <v>-86.661395400000004</v>
      </c>
      <c r="D89" s="17" t="str">
        <f>IF(C89&gt;-85, "East", "West")</f>
        <v>West</v>
      </c>
      <c r="E89" s="16">
        <v>44544</v>
      </c>
      <c r="F89" s="1" t="s">
        <v>261</v>
      </c>
      <c r="G89" s="1" t="s">
        <v>255</v>
      </c>
      <c r="H89" s="52" t="s">
        <v>489</v>
      </c>
      <c r="I89" s="1" t="s">
        <v>562</v>
      </c>
      <c r="J89" s="55">
        <v>3</v>
      </c>
      <c r="K89" s="1">
        <v>1.0529999999999999</v>
      </c>
      <c r="L89" s="18">
        <f>K89/J89</f>
        <v>0.35099999999999998</v>
      </c>
      <c r="M89" s="1">
        <v>0.81</v>
      </c>
      <c r="N89" s="1">
        <v>1.89</v>
      </c>
      <c r="O89" s="1">
        <v>1.95</v>
      </c>
      <c r="P89" s="1" t="s">
        <v>363</v>
      </c>
      <c r="Q89" s="1" t="str">
        <f>IF(L89&gt;=0.67, "F-0", IF(L89&gt;=0.544, "F-1", IF(L89&gt;=0.5, "F-2+", "F-2+")))</f>
        <v>F-2+</v>
      </c>
    </row>
    <row r="90" spans="1:17" x14ac:dyDescent="0.3">
      <c r="A90" s="1" t="s">
        <v>419</v>
      </c>
      <c r="B90" s="1">
        <v>30.610005999999998</v>
      </c>
      <c r="C90" s="1">
        <v>-86.426220000000001</v>
      </c>
      <c r="D90" s="17" t="str">
        <f>IF(C90&gt;-85, "East", "West")</f>
        <v>West</v>
      </c>
      <c r="E90" s="16">
        <v>44543</v>
      </c>
      <c r="F90" s="1" t="s">
        <v>261</v>
      </c>
      <c r="G90" s="1" t="s">
        <v>255</v>
      </c>
      <c r="H90" s="52" t="s">
        <v>516</v>
      </c>
      <c r="I90" s="1" t="s">
        <v>560</v>
      </c>
      <c r="J90" s="55">
        <f>6.3*0.4762</f>
        <v>3.0000599999999999</v>
      </c>
      <c r="K90" s="1">
        <f>3.9*0.25</f>
        <v>0.97499999999999998</v>
      </c>
      <c r="L90" s="18">
        <f>K90/J90</f>
        <v>0.32499350012999739</v>
      </c>
      <c r="M90" s="1">
        <f>3*0.25</f>
        <v>0.75</v>
      </c>
      <c r="N90" s="1">
        <f>5.4*0.377</f>
        <v>2.0358000000000001</v>
      </c>
      <c r="O90" s="1">
        <f>4.8*0.377</f>
        <v>1.8095999999999999</v>
      </c>
      <c r="P90" s="1" t="s">
        <v>363</v>
      </c>
      <c r="Q90" s="1" t="str">
        <f>IF(L90&gt;=0.67, "F-0", IF(L90&gt;=0.544, "F-1", IF(L90&gt;=0.5, "F-2+", "F-2+")))</f>
        <v>F-2+</v>
      </c>
    </row>
    <row r="91" spans="1:17" x14ac:dyDescent="0.3">
      <c r="A91" s="1" t="s">
        <v>417</v>
      </c>
      <c r="B91" s="1">
        <v>30.725318999999999</v>
      </c>
      <c r="C91" s="1">
        <v>-86.794539</v>
      </c>
      <c r="D91" s="17" t="str">
        <f>IF(C91&gt;-85, "East", "West")</f>
        <v>West</v>
      </c>
      <c r="E91" s="16">
        <v>44545</v>
      </c>
      <c r="F91" s="1" t="s">
        <v>261</v>
      </c>
      <c r="G91" s="1" t="s">
        <v>255</v>
      </c>
      <c r="H91" s="52" t="s">
        <v>346</v>
      </c>
      <c r="I91" s="1" t="s">
        <v>556</v>
      </c>
      <c r="J91" s="55">
        <f>6.4*0.4762</f>
        <v>3.0476800000000002</v>
      </c>
      <c r="K91" s="1">
        <f>2.4*0.4762</f>
        <v>1.1428799999999999</v>
      </c>
      <c r="L91" s="18">
        <f>K91/J91</f>
        <v>0.37499999999999994</v>
      </c>
      <c r="M91" s="1">
        <f>3*0.25</f>
        <v>0.75</v>
      </c>
      <c r="N91" s="1">
        <f>7.7*0.25</f>
        <v>1.925</v>
      </c>
      <c r="O91" s="1">
        <f>8*0.25</f>
        <v>2</v>
      </c>
      <c r="P91" s="1" t="s">
        <v>363</v>
      </c>
      <c r="Q91" s="1" t="str">
        <f>IF(L91&gt;=0.67, "F-0", IF(L91&gt;=0.544, "F-1", IF(L91&gt;=0.5, "F-2+", "F-2+")))</f>
        <v>F-2+</v>
      </c>
    </row>
    <row r="92" spans="1:17" x14ac:dyDescent="0.3">
      <c r="A92" s="1" t="s">
        <v>403</v>
      </c>
      <c r="B92" s="1">
        <v>30.671312</v>
      </c>
      <c r="C92" s="1">
        <v>-86.661395400000004</v>
      </c>
      <c r="D92" s="17" t="str">
        <f>IF(C92&gt;-85, "East", "West")</f>
        <v>West</v>
      </c>
      <c r="E92" s="16">
        <v>44634</v>
      </c>
      <c r="F92" s="1" t="s">
        <v>261</v>
      </c>
      <c r="G92" s="1" t="s">
        <v>255</v>
      </c>
      <c r="H92" s="52" t="s">
        <v>490</v>
      </c>
      <c r="I92" s="1" t="s">
        <v>570</v>
      </c>
      <c r="J92" s="55">
        <f>3.2*0.96</f>
        <v>3.0720000000000001</v>
      </c>
      <c r="K92" s="1">
        <f>4.7*0.25</f>
        <v>1.175</v>
      </c>
      <c r="L92" s="18">
        <f>K92/J92</f>
        <v>0.38248697916666669</v>
      </c>
      <c r="M92" s="1">
        <f>1.7*0.39</f>
        <v>0.66300000000000003</v>
      </c>
      <c r="N92" s="1">
        <f>4.2*0.5</f>
        <v>2.1</v>
      </c>
      <c r="O92" s="1">
        <f>4.4*0.5</f>
        <v>2.2000000000000002</v>
      </c>
      <c r="P92" s="1" t="s">
        <v>363</v>
      </c>
      <c r="Q92" s="1" t="str">
        <f>IF(L92&gt;=0.67, "F-0", IF(L92&gt;=0.544, "F-1", IF(L92&gt;=0.5, "F-2+", "F-2+")))</f>
        <v>F-2+</v>
      </c>
    </row>
    <row r="93" spans="1:17" x14ac:dyDescent="0.3">
      <c r="A93" s="1" t="s">
        <v>247</v>
      </c>
      <c r="B93" s="1">
        <v>30.544599999999999</v>
      </c>
      <c r="C93" s="1">
        <v>-86.413709999999995</v>
      </c>
      <c r="D93" s="17" t="str">
        <f>IF(C93&gt;-85, "East", "West")</f>
        <v>West</v>
      </c>
      <c r="E93" s="16">
        <v>44543</v>
      </c>
      <c r="F93" s="1" t="s">
        <v>261</v>
      </c>
      <c r="G93" s="1" t="s">
        <v>255</v>
      </c>
      <c r="H93" s="52" t="s">
        <v>350</v>
      </c>
      <c r="I93" s="1" t="s">
        <v>558</v>
      </c>
      <c r="J93" s="55">
        <v>3.0720000000000001</v>
      </c>
      <c r="K93" s="1">
        <v>1.2</v>
      </c>
      <c r="L93" s="18">
        <f>K93/J93</f>
        <v>0.390625</v>
      </c>
      <c r="M93" s="1">
        <v>0.81</v>
      </c>
      <c r="N93" s="1">
        <v>2.2080000000000002</v>
      </c>
      <c r="O93" s="1">
        <v>2.2080000000000002</v>
      </c>
      <c r="P93" s="1" t="s">
        <v>363</v>
      </c>
      <c r="Q93" s="1" t="str">
        <f>IF(L93&gt;=0.67, "F-0", IF(L93&gt;=0.544, "F-1", IF(L93&gt;=0.5, "F-2+", "F-2+")))</f>
        <v>F-2+</v>
      </c>
    </row>
    <row r="94" spans="1:17" s="86" customFormat="1" x14ac:dyDescent="0.3">
      <c r="A94" s="1" t="s">
        <v>246</v>
      </c>
      <c r="B94" s="1">
        <v>30.544599999999999</v>
      </c>
      <c r="C94" s="1">
        <v>-86.413709999999995</v>
      </c>
      <c r="D94" s="17" t="str">
        <f>IF(C94&gt;-85, "East", "West")</f>
        <v>West</v>
      </c>
      <c r="E94" s="16">
        <v>44543</v>
      </c>
      <c r="F94" s="1" t="s">
        <v>261</v>
      </c>
      <c r="G94" s="1" t="s">
        <v>255</v>
      </c>
      <c r="H94" s="52" t="s">
        <v>350</v>
      </c>
      <c r="I94" s="1" t="s">
        <v>558</v>
      </c>
      <c r="J94" s="55">
        <v>3.1190000000000002</v>
      </c>
      <c r="K94" s="1">
        <v>1.2</v>
      </c>
      <c r="L94" s="18">
        <f>K94/J94</f>
        <v>0.38473869830073737</v>
      </c>
      <c r="M94" s="1">
        <v>0.72</v>
      </c>
      <c r="N94" s="1">
        <v>2.016</v>
      </c>
      <c r="O94" s="1">
        <v>2.016</v>
      </c>
      <c r="P94" s="1" t="s">
        <v>363</v>
      </c>
      <c r="Q94" s="1" t="str">
        <f>IF(L94&gt;=0.67, "F-0", IF(L94&gt;=0.544, "F-1", IF(L94&gt;=0.5, "F-2+", "F-2+")))</f>
        <v>F-2+</v>
      </c>
    </row>
    <row r="95" spans="1:17" x14ac:dyDescent="0.3">
      <c r="A95" s="1" t="s">
        <v>397</v>
      </c>
      <c r="B95" s="22">
        <v>30.631959999999999</v>
      </c>
      <c r="C95" s="22">
        <v>-86.774979999999999</v>
      </c>
      <c r="D95" s="17" t="str">
        <f>IF(C95&gt;-85, "East", "West")</f>
        <v>West</v>
      </c>
      <c r="E95" s="16">
        <v>44634</v>
      </c>
      <c r="F95" s="1" t="s">
        <v>261</v>
      </c>
      <c r="G95" s="1" t="s">
        <v>255</v>
      </c>
      <c r="H95" s="52" t="s">
        <v>489</v>
      </c>
      <c r="I95" s="1" t="s">
        <v>568</v>
      </c>
      <c r="J95" s="55">
        <v>3.2639999999999998</v>
      </c>
      <c r="K95" s="1">
        <v>1.056</v>
      </c>
      <c r="L95" s="18">
        <f>K95/J95</f>
        <v>0.3235294117647059</v>
      </c>
      <c r="M95" s="1">
        <v>0.75</v>
      </c>
      <c r="N95" s="1">
        <v>2.02</v>
      </c>
      <c r="O95" s="1">
        <v>2.02</v>
      </c>
      <c r="P95" s="1" t="s">
        <v>363</v>
      </c>
      <c r="Q95" s="1" t="str">
        <f>IF(L95&gt;=0.67, "F-0", IF(L95&gt;=0.544, "F-1", IF(L95&gt;=0.5, "F-2+", "F-2+")))</f>
        <v>F-2+</v>
      </c>
    </row>
    <row r="96" spans="1:17" x14ac:dyDescent="0.3">
      <c r="A96" s="1" t="s">
        <v>461</v>
      </c>
      <c r="B96" s="1"/>
      <c r="C96" s="1"/>
      <c r="D96" s="17" t="str">
        <f>IF(C96&gt;-85, "East", "West")</f>
        <v>East</v>
      </c>
      <c r="E96" s="1"/>
      <c r="F96" s="1"/>
      <c r="G96" s="1"/>
      <c r="H96" s="52"/>
      <c r="J96" s="55"/>
      <c r="K96" s="1"/>
      <c r="L96" s="18" t="e">
        <f>K96/J96</f>
        <v>#DIV/0!</v>
      </c>
      <c r="M96" s="1"/>
      <c r="N96" s="1"/>
      <c r="O96" s="1"/>
      <c r="P96" s="1"/>
      <c r="Q96" s="1" t="e">
        <f>IF(L96&gt;=0.67, "F-0", IF(L96&gt;=0.544, "F-1", IF(L96&gt;=0.5, "F-2+", "F-2+")))</f>
        <v>#DIV/0!</v>
      </c>
    </row>
    <row r="97" spans="1:17" x14ac:dyDescent="0.3">
      <c r="A97" s="1" t="s">
        <v>462</v>
      </c>
      <c r="B97" s="1"/>
      <c r="C97" s="1"/>
      <c r="D97" s="17" t="str">
        <f>IF(C97&gt;-85, "East", "West")</f>
        <v>East</v>
      </c>
      <c r="E97" s="1"/>
      <c r="F97" s="1"/>
      <c r="G97" s="1"/>
      <c r="H97" s="52"/>
      <c r="J97" s="55"/>
      <c r="K97" s="1"/>
      <c r="L97" s="18" t="e">
        <f>K97/J97</f>
        <v>#DIV/0!</v>
      </c>
      <c r="M97" s="1"/>
      <c r="N97" s="1"/>
      <c r="O97" s="1"/>
      <c r="P97" s="1"/>
      <c r="Q97" s="1" t="e">
        <f>IF(L97&gt;=0.67, "F-0", IF(L97&gt;=0.544, "F-1", IF(L97&gt;=0.5, "F-2+", "F-2+")))</f>
        <v>#DIV/0!</v>
      </c>
    </row>
    <row r="98" spans="1:17" x14ac:dyDescent="0.3">
      <c r="A98" s="1" t="s">
        <v>463</v>
      </c>
      <c r="B98" s="1"/>
      <c r="C98" s="1"/>
      <c r="D98" s="17" t="str">
        <f>IF(C98&gt;-85, "East", "West")</f>
        <v>East</v>
      </c>
      <c r="E98" s="1"/>
      <c r="F98" s="1"/>
      <c r="G98" s="1"/>
      <c r="H98" s="52"/>
      <c r="J98" s="55"/>
      <c r="K98" s="1"/>
      <c r="L98" s="18" t="e">
        <f>K98/J98</f>
        <v>#DIV/0!</v>
      </c>
      <c r="M98" s="1"/>
      <c r="N98" s="1"/>
      <c r="O98" s="1"/>
      <c r="P98" s="1"/>
      <c r="Q98" s="1" t="e">
        <f>IF(L98&gt;=0.67, "F-0", IF(L98&gt;=0.544, "F-1", IF(L98&gt;=0.5, "F-2+", "F-2+")))</f>
        <v>#DIV/0!</v>
      </c>
    </row>
    <row r="99" spans="1:17" x14ac:dyDescent="0.3">
      <c r="A99" s="1" t="s">
        <v>464</v>
      </c>
      <c r="B99" s="1"/>
      <c r="C99" s="1"/>
      <c r="D99" s="17" t="str">
        <f>IF(C99&gt;-85, "East", "West")</f>
        <v>East</v>
      </c>
      <c r="E99" s="1"/>
      <c r="F99" s="1"/>
      <c r="G99" s="1"/>
      <c r="H99" s="52"/>
      <c r="J99" s="55"/>
      <c r="K99" s="1"/>
      <c r="L99" s="18" t="e">
        <f>K99/J99</f>
        <v>#DIV/0!</v>
      </c>
      <c r="M99" s="1"/>
      <c r="N99" s="1"/>
      <c r="O99" s="1"/>
      <c r="P99" s="1"/>
      <c r="Q99" s="1" t="e">
        <f>IF(L99&gt;=0.67, "F-0", IF(L99&gt;=0.544, "F-1", IF(L99&gt;=0.5, "F-2+", "F-2+")))</f>
        <v>#DIV/0!</v>
      </c>
    </row>
    <row r="100" spans="1:17" x14ac:dyDescent="0.3">
      <c r="A100" s="1" t="s">
        <v>465</v>
      </c>
      <c r="B100" s="1"/>
      <c r="C100" s="1"/>
      <c r="D100" s="17" t="str">
        <f>IF(C100&gt;-85, "East", "West")</f>
        <v>East</v>
      </c>
      <c r="E100" s="1"/>
      <c r="F100" s="1"/>
      <c r="G100" s="1"/>
      <c r="H100" s="52"/>
      <c r="J100" s="55"/>
      <c r="K100" s="1"/>
      <c r="L100" s="18" t="e">
        <f>K100/J100</f>
        <v>#DIV/0!</v>
      </c>
      <c r="M100" s="1"/>
      <c r="N100" s="1"/>
      <c r="O100" s="1"/>
      <c r="P100" s="1"/>
      <c r="Q100" s="1" t="e">
        <f>IF(L100&gt;=0.67, "F-0", IF(L100&gt;=0.544, "F-1", IF(L100&gt;=0.5, "F-2+", "F-2+")))</f>
        <v>#DIV/0!</v>
      </c>
    </row>
    <row r="101" spans="1:17" x14ac:dyDescent="0.3">
      <c r="A101" s="1" t="s">
        <v>466</v>
      </c>
      <c r="B101" s="1"/>
      <c r="C101" s="1"/>
      <c r="D101" s="17" t="str">
        <f>IF(C101&gt;-85, "East", "West")</f>
        <v>East</v>
      </c>
      <c r="E101" s="1"/>
      <c r="F101" s="1"/>
      <c r="G101" s="1"/>
      <c r="H101" s="52"/>
      <c r="J101" s="55"/>
      <c r="K101" s="1"/>
      <c r="L101" s="18" t="e">
        <f>K101/J101</f>
        <v>#DIV/0!</v>
      </c>
      <c r="M101" s="1"/>
      <c r="N101" s="1"/>
      <c r="O101" s="1"/>
      <c r="P101" s="1"/>
      <c r="Q101" s="1" t="e">
        <f>IF(L101&gt;=0.67, "F-0", IF(L101&gt;=0.544, "F-1", IF(L101&gt;=0.5, "F-2+", "F-2+")))</f>
        <v>#DIV/0!</v>
      </c>
    </row>
    <row r="102" spans="1:17" x14ac:dyDescent="0.3">
      <c r="A102" s="1" t="s">
        <v>467</v>
      </c>
      <c r="B102" s="1"/>
      <c r="C102" s="1"/>
      <c r="D102" s="17" t="str">
        <f>IF(C102&gt;-85, "East", "West")</f>
        <v>East</v>
      </c>
      <c r="E102" s="1"/>
      <c r="F102" s="1"/>
      <c r="G102" s="1"/>
      <c r="H102" s="52"/>
      <c r="J102" s="55"/>
      <c r="K102" s="1"/>
      <c r="L102" s="18" t="e">
        <f>K102/J102</f>
        <v>#DIV/0!</v>
      </c>
      <c r="M102" s="1"/>
      <c r="N102" s="1"/>
      <c r="O102" s="1"/>
      <c r="P102" s="1"/>
      <c r="Q102" s="1" t="e">
        <f>IF(L102&gt;=0.67, "F-0", IF(L102&gt;=0.544, "F-1", IF(L102&gt;=0.5, "F-2+", "F-2+")))</f>
        <v>#DIV/0!</v>
      </c>
    </row>
    <row r="103" spans="1:17" x14ac:dyDescent="0.3">
      <c r="A103" s="1" t="s">
        <v>670</v>
      </c>
      <c r="B103" s="1"/>
      <c r="C103" s="1"/>
      <c r="D103" s="17" t="str">
        <f>IF(C103&gt;-85, "East", "West")</f>
        <v>East</v>
      </c>
      <c r="E103" s="1"/>
      <c r="F103" s="1"/>
      <c r="G103" s="1"/>
      <c r="H103" s="52"/>
      <c r="J103" s="55"/>
      <c r="K103" s="1"/>
      <c r="L103" s="18" t="e">
        <f>K103/J103</f>
        <v>#DIV/0!</v>
      </c>
      <c r="M103" s="1"/>
      <c r="N103" s="1"/>
      <c r="O103" s="1"/>
      <c r="P103" s="1"/>
      <c r="Q103" s="1" t="e">
        <f>IF(L103&gt;=0.67, "F-0", IF(L103&gt;=0.544, "F-1", IF(L103&gt;=0.5, "F-2+", "F-2+")))</f>
        <v>#DIV/0!</v>
      </c>
    </row>
    <row r="104" spans="1:17" x14ac:dyDescent="0.3">
      <c r="A104" s="1" t="s">
        <v>774</v>
      </c>
      <c r="B104" s="1"/>
      <c r="C104" s="1"/>
      <c r="D104" s="17" t="str">
        <f>IF(C104&gt;-85, "East", "West")</f>
        <v>East</v>
      </c>
      <c r="E104" s="1"/>
      <c r="F104" s="1"/>
      <c r="G104" s="1"/>
      <c r="H104" s="52"/>
      <c r="J104" s="55"/>
      <c r="K104" s="1"/>
      <c r="L104" s="18" t="e">
        <f>K104/J104</f>
        <v>#DIV/0!</v>
      </c>
      <c r="M104" s="1"/>
      <c r="N104" s="1"/>
      <c r="O104" s="1"/>
      <c r="P104" s="1"/>
      <c r="Q104" s="1" t="e">
        <f>IF(L104&gt;=0.67, "F-0", IF(L104&gt;=0.544, "F-1", IF(L104&gt;=0.5, "F-2+", "F-2+")))</f>
        <v>#DIV/0!</v>
      </c>
    </row>
    <row r="105" spans="1:17" x14ac:dyDescent="0.3">
      <c r="A105" s="1" t="s">
        <v>775</v>
      </c>
      <c r="B105" s="1"/>
      <c r="C105" s="1"/>
      <c r="D105" s="17" t="str">
        <f>IF(C105&gt;-85, "East", "West")</f>
        <v>East</v>
      </c>
      <c r="E105" s="1"/>
      <c r="F105" s="1"/>
      <c r="G105" s="1"/>
      <c r="H105" s="52"/>
      <c r="J105" s="55"/>
      <c r="K105" s="1"/>
      <c r="L105" s="18" t="e">
        <f>K105/J105</f>
        <v>#DIV/0!</v>
      </c>
      <c r="M105" s="1"/>
      <c r="N105" s="1"/>
      <c r="O105" s="1"/>
      <c r="P105" s="1"/>
      <c r="Q105" s="1" t="e">
        <f>IF(L105&gt;=0.67, "F-0", IF(L105&gt;=0.544, "F-1", IF(L105&gt;=0.5, "F-2+", "F-2+")))</f>
        <v>#DIV/0!</v>
      </c>
    </row>
    <row r="106" spans="1:17" x14ac:dyDescent="0.3">
      <c r="A106" s="1" t="s">
        <v>776</v>
      </c>
      <c r="B106" s="1"/>
      <c r="C106" s="1"/>
      <c r="D106" s="17" t="str">
        <f>IF(C106&gt;-85, "East", "West")</f>
        <v>East</v>
      </c>
      <c r="E106" s="1"/>
      <c r="F106" s="1"/>
      <c r="G106" s="1"/>
      <c r="H106" s="52"/>
      <c r="J106" s="55"/>
      <c r="K106" s="1"/>
      <c r="L106" s="18" t="e">
        <f>K106/J106</f>
        <v>#DIV/0!</v>
      </c>
      <c r="M106" s="1"/>
      <c r="N106" s="1"/>
      <c r="O106" s="1"/>
      <c r="P106" s="1"/>
      <c r="Q106" s="1" t="e">
        <f>IF(L106&gt;=0.67, "F-0", IF(L106&gt;=0.544, "F-1", IF(L106&gt;=0.5, "F-2+", "F-2+")))</f>
        <v>#DIV/0!</v>
      </c>
    </row>
    <row r="107" spans="1:17" x14ac:dyDescent="0.3">
      <c r="A107" s="1" t="s">
        <v>777</v>
      </c>
      <c r="B107" s="1"/>
      <c r="C107" s="1"/>
      <c r="D107" s="17" t="str">
        <f>IF(C107&gt;-85, "East", "West")</f>
        <v>East</v>
      </c>
      <c r="E107" s="1"/>
      <c r="F107" s="1"/>
      <c r="G107" s="1"/>
      <c r="H107" s="52"/>
      <c r="J107" s="55"/>
      <c r="K107" s="1"/>
      <c r="L107" s="18" t="e">
        <f>K107/J107</f>
        <v>#DIV/0!</v>
      </c>
      <c r="M107" s="1"/>
      <c r="N107" s="1"/>
      <c r="O107" s="1"/>
      <c r="P107" s="1"/>
      <c r="Q107" s="1" t="e">
        <f>IF(L107&gt;=0.67, "F-0", IF(L107&gt;=0.544, "F-1", IF(L107&gt;=0.5, "F-2+", "F-2+")))</f>
        <v>#DIV/0!</v>
      </c>
    </row>
    <row r="108" spans="1:17" x14ac:dyDescent="0.3">
      <c r="A108" s="1" t="s">
        <v>778</v>
      </c>
      <c r="B108" s="1"/>
      <c r="C108" s="1"/>
      <c r="D108" s="17" t="str">
        <f>IF(C108&gt;-85, "East", "West")</f>
        <v>East</v>
      </c>
      <c r="E108" s="1"/>
      <c r="F108" s="1"/>
      <c r="G108" s="1"/>
      <c r="H108" s="52"/>
      <c r="J108" s="55"/>
      <c r="K108" s="1"/>
      <c r="L108" s="18" t="e">
        <f>K108/J108</f>
        <v>#DIV/0!</v>
      </c>
      <c r="M108" s="1"/>
      <c r="N108" s="1"/>
      <c r="O108" s="1"/>
      <c r="P108" s="1"/>
      <c r="Q108" s="1" t="e">
        <f>IF(L108&gt;=0.67, "F-0", IF(L108&gt;=0.544, "F-1", IF(L108&gt;=0.5, "F-2+", "F-2+")))</f>
        <v>#DIV/0!</v>
      </c>
    </row>
    <row r="109" spans="1:17" x14ac:dyDescent="0.3">
      <c r="A109" s="1" t="s">
        <v>779</v>
      </c>
      <c r="B109" s="1"/>
      <c r="C109" s="1"/>
      <c r="D109" s="17" t="str">
        <f>IF(C109&gt;-85, "East", "West")</f>
        <v>East</v>
      </c>
      <c r="E109" s="1"/>
      <c r="F109" s="1"/>
      <c r="G109" s="1"/>
      <c r="H109" s="52"/>
      <c r="J109" s="55"/>
      <c r="K109" s="1"/>
      <c r="L109" s="18" t="e">
        <f>K109/J109</f>
        <v>#DIV/0!</v>
      </c>
      <c r="M109" s="1"/>
      <c r="N109" s="1"/>
      <c r="O109" s="1"/>
      <c r="P109" s="1"/>
      <c r="Q109" s="1" t="e">
        <f>IF(L109&gt;=0.67, "F-0", IF(L109&gt;=0.544, "F-1", IF(L109&gt;=0.5, "F-2+", "F-2+")))</f>
        <v>#DIV/0!</v>
      </c>
    </row>
    <row r="110" spans="1:17" x14ac:dyDescent="0.3">
      <c r="A110" s="1" t="s">
        <v>780</v>
      </c>
      <c r="B110" s="1"/>
      <c r="C110" s="1"/>
      <c r="D110" s="17" t="str">
        <f>IF(C110&gt;-85, "East", "West")</f>
        <v>East</v>
      </c>
      <c r="E110" s="1"/>
      <c r="F110" s="1"/>
      <c r="G110" s="1"/>
      <c r="H110" s="52"/>
      <c r="J110" s="55"/>
      <c r="K110" s="1"/>
      <c r="L110" s="18" t="e">
        <f>K110/J110</f>
        <v>#DIV/0!</v>
      </c>
      <c r="M110" s="1"/>
      <c r="N110" s="1"/>
      <c r="O110" s="1"/>
      <c r="P110" s="1"/>
      <c r="Q110" s="1" t="e">
        <f>IF(L110&gt;=0.67, "F-0", IF(L110&gt;=0.544, "F-1", IF(L110&gt;=0.5, "F-2+", "F-2+")))</f>
        <v>#DIV/0!</v>
      </c>
    </row>
    <row r="111" spans="1:17" x14ac:dyDescent="0.3">
      <c r="A111" s="1" t="s">
        <v>781</v>
      </c>
      <c r="B111" s="1"/>
      <c r="C111" s="1"/>
      <c r="D111" s="17" t="str">
        <f>IF(C111&gt;-85, "East", "West")</f>
        <v>East</v>
      </c>
      <c r="E111" s="1"/>
      <c r="F111" s="1"/>
      <c r="G111" s="1"/>
      <c r="H111" s="52"/>
      <c r="J111" s="55"/>
      <c r="K111" s="1"/>
      <c r="L111" s="18" t="e">
        <f>K111/J111</f>
        <v>#DIV/0!</v>
      </c>
      <c r="M111" s="1"/>
      <c r="N111" s="1"/>
      <c r="O111" s="1"/>
      <c r="P111" s="1"/>
      <c r="Q111" s="1" t="e">
        <f>IF(L111&gt;=0.67, "F-0", IF(L111&gt;=0.544, "F-1", IF(L111&gt;=0.5, "F-2+", "F-2+")))</f>
        <v>#DIV/0!</v>
      </c>
    </row>
    <row r="112" spans="1:17" x14ac:dyDescent="0.3">
      <c r="A112" s="1" t="s">
        <v>782</v>
      </c>
      <c r="B112" s="1"/>
      <c r="C112" s="1"/>
      <c r="D112" s="17" t="str">
        <f>IF(C112&gt;-85, "East", "West")</f>
        <v>East</v>
      </c>
      <c r="E112" s="1"/>
      <c r="F112" s="1"/>
      <c r="G112" s="1"/>
      <c r="H112" s="52"/>
      <c r="J112" s="55"/>
      <c r="K112" s="1"/>
      <c r="L112" s="18" t="e">
        <f>K112/J112</f>
        <v>#DIV/0!</v>
      </c>
      <c r="M112" s="1"/>
      <c r="N112" s="1"/>
      <c r="O112" s="1"/>
      <c r="P112" s="1"/>
      <c r="Q112" s="1" t="e">
        <f>IF(L112&gt;=0.67, "F-0", IF(L112&gt;=0.544, "F-1", IF(L112&gt;=0.5, "F-2+", "F-2+")))</f>
        <v>#DIV/0!</v>
      </c>
    </row>
    <row r="113" spans="1:17" x14ac:dyDescent="0.3">
      <c r="A113" s="1" t="s">
        <v>783</v>
      </c>
      <c r="B113" s="1"/>
      <c r="C113" s="1"/>
      <c r="D113" s="17" t="str">
        <f>IF(C113&gt;-85, "East", "West")</f>
        <v>East</v>
      </c>
      <c r="E113" s="1"/>
      <c r="F113" s="1"/>
      <c r="G113" s="1"/>
      <c r="H113" s="52"/>
      <c r="J113" s="55"/>
      <c r="K113" s="1"/>
      <c r="L113" s="18" t="e">
        <f>K113/J113</f>
        <v>#DIV/0!</v>
      </c>
      <c r="M113" s="1"/>
      <c r="N113" s="1"/>
      <c r="O113" s="1"/>
      <c r="P113" s="1"/>
      <c r="Q113" s="1" t="e">
        <f>IF(L113&gt;=0.67, "F-0", IF(L113&gt;=0.544, "F-1", IF(L113&gt;=0.5, "F-2+", "F-2+")))</f>
        <v>#DIV/0!</v>
      </c>
    </row>
    <row r="114" spans="1:17" x14ac:dyDescent="0.3">
      <c r="A114" s="1" t="s">
        <v>784</v>
      </c>
      <c r="B114" s="1"/>
      <c r="C114" s="1"/>
      <c r="D114" s="17" t="str">
        <f>IF(C114&gt;-85, "East", "West")</f>
        <v>East</v>
      </c>
      <c r="E114" s="1"/>
      <c r="F114" s="1"/>
      <c r="G114" s="1"/>
      <c r="H114" s="52"/>
      <c r="J114" s="55"/>
      <c r="K114" s="1"/>
      <c r="L114" s="18" t="e">
        <f>K114/J114</f>
        <v>#DIV/0!</v>
      </c>
      <c r="M114" s="1"/>
      <c r="N114" s="1"/>
      <c r="O114" s="1"/>
      <c r="P114" s="1"/>
      <c r="Q114" s="1" t="e">
        <f>IF(L114&gt;=0.67, "F-0", IF(L114&gt;=0.544, "F-1", IF(L114&gt;=0.5, "F-2+", "F-2+")))</f>
        <v>#DIV/0!</v>
      </c>
    </row>
    <row r="115" spans="1:17" x14ac:dyDescent="0.3">
      <c r="A115" s="1" t="s">
        <v>785</v>
      </c>
      <c r="B115" s="1"/>
      <c r="C115" s="1"/>
      <c r="D115" s="17" t="str">
        <f>IF(C115&gt;-85, "East", "West")</f>
        <v>East</v>
      </c>
      <c r="E115" s="1"/>
      <c r="F115" s="1"/>
      <c r="G115" s="1"/>
      <c r="H115" s="52"/>
      <c r="J115" s="55"/>
      <c r="K115" s="1"/>
      <c r="L115" s="18" t="e">
        <f>K115/J115</f>
        <v>#DIV/0!</v>
      </c>
      <c r="M115" s="1"/>
      <c r="N115" s="1"/>
      <c r="O115" s="1"/>
      <c r="P115" s="1"/>
      <c r="Q115" s="1" t="e">
        <f>IF(L115&gt;=0.67, "F-0", IF(L115&gt;=0.544, "F-1", IF(L115&gt;=0.5, "F-2+", "F-2+")))</f>
        <v>#DIV/0!</v>
      </c>
    </row>
    <row r="116" spans="1:17" x14ac:dyDescent="0.3">
      <c r="A116" s="1" t="s">
        <v>786</v>
      </c>
      <c r="B116" s="1"/>
      <c r="C116" s="1"/>
      <c r="D116" s="17" t="str">
        <f>IF(C116&gt;-85, "East", "West")</f>
        <v>East</v>
      </c>
      <c r="E116" s="1"/>
      <c r="F116" s="1"/>
      <c r="G116" s="1"/>
      <c r="H116" s="52"/>
      <c r="J116" s="55"/>
      <c r="K116" s="1"/>
      <c r="L116" s="18" t="e">
        <f>K116/J116</f>
        <v>#DIV/0!</v>
      </c>
      <c r="M116" s="1"/>
      <c r="N116" s="1"/>
      <c r="O116" s="1"/>
      <c r="P116" s="1"/>
      <c r="Q116" s="1" t="e">
        <f>IF(L116&gt;=0.67, "F-0", IF(L116&gt;=0.544, "F-1", IF(L116&gt;=0.5, "F-2+", "F-2+")))</f>
        <v>#DIV/0!</v>
      </c>
    </row>
    <row r="117" spans="1:17" x14ac:dyDescent="0.3">
      <c r="A117" s="1" t="s">
        <v>787</v>
      </c>
      <c r="B117" s="1"/>
      <c r="C117" s="1"/>
      <c r="D117" s="17" t="str">
        <f>IF(C117&gt;-85, "East", "West")</f>
        <v>East</v>
      </c>
      <c r="E117" s="1"/>
      <c r="F117" s="1"/>
      <c r="G117" s="1"/>
      <c r="H117" s="52"/>
      <c r="J117" s="55"/>
      <c r="K117" s="1"/>
      <c r="L117" s="18" t="e">
        <f>K117/J117</f>
        <v>#DIV/0!</v>
      </c>
      <c r="M117" s="1"/>
      <c r="N117" s="1"/>
      <c r="O117" s="1"/>
      <c r="P117" s="1"/>
      <c r="Q117" s="1" t="e">
        <f>IF(L117&gt;=0.67, "F-0", IF(L117&gt;=0.544, "F-1", IF(L117&gt;=0.5, "F-2+", "F-2+")))</f>
        <v>#DIV/0!</v>
      </c>
    </row>
    <row r="118" spans="1:17" x14ac:dyDescent="0.3">
      <c r="A118" s="1" t="s">
        <v>788</v>
      </c>
      <c r="B118" s="1"/>
      <c r="C118" s="1"/>
      <c r="D118" s="17" t="str">
        <f>IF(C118&gt;-85, "East", "West")</f>
        <v>East</v>
      </c>
      <c r="E118" s="1"/>
      <c r="F118" s="1"/>
      <c r="G118" s="1"/>
      <c r="H118" s="52"/>
      <c r="J118" s="55"/>
      <c r="K118" s="1"/>
      <c r="L118" s="18" t="e">
        <f>K118/J118</f>
        <v>#DIV/0!</v>
      </c>
      <c r="M118" s="1"/>
      <c r="N118" s="1"/>
      <c r="O118" s="1"/>
      <c r="P118" s="1"/>
      <c r="Q118" s="1" t="e">
        <f>IF(L118&gt;=0.67, "F-0", IF(L118&gt;=0.544, "F-1", IF(L118&gt;=0.5, "F-2+", "F-2+")))</f>
        <v>#DIV/0!</v>
      </c>
    </row>
    <row r="119" spans="1:17" x14ac:dyDescent="0.3">
      <c r="A119" s="1" t="s">
        <v>789</v>
      </c>
      <c r="B119" s="1"/>
      <c r="C119" s="1"/>
      <c r="D119" s="17" t="str">
        <f>IF(C119&gt;-85, "East", "West")</f>
        <v>East</v>
      </c>
      <c r="E119" s="1"/>
      <c r="F119" s="1"/>
      <c r="G119" s="1"/>
      <c r="H119" s="52"/>
      <c r="J119" s="55"/>
      <c r="K119" s="1"/>
      <c r="L119" s="18" t="e">
        <f>K119/J119</f>
        <v>#DIV/0!</v>
      </c>
      <c r="M119" s="1"/>
      <c r="N119" s="1"/>
      <c r="O119" s="1"/>
      <c r="P119" s="1"/>
      <c r="Q119" s="1" t="e">
        <f>IF(L119&gt;=0.67, "F-0", IF(L119&gt;=0.544, "F-1", IF(L119&gt;=0.5, "F-2+", "F-2+")))</f>
        <v>#DIV/0!</v>
      </c>
    </row>
    <row r="120" spans="1:17" x14ac:dyDescent="0.3">
      <c r="A120" s="1" t="s">
        <v>790</v>
      </c>
      <c r="B120" s="1"/>
      <c r="C120" s="1"/>
      <c r="D120" s="17" t="str">
        <f>IF(C120&gt;-85, "East", "West")</f>
        <v>East</v>
      </c>
      <c r="E120" s="1"/>
      <c r="F120" s="1"/>
      <c r="G120" s="1"/>
      <c r="H120" s="52"/>
      <c r="J120" s="55"/>
      <c r="K120" s="1"/>
      <c r="L120" s="18" t="e">
        <f>K120/J120</f>
        <v>#DIV/0!</v>
      </c>
      <c r="M120" s="1"/>
      <c r="N120" s="1"/>
      <c r="O120" s="1"/>
      <c r="P120" s="1"/>
      <c r="Q120" s="1" t="e">
        <f>IF(L120&gt;=0.67, "F-0", IF(L120&gt;=0.544, "F-1", IF(L120&gt;=0.5, "F-2+", "F-2+")))</f>
        <v>#DIV/0!</v>
      </c>
    </row>
    <row r="121" spans="1:17" x14ac:dyDescent="0.3">
      <c r="A121" s="1" t="s">
        <v>791</v>
      </c>
      <c r="B121" s="1"/>
      <c r="C121" s="1"/>
      <c r="D121" s="17" t="str">
        <f>IF(C121&gt;-85, "East", "West")</f>
        <v>East</v>
      </c>
      <c r="E121" s="1"/>
      <c r="F121" s="1"/>
      <c r="G121" s="1"/>
      <c r="H121" s="52"/>
      <c r="J121" s="55"/>
      <c r="K121" s="1"/>
      <c r="L121" s="18" t="e">
        <f>K121/J121</f>
        <v>#DIV/0!</v>
      </c>
      <c r="M121" s="1"/>
      <c r="N121" s="1"/>
      <c r="O121" s="1"/>
      <c r="P121" s="1"/>
      <c r="Q121" s="1" t="e">
        <f>IF(L121&gt;=0.67, "F-0", IF(L121&gt;=0.544, "F-1", IF(L121&gt;=0.5, "F-2+", "F-2+")))</f>
        <v>#DIV/0!</v>
      </c>
    </row>
    <row r="122" spans="1:17" x14ac:dyDescent="0.3">
      <c r="A122" s="1" t="s">
        <v>792</v>
      </c>
      <c r="B122" s="1"/>
      <c r="C122" s="1"/>
      <c r="D122" s="17" t="str">
        <f>IF(C122&gt;-85, "East", "West")</f>
        <v>East</v>
      </c>
      <c r="E122" s="1"/>
      <c r="F122" s="1"/>
      <c r="G122" s="1"/>
      <c r="H122" s="52"/>
      <c r="J122" s="55"/>
      <c r="K122" s="1"/>
      <c r="L122" s="18" t="e">
        <f>K122/J122</f>
        <v>#DIV/0!</v>
      </c>
      <c r="M122" s="1"/>
      <c r="N122" s="1"/>
      <c r="O122" s="1"/>
      <c r="P122" s="1"/>
      <c r="Q122" s="1" t="e">
        <f>IF(L122&gt;=0.67, "F-0", IF(L122&gt;=0.544, "F-1", IF(L122&gt;=0.5, "F-2+", "F-2+")))</f>
        <v>#DIV/0!</v>
      </c>
    </row>
    <row r="123" spans="1:17" x14ac:dyDescent="0.3">
      <c r="A123" s="1" t="s">
        <v>793</v>
      </c>
      <c r="B123" s="1"/>
      <c r="C123" s="1"/>
      <c r="D123" s="17" t="str">
        <f>IF(C123&gt;-85, "East", "West")</f>
        <v>East</v>
      </c>
      <c r="E123" s="1"/>
      <c r="F123" s="1"/>
      <c r="G123" s="1"/>
      <c r="H123" s="52"/>
      <c r="J123" s="55"/>
      <c r="K123" s="1"/>
      <c r="L123" s="18" t="e">
        <f>K123/J123</f>
        <v>#DIV/0!</v>
      </c>
      <c r="M123" s="1"/>
      <c r="N123" s="1"/>
      <c r="O123" s="1"/>
      <c r="P123" s="1"/>
      <c r="Q123" s="1" t="e">
        <f>IF(L123&gt;=0.67, "F-0", IF(L123&gt;=0.544, "F-1", IF(L123&gt;=0.5, "F-2+", "F-2+")))</f>
        <v>#DIV/0!</v>
      </c>
    </row>
    <row r="124" spans="1:17" x14ac:dyDescent="0.3">
      <c r="A124" s="1" t="s">
        <v>794</v>
      </c>
      <c r="B124" s="1"/>
      <c r="C124" s="1"/>
      <c r="D124" s="17" t="str">
        <f>IF(C124&gt;-85, "East", "West")</f>
        <v>East</v>
      </c>
      <c r="E124" s="1"/>
      <c r="F124" s="1"/>
      <c r="G124" s="1"/>
      <c r="H124" s="52"/>
      <c r="J124" s="55"/>
      <c r="K124" s="1"/>
      <c r="L124" s="18" t="e">
        <f>K124/J124</f>
        <v>#DIV/0!</v>
      </c>
      <c r="M124" s="1"/>
      <c r="N124" s="1"/>
      <c r="O124" s="1"/>
      <c r="P124" s="1"/>
      <c r="Q124" s="1" t="e">
        <f>IF(L124&gt;=0.67, "F-0", IF(L124&gt;=0.544, "F-1", IF(L124&gt;=0.5, "F-2+", "F-2+")))</f>
        <v>#DIV/0!</v>
      </c>
    </row>
    <row r="125" spans="1:17" x14ac:dyDescent="0.3">
      <c r="A125" s="1" t="s">
        <v>797</v>
      </c>
      <c r="B125" s="1"/>
      <c r="C125" s="1"/>
      <c r="D125" s="17" t="str">
        <f>IF(C125&gt;-85, "East", "West")</f>
        <v>East</v>
      </c>
      <c r="E125" s="1"/>
      <c r="F125" s="1"/>
      <c r="G125" s="1"/>
      <c r="H125" s="52"/>
      <c r="J125" s="55"/>
      <c r="K125" s="1"/>
      <c r="L125" s="18" t="e">
        <f>K125/J125</f>
        <v>#DIV/0!</v>
      </c>
      <c r="M125" s="1"/>
      <c r="N125" s="1"/>
      <c r="O125" s="1"/>
      <c r="P125" s="1"/>
      <c r="Q125" s="1" t="e">
        <f>IF(L125&gt;=0.67, "F-0", IF(L125&gt;=0.544, "F-1", IF(L125&gt;=0.5, "F-2+", "F-2+")))</f>
        <v>#DIV/0!</v>
      </c>
    </row>
  </sheetData>
  <sortState xmlns:xlrd2="http://schemas.microsoft.com/office/spreadsheetml/2017/richdata2" ref="A2:Q125">
    <sortCondition ref="Q2:Q125"/>
    <sortCondition ref="D2:D125"/>
  </sortState>
  <phoneticPr fontId="4" type="noConversion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0F83-CC3A-47B9-9C17-0EFE90B02744}">
  <dimension ref="A1:L280"/>
  <sheetViews>
    <sheetView zoomScale="90" zoomScaleNormal="90" workbookViewId="0">
      <pane ySplit="1" topLeftCell="A165" activePane="bottomLeft" state="frozen"/>
      <selection pane="bottomLeft" activeCell="B177" sqref="B177"/>
    </sheetView>
  </sheetViews>
  <sheetFormatPr defaultRowHeight="14.4" x14ac:dyDescent="0.3"/>
  <cols>
    <col min="1" max="1" width="9.77734375" bestFit="1" customWidth="1"/>
    <col min="2" max="2" width="20.109375" style="7" customWidth="1"/>
    <col min="3" max="3" width="18.77734375" customWidth="1"/>
    <col min="4" max="4" width="15.33203125" style="50" bestFit="1" customWidth="1"/>
    <col min="5" max="5" width="16.88671875" style="6" customWidth="1"/>
    <col min="6" max="6" width="27.21875" customWidth="1"/>
    <col min="7" max="7" width="6.6640625" style="7" bestFit="1" customWidth="1"/>
    <col min="8" max="8" width="12.88671875" style="7" bestFit="1" customWidth="1"/>
    <col min="9" max="9" width="12.109375" style="7" bestFit="1" customWidth="1"/>
    <col min="10" max="10" width="14.6640625" style="7" customWidth="1"/>
    <col min="11" max="11" width="13.44140625" style="7" customWidth="1"/>
  </cols>
  <sheetData>
    <row r="1" spans="1:11" s="2" customFormat="1" ht="43.2" x14ac:dyDescent="0.3">
      <c r="A1" s="4" t="s">
        <v>535</v>
      </c>
      <c r="B1" s="3" t="s">
        <v>2</v>
      </c>
      <c r="C1" s="3" t="s">
        <v>1</v>
      </c>
      <c r="D1" s="45" t="s">
        <v>3</v>
      </c>
      <c r="E1" s="3" t="s">
        <v>536</v>
      </c>
      <c r="F1" s="3" t="s">
        <v>5</v>
      </c>
      <c r="G1" s="4" t="s">
        <v>17</v>
      </c>
      <c r="H1" s="4" t="s">
        <v>537</v>
      </c>
      <c r="I1" s="4" t="s">
        <v>538</v>
      </c>
      <c r="J1" s="4" t="s">
        <v>539</v>
      </c>
      <c r="K1" s="4" t="s">
        <v>614</v>
      </c>
    </row>
    <row r="2" spans="1:11" ht="14.4" customHeight="1" x14ac:dyDescent="0.3">
      <c r="A2" s="16" t="s">
        <v>189</v>
      </c>
      <c r="B2" s="56">
        <v>30.583428999999999</v>
      </c>
      <c r="C2" s="57">
        <v>-84.880913000000007</v>
      </c>
      <c r="D2" s="46">
        <v>26061</v>
      </c>
      <c r="E2" s="21" t="s">
        <v>72</v>
      </c>
      <c r="F2" s="1" t="s">
        <v>208</v>
      </c>
      <c r="G2" s="23" t="s">
        <v>18</v>
      </c>
      <c r="H2" s="24">
        <v>28.45</v>
      </c>
      <c r="I2" s="24">
        <v>27.94</v>
      </c>
      <c r="J2" s="23">
        <v>44.35</v>
      </c>
      <c r="K2" s="24">
        <v>7.12</v>
      </c>
    </row>
    <row r="3" spans="1:11" x14ac:dyDescent="0.3">
      <c r="A3" s="16" t="s">
        <v>62</v>
      </c>
      <c r="B3" s="56">
        <v>30.583428999999999</v>
      </c>
      <c r="C3" s="57">
        <v>-84.880913000000007</v>
      </c>
      <c r="D3" s="46">
        <v>26405</v>
      </c>
      <c r="E3" s="21" t="s">
        <v>72</v>
      </c>
      <c r="F3" s="1" t="s">
        <v>73</v>
      </c>
      <c r="G3" s="23" t="s">
        <v>18</v>
      </c>
      <c r="H3" s="23">
        <v>26.07</v>
      </c>
      <c r="I3" s="24">
        <v>27.38</v>
      </c>
      <c r="J3" s="23">
        <v>43.22</v>
      </c>
      <c r="K3" s="23">
        <v>8.6300000000000008</v>
      </c>
    </row>
    <row r="4" spans="1:11" ht="14.4" customHeight="1" x14ac:dyDescent="0.3">
      <c r="A4" s="16" t="s">
        <v>63</v>
      </c>
      <c r="B4" s="56">
        <v>30.583428999999999</v>
      </c>
      <c r="C4" s="57">
        <v>-84.880913000000007</v>
      </c>
      <c r="D4" s="46">
        <v>26405</v>
      </c>
      <c r="E4" s="21" t="s">
        <v>72</v>
      </c>
      <c r="F4" s="1" t="s">
        <v>73</v>
      </c>
      <c r="G4" s="23" t="s">
        <v>18</v>
      </c>
      <c r="H4" s="23">
        <v>25.02</v>
      </c>
      <c r="I4" s="23">
        <v>27.13</v>
      </c>
      <c r="J4" s="23">
        <v>43.32</v>
      </c>
      <c r="K4" s="23">
        <v>8.24</v>
      </c>
    </row>
    <row r="5" spans="1:11" x14ac:dyDescent="0.3">
      <c r="A5" s="16" t="s">
        <v>40</v>
      </c>
      <c r="B5" s="56">
        <v>30.486170000000001</v>
      </c>
      <c r="C5" s="57">
        <v>-87.246015</v>
      </c>
      <c r="D5" s="46">
        <v>26726</v>
      </c>
      <c r="E5" s="21" t="s">
        <v>46</v>
      </c>
      <c r="F5" s="1" t="s">
        <v>49</v>
      </c>
      <c r="G5" s="23" t="s">
        <v>18</v>
      </c>
      <c r="H5" s="23">
        <v>24</v>
      </c>
      <c r="I5" s="23">
        <v>24.7</v>
      </c>
      <c r="J5" s="23">
        <v>40.15</v>
      </c>
      <c r="K5" s="23">
        <v>6.57</v>
      </c>
    </row>
    <row r="6" spans="1:11" x14ac:dyDescent="0.3">
      <c r="A6" s="16" t="s">
        <v>174</v>
      </c>
      <c r="B6" s="57">
        <v>30.790854</v>
      </c>
      <c r="C6" s="57">
        <v>-86.792668000000006</v>
      </c>
      <c r="D6" s="46">
        <v>26743</v>
      </c>
      <c r="E6" s="21" t="s">
        <v>45</v>
      </c>
      <c r="F6" s="1" t="s">
        <v>187</v>
      </c>
      <c r="G6" s="23" t="s">
        <v>18</v>
      </c>
      <c r="H6" s="23">
        <v>23.37</v>
      </c>
      <c r="I6" s="23">
        <v>24.64</v>
      </c>
      <c r="J6" s="23">
        <v>39.86</v>
      </c>
      <c r="K6" s="23">
        <v>6.69</v>
      </c>
    </row>
    <row r="7" spans="1:11" x14ac:dyDescent="0.3">
      <c r="A7" s="16" t="s">
        <v>67</v>
      </c>
      <c r="B7" s="57">
        <v>30.786565</v>
      </c>
      <c r="C7" s="57">
        <v>-86.797668999999999</v>
      </c>
      <c r="D7" s="46">
        <v>26746</v>
      </c>
      <c r="E7" s="21" t="s">
        <v>45</v>
      </c>
      <c r="F7" s="1" t="s">
        <v>219</v>
      </c>
      <c r="G7" s="23" t="s">
        <v>18</v>
      </c>
      <c r="H7" s="23">
        <v>22.43</v>
      </c>
      <c r="I7" s="23">
        <v>24.71</v>
      </c>
      <c r="J7" s="23">
        <v>39.07</v>
      </c>
      <c r="K7" s="23">
        <v>6.33</v>
      </c>
    </row>
    <row r="8" spans="1:11" x14ac:dyDescent="0.3">
      <c r="A8" s="16" t="s">
        <v>68</v>
      </c>
      <c r="B8" s="57">
        <v>30.790854</v>
      </c>
      <c r="C8" s="57">
        <v>-86.792668000000006</v>
      </c>
      <c r="D8" s="46">
        <v>26761</v>
      </c>
      <c r="E8" s="21" t="s">
        <v>45</v>
      </c>
      <c r="F8" s="1" t="s">
        <v>218</v>
      </c>
      <c r="G8" s="23" t="s">
        <v>18</v>
      </c>
      <c r="H8" s="23">
        <v>22.03</v>
      </c>
      <c r="I8" s="23">
        <v>24.67</v>
      </c>
      <c r="J8" s="23">
        <v>39.19</v>
      </c>
      <c r="K8" s="23">
        <v>7.52</v>
      </c>
    </row>
    <row r="9" spans="1:11" x14ac:dyDescent="0.3">
      <c r="A9" s="16" t="s">
        <v>127</v>
      </c>
      <c r="B9" s="57">
        <v>30.790854</v>
      </c>
      <c r="C9" s="57">
        <v>-86.792668000000006</v>
      </c>
      <c r="D9" s="46">
        <v>26766</v>
      </c>
      <c r="E9" s="21" t="s">
        <v>45</v>
      </c>
      <c r="F9" s="1" t="s">
        <v>146</v>
      </c>
      <c r="G9" s="23" t="s">
        <v>20</v>
      </c>
      <c r="H9" s="23">
        <v>25.04</v>
      </c>
      <c r="I9" s="23">
        <v>27.14</v>
      </c>
      <c r="J9" s="23">
        <v>40.130000000000003</v>
      </c>
      <c r="K9" s="23">
        <v>7.02</v>
      </c>
    </row>
    <row r="10" spans="1:11" x14ac:dyDescent="0.3">
      <c r="A10" s="16" t="s">
        <v>128</v>
      </c>
      <c r="B10" s="57">
        <v>30.790854</v>
      </c>
      <c r="C10" s="57">
        <v>-86.792668000000006</v>
      </c>
      <c r="D10" s="46">
        <v>26766</v>
      </c>
      <c r="E10" s="21" t="s">
        <v>45</v>
      </c>
      <c r="F10" s="1" t="s">
        <v>146</v>
      </c>
      <c r="G10" s="23" t="s">
        <v>20</v>
      </c>
      <c r="H10" s="23">
        <v>23.2</v>
      </c>
      <c r="I10" s="23">
        <v>25.82</v>
      </c>
      <c r="J10" s="23">
        <v>40.520000000000003</v>
      </c>
      <c r="K10" s="23">
        <v>7.91</v>
      </c>
    </row>
    <row r="11" spans="1:11" x14ac:dyDescent="0.3">
      <c r="A11" s="16" t="s">
        <v>66</v>
      </c>
      <c r="B11" s="57">
        <v>30.790854</v>
      </c>
      <c r="C11" s="57">
        <v>-86.792668000000006</v>
      </c>
      <c r="D11" s="46">
        <v>26769</v>
      </c>
      <c r="E11" s="21" t="s">
        <v>45</v>
      </c>
      <c r="F11" s="1" t="s">
        <v>218</v>
      </c>
      <c r="G11" s="23" t="s">
        <v>18</v>
      </c>
      <c r="H11" s="23">
        <v>23.86</v>
      </c>
      <c r="I11" s="23">
        <v>25.69</v>
      </c>
      <c r="J11" s="23">
        <v>37.53</v>
      </c>
      <c r="K11" s="23">
        <v>8.66</v>
      </c>
    </row>
    <row r="12" spans="1:11" x14ac:dyDescent="0.3">
      <c r="A12" s="16" t="s">
        <v>41</v>
      </c>
      <c r="B12" s="57">
        <v>30.680869000000001</v>
      </c>
      <c r="C12" s="57">
        <v>-87.131867999999997</v>
      </c>
      <c r="D12" s="46">
        <v>26800</v>
      </c>
      <c r="E12" s="21" t="s">
        <v>45</v>
      </c>
      <c r="F12" s="1" t="s">
        <v>50</v>
      </c>
      <c r="G12" s="23" t="s">
        <v>18</v>
      </c>
      <c r="H12" s="24">
        <v>23.81</v>
      </c>
      <c r="I12" s="24">
        <v>25.49</v>
      </c>
      <c r="J12" s="23">
        <v>41.85</v>
      </c>
      <c r="K12" s="24">
        <v>6.88</v>
      </c>
    </row>
    <row r="13" spans="1:11" x14ac:dyDescent="0.3">
      <c r="A13" s="16" t="s">
        <v>42</v>
      </c>
      <c r="B13" s="57">
        <v>30.680869000000001</v>
      </c>
      <c r="C13" s="57">
        <v>-87.131867999999997</v>
      </c>
      <c r="D13" s="46">
        <v>26800</v>
      </c>
      <c r="E13" s="21" t="s">
        <v>45</v>
      </c>
      <c r="F13" s="1" t="s">
        <v>50</v>
      </c>
      <c r="G13" s="23" t="s">
        <v>18</v>
      </c>
      <c r="H13" s="24">
        <v>23.79</v>
      </c>
      <c r="I13" s="24">
        <v>25.32</v>
      </c>
      <c r="J13" s="23"/>
      <c r="K13" s="24">
        <v>6.7</v>
      </c>
    </row>
    <row r="14" spans="1:11" ht="14.4" customHeight="1" x14ac:dyDescent="0.3">
      <c r="A14" s="16" t="s">
        <v>43</v>
      </c>
      <c r="B14" s="57">
        <v>30.680869000000001</v>
      </c>
      <c r="C14" s="57">
        <v>-87.131867999999997</v>
      </c>
      <c r="D14" s="46">
        <v>26800</v>
      </c>
      <c r="E14" s="21" t="s">
        <v>45</v>
      </c>
      <c r="F14" s="1" t="s">
        <v>50</v>
      </c>
      <c r="G14" s="23" t="s">
        <v>18</v>
      </c>
      <c r="H14" s="23">
        <v>24.37</v>
      </c>
      <c r="I14" s="23">
        <v>25.18</v>
      </c>
      <c r="J14" s="23"/>
      <c r="K14" s="23">
        <v>6.49</v>
      </c>
    </row>
    <row r="15" spans="1:11" ht="14.4" customHeight="1" x14ac:dyDescent="0.3">
      <c r="A15" s="16" t="s">
        <v>175</v>
      </c>
      <c r="B15" s="57">
        <v>30.680869000000001</v>
      </c>
      <c r="C15" s="57">
        <v>-87.131867999999997</v>
      </c>
      <c r="D15" s="46">
        <v>26800</v>
      </c>
      <c r="E15" s="21" t="s">
        <v>45</v>
      </c>
      <c r="F15" s="1" t="s">
        <v>50</v>
      </c>
      <c r="G15" s="23" t="s">
        <v>18</v>
      </c>
      <c r="H15" s="24">
        <v>24.8</v>
      </c>
      <c r="I15" s="24">
        <v>26.05</v>
      </c>
      <c r="J15" s="23">
        <v>40.28</v>
      </c>
      <c r="K15" s="24">
        <v>6.38</v>
      </c>
    </row>
    <row r="16" spans="1:11" ht="14.4" customHeight="1" x14ac:dyDescent="0.3">
      <c r="A16" s="16" t="s">
        <v>176</v>
      </c>
      <c r="B16" s="57">
        <v>30.680869000000001</v>
      </c>
      <c r="C16" s="57">
        <v>-87.131867999999997</v>
      </c>
      <c r="D16" s="46">
        <v>26800</v>
      </c>
      <c r="E16" s="21" t="s">
        <v>45</v>
      </c>
      <c r="F16" s="1" t="s">
        <v>50</v>
      </c>
      <c r="G16" s="23" t="s">
        <v>18</v>
      </c>
      <c r="H16" s="24">
        <v>23.15</v>
      </c>
      <c r="I16" s="24">
        <v>24.83</v>
      </c>
      <c r="J16" s="23">
        <v>40.32</v>
      </c>
      <c r="K16" s="24">
        <v>6.53</v>
      </c>
    </row>
    <row r="17" spans="1:11" x14ac:dyDescent="0.3">
      <c r="A17" s="16" t="s">
        <v>177</v>
      </c>
      <c r="B17" s="57">
        <v>30.680869000000001</v>
      </c>
      <c r="C17" s="57">
        <v>-87.131867999999997</v>
      </c>
      <c r="D17" s="46">
        <v>26800</v>
      </c>
      <c r="E17" s="21" t="s">
        <v>45</v>
      </c>
      <c r="F17" s="1" t="s">
        <v>50</v>
      </c>
      <c r="G17" s="23" t="s">
        <v>18</v>
      </c>
      <c r="H17" s="24">
        <v>23.61</v>
      </c>
      <c r="I17" s="24">
        <v>25.12</v>
      </c>
      <c r="J17" s="23"/>
      <c r="K17" s="24">
        <v>6.82</v>
      </c>
    </row>
    <row r="18" spans="1:11" ht="14.4" customHeight="1" x14ac:dyDescent="0.3">
      <c r="A18" s="16" t="s">
        <v>178</v>
      </c>
      <c r="B18" s="57">
        <v>30.680869000000001</v>
      </c>
      <c r="C18" s="57">
        <v>-87.131867999999997</v>
      </c>
      <c r="D18" s="46">
        <v>26800</v>
      </c>
      <c r="E18" s="21" t="s">
        <v>45</v>
      </c>
      <c r="F18" s="1" t="s">
        <v>50</v>
      </c>
      <c r="G18" s="23" t="s">
        <v>18</v>
      </c>
      <c r="H18" s="23">
        <v>24.18</v>
      </c>
      <c r="I18" s="23">
        <v>25.17</v>
      </c>
      <c r="J18" s="23">
        <v>41.1</v>
      </c>
      <c r="K18" s="23">
        <v>6.59</v>
      </c>
    </row>
    <row r="19" spans="1:11" x14ac:dyDescent="0.3">
      <c r="A19" s="16" t="s">
        <v>179</v>
      </c>
      <c r="B19" s="57">
        <v>30.680869000000001</v>
      </c>
      <c r="C19" s="57">
        <v>-87.131867999999997</v>
      </c>
      <c r="D19" s="46">
        <v>26800</v>
      </c>
      <c r="E19" s="21" t="s">
        <v>45</v>
      </c>
      <c r="F19" s="1" t="s">
        <v>50</v>
      </c>
      <c r="G19" s="23" t="s">
        <v>18</v>
      </c>
      <c r="H19" s="24">
        <v>24.22</v>
      </c>
      <c r="I19" s="24">
        <v>25.7</v>
      </c>
      <c r="J19" s="23"/>
      <c r="K19" s="24">
        <v>6.74</v>
      </c>
    </row>
    <row r="20" spans="1:11" ht="14.4" customHeight="1" x14ac:dyDescent="0.3">
      <c r="A20" s="16" t="s">
        <v>180</v>
      </c>
      <c r="B20" s="57">
        <v>30.680869000000001</v>
      </c>
      <c r="C20" s="57">
        <v>-87.131867999999997</v>
      </c>
      <c r="D20" s="46">
        <v>26800</v>
      </c>
      <c r="E20" s="21" t="s">
        <v>45</v>
      </c>
      <c r="F20" s="1" t="s">
        <v>50</v>
      </c>
      <c r="G20" s="23" t="s">
        <v>18</v>
      </c>
      <c r="H20" s="24">
        <v>24.57</v>
      </c>
      <c r="I20" s="24">
        <v>25.92</v>
      </c>
      <c r="J20" s="23">
        <v>41.05</v>
      </c>
      <c r="K20" s="24">
        <v>6.66</v>
      </c>
    </row>
    <row r="21" spans="1:11" x14ac:dyDescent="0.3">
      <c r="A21" s="16" t="s">
        <v>181</v>
      </c>
      <c r="B21" s="57">
        <v>30.680869000000001</v>
      </c>
      <c r="C21" s="57">
        <v>-87.131867999999997</v>
      </c>
      <c r="D21" s="46">
        <v>26800</v>
      </c>
      <c r="E21" s="21" t="s">
        <v>45</v>
      </c>
      <c r="F21" s="1" t="s">
        <v>50</v>
      </c>
      <c r="G21" s="23" t="s">
        <v>18</v>
      </c>
      <c r="H21" s="23">
        <v>24.78</v>
      </c>
      <c r="I21" s="23">
        <v>26.76</v>
      </c>
      <c r="J21" s="23">
        <v>40.909999999999997</v>
      </c>
      <c r="K21" s="23">
        <v>6.84</v>
      </c>
    </row>
    <row r="22" spans="1:11" ht="14.4" customHeight="1" x14ac:dyDescent="0.3">
      <c r="A22" s="16" t="s">
        <v>182</v>
      </c>
      <c r="B22" s="57">
        <v>30.680869000000001</v>
      </c>
      <c r="C22" s="57">
        <v>-87.131867999999997</v>
      </c>
      <c r="D22" s="46">
        <v>26800</v>
      </c>
      <c r="E22" s="21" t="s">
        <v>45</v>
      </c>
      <c r="F22" s="1" t="s">
        <v>50</v>
      </c>
      <c r="G22" s="23" t="s">
        <v>18</v>
      </c>
      <c r="H22" s="24">
        <v>22.41</v>
      </c>
      <c r="I22" s="24">
        <v>24.12</v>
      </c>
      <c r="J22" s="23">
        <v>40.450000000000003</v>
      </c>
      <c r="K22" s="24">
        <v>6.29</v>
      </c>
    </row>
    <row r="23" spans="1:11" x14ac:dyDescent="0.3">
      <c r="A23" s="16" t="s">
        <v>183</v>
      </c>
      <c r="B23" s="57">
        <v>30.680869000000001</v>
      </c>
      <c r="C23" s="57">
        <v>-87.131867999999997</v>
      </c>
      <c r="D23" s="46">
        <v>26800</v>
      </c>
      <c r="E23" s="21" t="s">
        <v>45</v>
      </c>
      <c r="F23" s="1" t="s">
        <v>50</v>
      </c>
      <c r="G23" s="23" t="s">
        <v>18</v>
      </c>
      <c r="H23" s="23">
        <v>23.21</v>
      </c>
      <c r="I23" s="23">
        <v>24.81</v>
      </c>
      <c r="J23" s="23">
        <v>40.01</v>
      </c>
      <c r="K23" s="23">
        <v>6.53</v>
      </c>
    </row>
    <row r="24" spans="1:11" ht="14.4" customHeight="1" x14ac:dyDescent="0.3">
      <c r="A24" s="16" t="s">
        <v>184</v>
      </c>
      <c r="B24" s="57">
        <v>30.680869000000001</v>
      </c>
      <c r="C24" s="57">
        <v>-87.131867999999997</v>
      </c>
      <c r="D24" s="46">
        <v>26800</v>
      </c>
      <c r="E24" s="21" t="s">
        <v>45</v>
      </c>
      <c r="F24" s="1" t="s">
        <v>50</v>
      </c>
      <c r="G24" s="23" t="s">
        <v>18</v>
      </c>
      <c r="H24" s="24">
        <v>23.52</v>
      </c>
      <c r="I24" s="24">
        <v>25.15</v>
      </c>
      <c r="J24" s="23"/>
      <c r="K24" s="24">
        <v>6.29</v>
      </c>
    </row>
    <row r="25" spans="1:11" ht="14.4" customHeight="1" x14ac:dyDescent="0.3">
      <c r="A25" s="16" t="s">
        <v>185</v>
      </c>
      <c r="B25" s="57">
        <v>30.680869000000001</v>
      </c>
      <c r="C25" s="57">
        <v>-87.131867999999997</v>
      </c>
      <c r="D25" s="46">
        <v>26800</v>
      </c>
      <c r="E25" s="21" t="s">
        <v>45</v>
      </c>
      <c r="F25" s="1" t="s">
        <v>50</v>
      </c>
      <c r="G25" s="23" t="s">
        <v>18</v>
      </c>
      <c r="H25" s="24">
        <v>24.12</v>
      </c>
      <c r="I25" s="24">
        <v>25.74</v>
      </c>
      <c r="J25" s="23"/>
      <c r="K25" s="24">
        <v>7.01</v>
      </c>
    </row>
    <row r="26" spans="1:11" ht="14.4" customHeight="1" x14ac:dyDescent="0.3">
      <c r="A26" s="16" t="s">
        <v>191</v>
      </c>
      <c r="B26" s="57">
        <v>30.680869000000001</v>
      </c>
      <c r="C26" s="57">
        <v>-87.131867999999997</v>
      </c>
      <c r="D26" s="46">
        <v>26800</v>
      </c>
      <c r="E26" s="21" t="s">
        <v>45</v>
      </c>
      <c r="F26" s="1" t="s">
        <v>50</v>
      </c>
      <c r="G26" s="23" t="s">
        <v>20</v>
      </c>
      <c r="H26" s="23">
        <v>25.98</v>
      </c>
      <c r="I26" s="23">
        <v>27.18</v>
      </c>
      <c r="J26" s="23"/>
      <c r="K26" s="23">
        <v>7.72</v>
      </c>
    </row>
    <row r="27" spans="1:11" ht="14.4" customHeight="1" x14ac:dyDescent="0.3">
      <c r="A27" s="16" t="s">
        <v>192</v>
      </c>
      <c r="B27" s="57">
        <v>30.680869000000001</v>
      </c>
      <c r="C27" s="57">
        <v>-87.131867999999997</v>
      </c>
      <c r="D27" s="46">
        <v>26800</v>
      </c>
      <c r="E27" s="21" t="s">
        <v>45</v>
      </c>
      <c r="F27" s="1" t="s">
        <v>50</v>
      </c>
      <c r="G27" s="23" t="s">
        <v>18</v>
      </c>
      <c r="H27" s="24">
        <v>23.67</v>
      </c>
      <c r="I27" s="23">
        <v>24.32</v>
      </c>
      <c r="J27" s="23">
        <v>41.25</v>
      </c>
      <c r="K27" s="24">
        <v>8.07</v>
      </c>
    </row>
    <row r="28" spans="1:11" ht="14.4" customHeight="1" x14ac:dyDescent="0.3">
      <c r="A28" s="16" t="s">
        <v>193</v>
      </c>
      <c r="B28" s="57">
        <v>30.680869000000001</v>
      </c>
      <c r="C28" s="57">
        <v>-87.131867999999997</v>
      </c>
      <c r="D28" s="46">
        <v>26800</v>
      </c>
      <c r="E28" s="21" t="s">
        <v>45</v>
      </c>
      <c r="F28" s="1" t="s">
        <v>50</v>
      </c>
      <c r="G28" s="23" t="s">
        <v>18</v>
      </c>
      <c r="H28" s="23">
        <v>23.93</v>
      </c>
      <c r="I28" s="23">
        <v>25.06</v>
      </c>
      <c r="J28" s="23">
        <v>40.729999999999997</v>
      </c>
      <c r="K28" s="23">
        <v>8.2899999999999991</v>
      </c>
    </row>
    <row r="29" spans="1:11" ht="14.4" customHeight="1" x14ac:dyDescent="0.3">
      <c r="A29" s="16" t="s">
        <v>194</v>
      </c>
      <c r="B29" s="57">
        <v>30.680869000000001</v>
      </c>
      <c r="C29" s="57">
        <v>-87.131867999999997</v>
      </c>
      <c r="D29" s="46">
        <v>26800</v>
      </c>
      <c r="E29" s="21" t="s">
        <v>45</v>
      </c>
      <c r="F29" s="1" t="s">
        <v>50</v>
      </c>
      <c r="G29" s="23" t="s">
        <v>18</v>
      </c>
      <c r="H29" s="24">
        <v>22.61</v>
      </c>
      <c r="I29" s="24">
        <v>24.83</v>
      </c>
      <c r="J29" s="23">
        <v>39.56</v>
      </c>
      <c r="K29" s="24">
        <v>7.69</v>
      </c>
    </row>
    <row r="30" spans="1:11" ht="14.4" customHeight="1" x14ac:dyDescent="0.3">
      <c r="A30" s="16" t="s">
        <v>74</v>
      </c>
      <c r="B30" s="57">
        <v>30.680869000000001</v>
      </c>
      <c r="C30" s="57">
        <v>-87.131867999999997</v>
      </c>
      <c r="D30" s="46">
        <v>26800</v>
      </c>
      <c r="E30" s="21" t="s">
        <v>45</v>
      </c>
      <c r="F30" s="1" t="s">
        <v>90</v>
      </c>
      <c r="G30" s="23" t="s">
        <v>20</v>
      </c>
      <c r="H30" s="24">
        <v>25.66</v>
      </c>
      <c r="I30" s="24">
        <v>27.45</v>
      </c>
      <c r="J30" s="23"/>
      <c r="K30" s="24">
        <v>6.73</v>
      </c>
    </row>
    <row r="31" spans="1:11" x14ac:dyDescent="0.3">
      <c r="A31" s="16" t="s">
        <v>78</v>
      </c>
      <c r="B31" s="57">
        <v>30.680869000000001</v>
      </c>
      <c r="C31" s="57">
        <v>-87.131867999999997</v>
      </c>
      <c r="D31" s="46">
        <v>26800</v>
      </c>
      <c r="E31" s="21" t="s">
        <v>45</v>
      </c>
      <c r="F31" s="1" t="s">
        <v>90</v>
      </c>
      <c r="G31" s="23" t="s">
        <v>20</v>
      </c>
      <c r="H31" s="23">
        <v>25.73</v>
      </c>
      <c r="I31" s="23">
        <v>27.79</v>
      </c>
      <c r="J31" s="23">
        <v>42.14</v>
      </c>
      <c r="K31" s="23">
        <v>7.08</v>
      </c>
    </row>
    <row r="32" spans="1:11" ht="14.4" customHeight="1" x14ac:dyDescent="0.3">
      <c r="A32" s="16" t="s">
        <v>79</v>
      </c>
      <c r="B32" s="57">
        <v>30.680869000000001</v>
      </c>
      <c r="C32" s="57">
        <v>-87.131867999999997</v>
      </c>
      <c r="D32" s="46">
        <v>26800</v>
      </c>
      <c r="E32" s="21" t="s">
        <v>45</v>
      </c>
      <c r="F32" s="1" t="s">
        <v>90</v>
      </c>
      <c r="G32" s="23" t="s">
        <v>20</v>
      </c>
      <c r="H32" s="23">
        <v>25.68</v>
      </c>
      <c r="I32" s="23">
        <v>27.53</v>
      </c>
      <c r="J32" s="23">
        <v>42.67</v>
      </c>
      <c r="K32" s="23">
        <v>7.25</v>
      </c>
    </row>
    <row r="33" spans="1:11" ht="14.4" customHeight="1" x14ac:dyDescent="0.3">
      <c r="A33" s="16" t="s">
        <v>118</v>
      </c>
      <c r="B33" s="57">
        <v>30.680869000000001</v>
      </c>
      <c r="C33" s="57">
        <v>-87.131867999999997</v>
      </c>
      <c r="D33" s="46">
        <v>26800</v>
      </c>
      <c r="E33" s="21" t="s">
        <v>45</v>
      </c>
      <c r="F33" s="1" t="s">
        <v>50</v>
      </c>
      <c r="G33" s="23" t="s">
        <v>18</v>
      </c>
      <c r="H33" s="23">
        <v>23.04</v>
      </c>
      <c r="I33" s="23">
        <v>24.02</v>
      </c>
      <c r="J33" s="23"/>
      <c r="K33" s="23">
        <v>6.39</v>
      </c>
    </row>
    <row r="34" spans="1:11" ht="14.4" customHeight="1" x14ac:dyDescent="0.3">
      <c r="A34" s="16" t="s">
        <v>119</v>
      </c>
      <c r="B34" s="57">
        <v>30.680869000000001</v>
      </c>
      <c r="C34" s="57">
        <v>-87.131867999999997</v>
      </c>
      <c r="D34" s="46">
        <v>26800</v>
      </c>
      <c r="E34" s="21" t="s">
        <v>45</v>
      </c>
      <c r="F34" s="1" t="s">
        <v>50</v>
      </c>
      <c r="G34" s="23" t="s">
        <v>18</v>
      </c>
      <c r="H34" s="23">
        <v>22.56</v>
      </c>
      <c r="I34" s="23">
        <v>23.96</v>
      </c>
      <c r="J34" s="23">
        <v>40.869999999999997</v>
      </c>
      <c r="K34" s="23">
        <v>6.53</v>
      </c>
    </row>
    <row r="35" spans="1:11" ht="14.4" customHeight="1" x14ac:dyDescent="0.3">
      <c r="A35" s="16" t="s">
        <v>120</v>
      </c>
      <c r="B35" s="57">
        <v>30.680869000000001</v>
      </c>
      <c r="C35" s="57">
        <v>-87.131867999999997</v>
      </c>
      <c r="D35" s="46">
        <v>26800</v>
      </c>
      <c r="E35" s="21" t="s">
        <v>45</v>
      </c>
      <c r="F35" s="1" t="s">
        <v>50</v>
      </c>
      <c r="G35" s="23" t="s">
        <v>18</v>
      </c>
      <c r="H35" s="23">
        <v>23.56</v>
      </c>
      <c r="I35" s="23">
        <v>25.07</v>
      </c>
      <c r="J35" s="23"/>
      <c r="K35" s="23">
        <v>6.73</v>
      </c>
    </row>
    <row r="36" spans="1:11" ht="14.4" customHeight="1" x14ac:dyDescent="0.3">
      <c r="A36" s="16" t="s">
        <v>121</v>
      </c>
      <c r="B36" s="57">
        <v>30.680869000000001</v>
      </c>
      <c r="C36" s="57">
        <v>-87.131867999999997</v>
      </c>
      <c r="D36" s="46">
        <v>26800</v>
      </c>
      <c r="E36" s="21" t="s">
        <v>45</v>
      </c>
      <c r="F36" s="1" t="s">
        <v>50</v>
      </c>
      <c r="G36" s="23" t="s">
        <v>18</v>
      </c>
      <c r="H36" s="23">
        <v>24.82</v>
      </c>
      <c r="I36" s="23">
        <v>25.94</v>
      </c>
      <c r="J36" s="23"/>
      <c r="K36" s="23">
        <v>6.97</v>
      </c>
    </row>
    <row r="37" spans="1:11" x14ac:dyDescent="0.3">
      <c r="A37" s="16" t="s">
        <v>122</v>
      </c>
      <c r="B37" s="57">
        <v>30.680869000000001</v>
      </c>
      <c r="C37" s="57">
        <v>-87.131867999999997</v>
      </c>
      <c r="D37" s="46">
        <v>26800</v>
      </c>
      <c r="E37" s="21" t="s">
        <v>45</v>
      </c>
      <c r="F37" s="1" t="s">
        <v>50</v>
      </c>
      <c r="G37" s="23" t="s">
        <v>18</v>
      </c>
      <c r="H37" s="23">
        <v>24.27</v>
      </c>
      <c r="I37" s="23">
        <v>25.6</v>
      </c>
      <c r="J37" s="23">
        <v>40.28</v>
      </c>
      <c r="K37" s="23">
        <v>6.19</v>
      </c>
    </row>
    <row r="38" spans="1:11" ht="14.4" customHeight="1" x14ac:dyDescent="0.3">
      <c r="A38" s="16" t="s">
        <v>123</v>
      </c>
      <c r="B38" s="57">
        <v>30.680869000000001</v>
      </c>
      <c r="C38" s="57">
        <v>-87.131867999999997</v>
      </c>
      <c r="D38" s="46">
        <v>26800</v>
      </c>
      <c r="E38" s="21" t="s">
        <v>45</v>
      </c>
      <c r="F38" s="1" t="s">
        <v>50</v>
      </c>
      <c r="G38" s="23" t="s">
        <v>18</v>
      </c>
      <c r="H38" s="23">
        <v>22.94</v>
      </c>
      <c r="I38" s="23">
        <v>24.15</v>
      </c>
      <c r="J38" s="23">
        <v>40.26</v>
      </c>
      <c r="K38" s="23">
        <v>6.27</v>
      </c>
    </row>
    <row r="39" spans="1:11" x14ac:dyDescent="0.3">
      <c r="A39" s="16" t="s">
        <v>125</v>
      </c>
      <c r="B39" s="57">
        <v>30.680869000000001</v>
      </c>
      <c r="C39" s="57">
        <v>-87.131867999999997</v>
      </c>
      <c r="D39" s="46">
        <v>26800</v>
      </c>
      <c r="E39" s="21" t="s">
        <v>45</v>
      </c>
      <c r="F39" s="1" t="s">
        <v>50</v>
      </c>
      <c r="G39" s="23" t="s">
        <v>18</v>
      </c>
      <c r="H39" s="24">
        <v>23.63</v>
      </c>
      <c r="I39" s="24">
        <v>24.98</v>
      </c>
      <c r="J39" s="23">
        <v>40.340000000000003</v>
      </c>
      <c r="K39" s="24">
        <v>6.5</v>
      </c>
    </row>
    <row r="40" spans="1:11" ht="14.4" customHeight="1" x14ac:dyDescent="0.3">
      <c r="A40" s="16" t="s">
        <v>165</v>
      </c>
      <c r="B40" s="57">
        <v>30.680869000000001</v>
      </c>
      <c r="C40" s="57">
        <v>-87.131867999999997</v>
      </c>
      <c r="D40" s="46">
        <v>26800</v>
      </c>
      <c r="E40" s="21" t="s">
        <v>45</v>
      </c>
      <c r="F40" s="1" t="s">
        <v>50</v>
      </c>
      <c r="G40" s="23" t="s">
        <v>20</v>
      </c>
      <c r="H40" s="24">
        <v>25.91</v>
      </c>
      <c r="I40" s="24">
        <v>27.28</v>
      </c>
      <c r="J40" s="23">
        <v>41.98</v>
      </c>
      <c r="K40" s="24">
        <v>6.84</v>
      </c>
    </row>
    <row r="41" spans="1:11" x14ac:dyDescent="0.3">
      <c r="A41" s="16" t="s">
        <v>166</v>
      </c>
      <c r="B41" s="57">
        <v>30.680869000000001</v>
      </c>
      <c r="C41" s="57">
        <v>-87.131867999999997</v>
      </c>
      <c r="D41" s="46">
        <v>26800</v>
      </c>
      <c r="E41" s="21" t="s">
        <v>45</v>
      </c>
      <c r="F41" s="1" t="s">
        <v>50</v>
      </c>
      <c r="G41" s="23" t="s">
        <v>18</v>
      </c>
      <c r="H41" s="23">
        <v>24.16</v>
      </c>
      <c r="I41" s="23">
        <v>26.4</v>
      </c>
      <c r="J41" s="23">
        <v>41.56</v>
      </c>
      <c r="K41" s="23">
        <v>7.35</v>
      </c>
    </row>
    <row r="42" spans="1:11" ht="14.4" customHeight="1" x14ac:dyDescent="0.3">
      <c r="A42" s="16" t="s">
        <v>167</v>
      </c>
      <c r="B42" s="58">
        <v>30.680869000000001</v>
      </c>
      <c r="C42" s="58">
        <v>-87.131867999999997</v>
      </c>
      <c r="D42" s="46">
        <v>26800</v>
      </c>
      <c r="E42" s="21" t="s">
        <v>45</v>
      </c>
      <c r="F42" s="1" t="s">
        <v>50</v>
      </c>
      <c r="G42" s="23" t="s">
        <v>20</v>
      </c>
      <c r="H42" s="24">
        <v>26.46</v>
      </c>
      <c r="I42" s="24">
        <v>28.07</v>
      </c>
      <c r="J42" s="23"/>
      <c r="K42" s="24">
        <v>6.84</v>
      </c>
    </row>
    <row r="43" spans="1:11" x14ac:dyDescent="0.3">
      <c r="A43" s="16" t="s">
        <v>168</v>
      </c>
      <c r="B43" s="57">
        <v>30.680869000000001</v>
      </c>
      <c r="C43" s="57">
        <v>-87.131867999999997</v>
      </c>
      <c r="D43" s="46">
        <v>26800</v>
      </c>
      <c r="E43" s="21" t="s">
        <v>45</v>
      </c>
      <c r="F43" s="1" t="s">
        <v>50</v>
      </c>
      <c r="G43" s="23" t="s">
        <v>20</v>
      </c>
      <c r="H43" s="23">
        <v>26.24</v>
      </c>
      <c r="I43" s="23">
        <v>27.7</v>
      </c>
      <c r="J43" s="23"/>
      <c r="K43" s="23">
        <v>6.9</v>
      </c>
    </row>
    <row r="44" spans="1:11" ht="14.4" customHeight="1" x14ac:dyDescent="0.3">
      <c r="A44" s="16" t="s">
        <v>54</v>
      </c>
      <c r="B44" s="57">
        <v>30.426304999999999</v>
      </c>
      <c r="C44" s="57">
        <v>-85.295137999999994</v>
      </c>
      <c r="D44" s="46">
        <v>26810</v>
      </c>
      <c r="E44" s="21" t="s">
        <v>69</v>
      </c>
      <c r="F44" s="1" t="s">
        <v>70</v>
      </c>
      <c r="G44" s="23" t="s">
        <v>18</v>
      </c>
      <c r="H44" s="23">
        <v>21.35</v>
      </c>
      <c r="I44" s="23">
        <v>22.75</v>
      </c>
      <c r="J44" s="23">
        <v>37.380000000000003</v>
      </c>
      <c r="K44" s="23">
        <v>7.31</v>
      </c>
    </row>
    <row r="45" spans="1:11" x14ac:dyDescent="0.3">
      <c r="A45" s="16" t="s">
        <v>55</v>
      </c>
      <c r="B45" s="57">
        <v>30.426304999999999</v>
      </c>
      <c r="C45" s="57">
        <v>-85.295137999999994</v>
      </c>
      <c r="D45" s="46">
        <v>26810</v>
      </c>
      <c r="E45" s="21" t="s">
        <v>69</v>
      </c>
      <c r="F45" s="1" t="s">
        <v>70</v>
      </c>
      <c r="G45" s="23" t="s">
        <v>18</v>
      </c>
      <c r="H45" s="23">
        <v>21.93</v>
      </c>
      <c r="I45" s="23">
        <v>23.54</v>
      </c>
      <c r="J45" s="23">
        <v>37.119999999999997</v>
      </c>
      <c r="K45" s="23">
        <v>7.19</v>
      </c>
    </row>
    <row r="46" spans="1:11" ht="14.4" customHeight="1" x14ac:dyDescent="0.3">
      <c r="A46" s="16" t="s">
        <v>56</v>
      </c>
      <c r="B46" s="57">
        <v>30.426304999999999</v>
      </c>
      <c r="C46" s="57">
        <v>-85.295137999999994</v>
      </c>
      <c r="D46" s="46">
        <v>26810</v>
      </c>
      <c r="E46" s="21" t="s">
        <v>69</v>
      </c>
      <c r="F46" s="1" t="s">
        <v>70</v>
      </c>
      <c r="G46" s="23" t="s">
        <v>20</v>
      </c>
      <c r="H46" s="23">
        <v>23.1</v>
      </c>
      <c r="I46" s="23">
        <v>24.28</v>
      </c>
      <c r="J46" s="23">
        <v>38.51</v>
      </c>
      <c r="K46" s="23">
        <v>7.13</v>
      </c>
    </row>
    <row r="47" spans="1:11" ht="14.4" customHeight="1" x14ac:dyDescent="0.3">
      <c r="A47" s="16" t="s">
        <v>57</v>
      </c>
      <c r="B47" s="57">
        <v>30.426304999999999</v>
      </c>
      <c r="C47" s="57">
        <v>-85.295137999999994</v>
      </c>
      <c r="D47" s="46">
        <v>26810</v>
      </c>
      <c r="E47" s="21" t="s">
        <v>69</v>
      </c>
      <c r="F47" s="1" t="s">
        <v>70</v>
      </c>
      <c r="G47" s="23" t="s">
        <v>18</v>
      </c>
      <c r="H47" s="23">
        <v>21.74</v>
      </c>
      <c r="I47" s="23">
        <v>23.22</v>
      </c>
      <c r="J47" s="23">
        <v>36.1</v>
      </c>
      <c r="K47" s="23">
        <v>7.08</v>
      </c>
    </row>
    <row r="48" spans="1:11" ht="14.4" customHeight="1" x14ac:dyDescent="0.3">
      <c r="A48" s="16" t="s">
        <v>139</v>
      </c>
      <c r="B48" s="57">
        <v>30.426304999999999</v>
      </c>
      <c r="C48" s="57">
        <v>-85.295137999999994</v>
      </c>
      <c r="D48" s="46">
        <v>26810</v>
      </c>
      <c r="E48" s="21" t="s">
        <v>69</v>
      </c>
      <c r="F48" s="1" t="s">
        <v>94</v>
      </c>
      <c r="G48" s="23" t="s">
        <v>20</v>
      </c>
      <c r="H48" s="24">
        <v>23.38</v>
      </c>
      <c r="I48" s="24">
        <v>24.36</v>
      </c>
      <c r="J48" s="23">
        <v>38.85</v>
      </c>
      <c r="K48" s="24">
        <v>7.17</v>
      </c>
    </row>
    <row r="49" spans="1:11" ht="14.4" customHeight="1" x14ac:dyDescent="0.3">
      <c r="A49" s="16" t="s">
        <v>164</v>
      </c>
      <c r="B49" s="57">
        <v>30.426304999999999</v>
      </c>
      <c r="C49" s="57">
        <v>-85.295137999999994</v>
      </c>
      <c r="D49" s="46">
        <v>26810</v>
      </c>
      <c r="E49" s="21" t="s">
        <v>69</v>
      </c>
      <c r="F49" s="1" t="s">
        <v>70</v>
      </c>
      <c r="G49" s="23" t="s">
        <v>20</v>
      </c>
      <c r="H49" s="23">
        <v>24.03</v>
      </c>
      <c r="I49" s="23">
        <v>25.77</v>
      </c>
      <c r="J49" s="23">
        <v>38.68</v>
      </c>
      <c r="K49" s="23">
        <v>6.41</v>
      </c>
    </row>
    <row r="50" spans="1:11" ht="14.4" customHeight="1" x14ac:dyDescent="0.3">
      <c r="A50" s="16" t="s">
        <v>77</v>
      </c>
      <c r="B50" s="57">
        <v>30.525044999999999</v>
      </c>
      <c r="C50" s="57">
        <v>-84.969880000000003</v>
      </c>
      <c r="D50" s="46">
        <v>26810</v>
      </c>
      <c r="E50" s="21" t="s">
        <v>89</v>
      </c>
      <c r="F50" s="1" t="s">
        <v>92</v>
      </c>
      <c r="G50" s="23" t="s">
        <v>18</v>
      </c>
      <c r="H50" s="24">
        <v>26.86</v>
      </c>
      <c r="I50" s="24">
        <v>28.76</v>
      </c>
      <c r="J50" s="23">
        <v>44.23</v>
      </c>
      <c r="K50" s="24">
        <v>7.44</v>
      </c>
    </row>
    <row r="51" spans="1:11" x14ac:dyDescent="0.3">
      <c r="A51" s="16" t="s">
        <v>64</v>
      </c>
      <c r="B51" s="56">
        <v>30.583428999999999</v>
      </c>
      <c r="C51" s="57">
        <v>-84.880913000000007</v>
      </c>
      <c r="D51" s="46">
        <v>26811</v>
      </c>
      <c r="E51" s="21" t="s">
        <v>72</v>
      </c>
      <c r="F51" s="1" t="s">
        <v>73</v>
      </c>
      <c r="G51" s="23" t="s">
        <v>20</v>
      </c>
      <c r="H51" s="23">
        <v>27.69</v>
      </c>
      <c r="I51" s="23">
        <v>29.78</v>
      </c>
      <c r="J51" s="23">
        <v>45.39</v>
      </c>
      <c r="K51" s="23">
        <v>8.32</v>
      </c>
    </row>
    <row r="52" spans="1:11" ht="14.4" customHeight="1" x14ac:dyDescent="0.3">
      <c r="A52" s="16" t="s">
        <v>75</v>
      </c>
      <c r="B52" s="56">
        <v>30.583428999999999</v>
      </c>
      <c r="C52" s="57">
        <v>-84.880913000000007</v>
      </c>
      <c r="D52" s="46">
        <v>26811</v>
      </c>
      <c r="E52" s="21" t="s">
        <v>72</v>
      </c>
      <c r="F52" s="1" t="s">
        <v>91</v>
      </c>
      <c r="G52" s="23" t="s">
        <v>18</v>
      </c>
      <c r="H52" s="23">
        <v>29.08</v>
      </c>
      <c r="I52" s="23">
        <v>30.31</v>
      </c>
      <c r="J52" s="23"/>
      <c r="K52" s="23"/>
    </row>
    <row r="53" spans="1:11" x14ac:dyDescent="0.3">
      <c r="A53" s="16" t="s">
        <v>76</v>
      </c>
      <c r="B53" s="56">
        <v>30.583428999999999</v>
      </c>
      <c r="C53" s="57">
        <v>-84.880913000000007</v>
      </c>
      <c r="D53" s="46">
        <v>26811</v>
      </c>
      <c r="E53" s="21" t="s">
        <v>72</v>
      </c>
      <c r="F53" s="1" t="s">
        <v>91</v>
      </c>
      <c r="G53" s="23" t="s">
        <v>20</v>
      </c>
      <c r="H53" s="23">
        <v>29.49</v>
      </c>
      <c r="I53" s="23">
        <v>30.54</v>
      </c>
      <c r="J53" s="23"/>
      <c r="K53" s="23"/>
    </row>
    <row r="54" spans="1:11" ht="14.4" customHeight="1" x14ac:dyDescent="0.3">
      <c r="A54" s="16" t="s">
        <v>65</v>
      </c>
      <c r="B54" s="56">
        <v>30.583428999999999</v>
      </c>
      <c r="C54" s="57">
        <v>-84.880913000000007</v>
      </c>
      <c r="D54" s="46">
        <v>26812</v>
      </c>
      <c r="E54" s="21" t="s">
        <v>72</v>
      </c>
      <c r="F54" s="1" t="s">
        <v>73</v>
      </c>
      <c r="G54" s="23" t="s">
        <v>18</v>
      </c>
      <c r="H54" s="24">
        <v>25.78</v>
      </c>
      <c r="I54" s="23">
        <v>28.06</v>
      </c>
      <c r="J54" s="23">
        <v>43.78</v>
      </c>
      <c r="K54" s="23">
        <v>7.97</v>
      </c>
    </row>
    <row r="55" spans="1:11" ht="14.4" customHeight="1" x14ac:dyDescent="0.3">
      <c r="A55" s="16" t="s">
        <v>58</v>
      </c>
      <c r="B55" s="57">
        <v>30.426304999999999</v>
      </c>
      <c r="C55" s="57">
        <v>-85.295137999999994</v>
      </c>
      <c r="D55" s="46">
        <v>26827</v>
      </c>
      <c r="E55" s="21" t="s">
        <v>69</v>
      </c>
      <c r="F55" s="1" t="s">
        <v>70</v>
      </c>
      <c r="G55" s="23" t="s">
        <v>20</v>
      </c>
      <c r="H55" s="23">
        <v>24.21</v>
      </c>
      <c r="I55" s="23">
        <v>25.57</v>
      </c>
      <c r="J55" s="23">
        <v>38.82</v>
      </c>
      <c r="K55" s="23">
        <v>7.27</v>
      </c>
    </row>
    <row r="56" spans="1:11" ht="14.4" customHeight="1" x14ac:dyDescent="0.3">
      <c r="A56" s="16" t="s">
        <v>129</v>
      </c>
      <c r="B56" s="56">
        <v>30.71904</v>
      </c>
      <c r="C56" s="57">
        <v>-86.809068999999994</v>
      </c>
      <c r="D56" s="46">
        <v>27103</v>
      </c>
      <c r="E56" s="21" t="s">
        <v>45</v>
      </c>
      <c r="F56" s="1" t="s">
        <v>147</v>
      </c>
      <c r="G56" s="23" t="s">
        <v>18</v>
      </c>
      <c r="H56" s="24">
        <v>23.06</v>
      </c>
      <c r="I56" s="23">
        <v>24.2</v>
      </c>
      <c r="J56" s="23">
        <v>40.82</v>
      </c>
      <c r="K56" s="23">
        <v>7.58</v>
      </c>
    </row>
    <row r="57" spans="1:11" x14ac:dyDescent="0.3">
      <c r="A57" s="16" t="s">
        <v>124</v>
      </c>
      <c r="B57" s="56">
        <v>30.652519000000002</v>
      </c>
      <c r="C57" s="57">
        <v>-86.805443999999994</v>
      </c>
      <c r="D57" s="46">
        <v>27103</v>
      </c>
      <c r="E57" s="21" t="s">
        <v>45</v>
      </c>
      <c r="F57" s="1" t="s">
        <v>143</v>
      </c>
      <c r="G57" s="23" t="s">
        <v>18</v>
      </c>
      <c r="H57" s="23">
        <v>22.93</v>
      </c>
      <c r="I57" s="23">
        <v>24.78</v>
      </c>
      <c r="J57" s="23">
        <v>39.24</v>
      </c>
      <c r="K57" s="23">
        <v>6.43</v>
      </c>
    </row>
    <row r="58" spans="1:11" ht="14.4" customHeight="1" x14ac:dyDescent="0.3">
      <c r="A58" s="16" t="s">
        <v>37</v>
      </c>
      <c r="B58" s="57">
        <v>30.680869000000001</v>
      </c>
      <c r="C58" s="57">
        <v>-87.131867999999997</v>
      </c>
      <c r="D58" s="46">
        <v>27104</v>
      </c>
      <c r="E58" s="21" t="s">
        <v>45</v>
      </c>
      <c r="F58" s="1" t="s">
        <v>48</v>
      </c>
      <c r="G58" s="23" t="s">
        <v>18</v>
      </c>
      <c r="H58" s="23">
        <v>24.37</v>
      </c>
      <c r="I58" s="23">
        <v>25.47</v>
      </c>
      <c r="J58" s="23">
        <v>38.6</v>
      </c>
      <c r="K58" s="23">
        <v>6.49</v>
      </c>
    </row>
    <row r="59" spans="1:11" ht="14.4" customHeight="1" x14ac:dyDescent="0.3">
      <c r="A59" s="16" t="s">
        <v>112</v>
      </c>
      <c r="B59" s="56">
        <v>30.71904</v>
      </c>
      <c r="C59" s="57">
        <v>-86.809068999999994</v>
      </c>
      <c r="D59" s="46">
        <v>27105</v>
      </c>
      <c r="E59" s="21" t="s">
        <v>45</v>
      </c>
      <c r="F59" s="1" t="s">
        <v>225</v>
      </c>
      <c r="G59" s="23" t="s">
        <v>18</v>
      </c>
      <c r="H59" s="23">
        <v>23.96</v>
      </c>
      <c r="I59" s="23">
        <v>25.92</v>
      </c>
      <c r="J59" s="23">
        <v>39.17</v>
      </c>
      <c r="K59" s="23">
        <v>6.39</v>
      </c>
    </row>
    <row r="60" spans="1:11" ht="14.4" customHeight="1" x14ac:dyDescent="0.3">
      <c r="A60" s="16" t="s">
        <v>113</v>
      </c>
      <c r="B60" s="56">
        <v>30.71904</v>
      </c>
      <c r="C60" s="57">
        <v>-86.809068999999994</v>
      </c>
      <c r="D60" s="46">
        <v>27105</v>
      </c>
      <c r="E60" s="21" t="s">
        <v>45</v>
      </c>
      <c r="F60" s="1" t="s">
        <v>225</v>
      </c>
      <c r="G60" s="23" t="s">
        <v>20</v>
      </c>
      <c r="H60" s="23">
        <v>25.48</v>
      </c>
      <c r="I60" s="23">
        <v>26.88</v>
      </c>
      <c r="J60" s="23">
        <v>40.21</v>
      </c>
      <c r="K60" s="23">
        <v>6.6</v>
      </c>
    </row>
    <row r="61" spans="1:11" x14ac:dyDescent="0.3">
      <c r="A61" s="16" t="s">
        <v>114</v>
      </c>
      <c r="B61" s="56">
        <v>30.71904</v>
      </c>
      <c r="C61" s="57">
        <v>-86.809068999999994</v>
      </c>
      <c r="D61" s="46">
        <v>27105</v>
      </c>
      <c r="E61" s="21" t="s">
        <v>45</v>
      </c>
      <c r="F61" s="1" t="s">
        <v>225</v>
      </c>
      <c r="G61" s="23" t="s">
        <v>20</v>
      </c>
      <c r="H61" s="23">
        <v>25.64</v>
      </c>
      <c r="I61" s="23">
        <v>27.35</v>
      </c>
      <c r="J61" s="23">
        <v>40.83</v>
      </c>
      <c r="K61" s="23">
        <v>6.74</v>
      </c>
    </row>
    <row r="62" spans="1:11" ht="14.4" customHeight="1" x14ac:dyDescent="0.3">
      <c r="A62" s="16" t="s">
        <v>130</v>
      </c>
      <c r="B62" s="56">
        <v>30.71904</v>
      </c>
      <c r="C62" s="57">
        <v>-86.809068999999994</v>
      </c>
      <c r="D62" s="46">
        <v>27105</v>
      </c>
      <c r="E62" s="21" t="s">
        <v>45</v>
      </c>
      <c r="F62" s="1" t="s">
        <v>147</v>
      </c>
      <c r="G62" s="23" t="s">
        <v>18</v>
      </c>
      <c r="H62" s="23">
        <v>23.59</v>
      </c>
      <c r="I62" s="23">
        <v>24.4</v>
      </c>
      <c r="J62" s="23">
        <v>40.01</v>
      </c>
      <c r="K62" s="23">
        <v>7.19</v>
      </c>
    </row>
    <row r="63" spans="1:11" x14ac:dyDescent="0.3">
      <c r="A63" s="16" t="s">
        <v>131</v>
      </c>
      <c r="B63" s="56">
        <v>30.71904</v>
      </c>
      <c r="C63" s="57">
        <v>-86.809068999999994</v>
      </c>
      <c r="D63" s="46">
        <v>27105</v>
      </c>
      <c r="E63" s="21" t="s">
        <v>45</v>
      </c>
      <c r="F63" s="1" t="s">
        <v>147</v>
      </c>
      <c r="G63" s="23" t="s">
        <v>18</v>
      </c>
      <c r="H63" s="23">
        <v>22.89</v>
      </c>
      <c r="I63" s="23">
        <v>24.98</v>
      </c>
      <c r="J63" s="23">
        <v>36.090000000000003</v>
      </c>
      <c r="K63" s="23">
        <v>7.14</v>
      </c>
    </row>
    <row r="64" spans="1:11" ht="14.4" customHeight="1" x14ac:dyDescent="0.3">
      <c r="A64" s="16" t="s">
        <v>172</v>
      </c>
      <c r="B64" s="56">
        <v>30.731188</v>
      </c>
      <c r="C64" s="57">
        <v>-86.801224000000005</v>
      </c>
      <c r="D64" s="46">
        <v>27105</v>
      </c>
      <c r="E64" s="21" t="s">
        <v>45</v>
      </c>
      <c r="F64" s="1" t="s">
        <v>171</v>
      </c>
      <c r="G64" s="23" t="s">
        <v>18</v>
      </c>
      <c r="H64" s="23">
        <v>23.01</v>
      </c>
      <c r="I64" s="23">
        <v>25.08</v>
      </c>
      <c r="J64" s="23"/>
      <c r="K64" s="23">
        <v>6.32</v>
      </c>
    </row>
    <row r="65" spans="1:11" x14ac:dyDescent="0.3">
      <c r="A65" s="16" t="s">
        <v>173</v>
      </c>
      <c r="B65" s="56">
        <v>30.731188</v>
      </c>
      <c r="C65" s="57">
        <v>-86.801224000000005</v>
      </c>
      <c r="D65" s="46">
        <v>27105</v>
      </c>
      <c r="E65" s="21" t="s">
        <v>45</v>
      </c>
      <c r="F65" s="1" t="s">
        <v>171</v>
      </c>
      <c r="G65" s="23" t="s">
        <v>18</v>
      </c>
      <c r="H65" s="24">
        <v>23.08</v>
      </c>
      <c r="I65" s="24">
        <v>24.42</v>
      </c>
      <c r="J65" s="23">
        <v>38.1</v>
      </c>
      <c r="K65" s="24">
        <v>6.23</v>
      </c>
    </row>
    <row r="66" spans="1:11" ht="14.4" customHeight="1" x14ac:dyDescent="0.3">
      <c r="A66" s="16" t="s">
        <v>169</v>
      </c>
      <c r="B66" s="56">
        <v>30.731188</v>
      </c>
      <c r="C66" s="57">
        <v>-86.801224000000005</v>
      </c>
      <c r="D66" s="46">
        <v>27105</v>
      </c>
      <c r="E66" s="21" t="s">
        <v>45</v>
      </c>
      <c r="F66" s="1" t="s">
        <v>171</v>
      </c>
      <c r="G66" s="23" t="s">
        <v>18</v>
      </c>
      <c r="H66" s="24">
        <v>23.82</v>
      </c>
      <c r="I66" s="24">
        <v>25.09</v>
      </c>
      <c r="J66" s="23"/>
      <c r="K66" s="24">
        <v>6.62</v>
      </c>
    </row>
    <row r="67" spans="1:11" x14ac:dyDescent="0.3">
      <c r="A67" s="16" t="s">
        <v>80</v>
      </c>
      <c r="B67" s="57">
        <v>30.737445000000001</v>
      </c>
      <c r="C67" s="57">
        <v>-86.835058000000004</v>
      </c>
      <c r="D67" s="46">
        <v>27124</v>
      </c>
      <c r="E67" s="21" t="s">
        <v>45</v>
      </c>
      <c r="F67" s="1" t="s">
        <v>93</v>
      </c>
      <c r="G67" s="23" t="s">
        <v>18</v>
      </c>
      <c r="H67" s="23">
        <v>23.14</v>
      </c>
      <c r="I67" s="23">
        <v>25.26</v>
      </c>
      <c r="J67" s="23">
        <v>39.119999999999997</v>
      </c>
      <c r="K67" s="23">
        <v>6.38</v>
      </c>
    </row>
    <row r="68" spans="1:11" ht="14.4" customHeight="1" x14ac:dyDescent="0.3">
      <c r="A68" s="16" t="s">
        <v>81</v>
      </c>
      <c r="B68" s="57">
        <v>30.737445000000001</v>
      </c>
      <c r="C68" s="57">
        <v>-86.835058000000004</v>
      </c>
      <c r="D68" s="46">
        <v>27124</v>
      </c>
      <c r="E68" s="21" t="s">
        <v>45</v>
      </c>
      <c r="F68" s="1" t="s">
        <v>93</v>
      </c>
      <c r="G68" s="23" t="s">
        <v>20</v>
      </c>
      <c r="H68" s="23">
        <v>26.36</v>
      </c>
      <c r="I68" s="23">
        <v>27.48</v>
      </c>
      <c r="J68" s="23">
        <v>41.05</v>
      </c>
      <c r="K68" s="23">
        <v>7.06</v>
      </c>
    </row>
    <row r="69" spans="1:11" ht="14.4" customHeight="1" x14ac:dyDescent="0.3">
      <c r="A69" s="16" t="s">
        <v>82</v>
      </c>
      <c r="B69" s="57">
        <v>30.737445000000001</v>
      </c>
      <c r="C69" s="57">
        <v>-86.835058000000004</v>
      </c>
      <c r="D69" s="46">
        <v>27124</v>
      </c>
      <c r="E69" s="21" t="s">
        <v>45</v>
      </c>
      <c r="F69" s="1" t="s">
        <v>93</v>
      </c>
      <c r="G69" s="23" t="s">
        <v>18</v>
      </c>
      <c r="H69" s="24">
        <v>23.66</v>
      </c>
      <c r="I69" s="24">
        <v>24.96</v>
      </c>
      <c r="J69" s="23">
        <v>40.54</v>
      </c>
      <c r="K69" s="24">
        <v>6.63</v>
      </c>
    </row>
    <row r="70" spans="1:11" ht="14.4" customHeight="1" x14ac:dyDescent="0.3">
      <c r="A70" s="16" t="s">
        <v>126</v>
      </c>
      <c r="B70" s="57">
        <v>30.737445000000001</v>
      </c>
      <c r="C70" s="57">
        <v>-86.835058000000004</v>
      </c>
      <c r="D70" s="46">
        <v>27124</v>
      </c>
      <c r="E70" s="21" t="s">
        <v>45</v>
      </c>
      <c r="F70" s="1" t="s">
        <v>93</v>
      </c>
      <c r="G70" s="23" t="s">
        <v>18</v>
      </c>
      <c r="H70" s="24">
        <v>23.36</v>
      </c>
      <c r="I70" s="24">
        <v>25.33</v>
      </c>
      <c r="J70" s="23">
        <v>40.33</v>
      </c>
      <c r="K70" s="24">
        <v>6.26</v>
      </c>
    </row>
    <row r="71" spans="1:11" ht="14.4" customHeight="1" x14ac:dyDescent="0.3">
      <c r="A71" s="16" t="s">
        <v>155</v>
      </c>
      <c r="B71" s="57">
        <v>30.737445000000001</v>
      </c>
      <c r="C71" s="57">
        <v>-86.835058000000004</v>
      </c>
      <c r="D71" s="46">
        <v>27124</v>
      </c>
      <c r="E71" s="21" t="s">
        <v>45</v>
      </c>
      <c r="F71" s="1" t="s">
        <v>93</v>
      </c>
      <c r="G71" s="23" t="s">
        <v>20</v>
      </c>
      <c r="H71" s="24">
        <v>26.24</v>
      </c>
      <c r="I71" s="24">
        <v>27.93</v>
      </c>
      <c r="J71" s="23">
        <v>41.56</v>
      </c>
      <c r="K71" s="24">
        <v>6.79</v>
      </c>
    </row>
    <row r="72" spans="1:11" ht="14.4" customHeight="1" x14ac:dyDescent="0.3">
      <c r="A72" s="16" t="s">
        <v>103</v>
      </c>
      <c r="B72" s="56">
        <v>30.731188</v>
      </c>
      <c r="C72" s="57">
        <v>-86.801224000000005</v>
      </c>
      <c r="D72" s="46">
        <v>27124</v>
      </c>
      <c r="E72" s="21" t="s">
        <v>45</v>
      </c>
      <c r="F72" s="1" t="s">
        <v>95</v>
      </c>
      <c r="G72" s="23" t="s">
        <v>20</v>
      </c>
      <c r="H72" s="24">
        <v>25.87</v>
      </c>
      <c r="I72" s="23">
        <v>24.89</v>
      </c>
      <c r="J72" s="23">
        <v>39.869999999999997</v>
      </c>
      <c r="K72" s="23">
        <v>6.89</v>
      </c>
    </row>
    <row r="73" spans="1:11" ht="14.4" customHeight="1" x14ac:dyDescent="0.3">
      <c r="A73" s="16" t="s">
        <v>104</v>
      </c>
      <c r="B73" s="56">
        <v>30.731188</v>
      </c>
      <c r="C73" s="57">
        <v>-86.801224000000005</v>
      </c>
      <c r="D73" s="46">
        <v>27124</v>
      </c>
      <c r="E73" s="21" t="s">
        <v>45</v>
      </c>
      <c r="F73" s="1" t="s">
        <v>95</v>
      </c>
      <c r="G73" s="23" t="s">
        <v>18</v>
      </c>
      <c r="H73" s="24">
        <v>23.89</v>
      </c>
      <c r="I73" s="24">
        <v>25.69</v>
      </c>
      <c r="J73" s="23">
        <v>39.4</v>
      </c>
      <c r="K73" s="24">
        <v>7.25</v>
      </c>
    </row>
    <row r="74" spans="1:11" ht="14.4" customHeight="1" x14ac:dyDescent="0.3">
      <c r="A74" s="16" t="s">
        <v>101</v>
      </c>
      <c r="B74" s="57">
        <v>30.426304999999999</v>
      </c>
      <c r="C74" s="57">
        <v>-85.295137999999994</v>
      </c>
      <c r="D74" s="46">
        <v>27138</v>
      </c>
      <c r="E74" s="21" t="s">
        <v>69</v>
      </c>
      <c r="F74" s="1" t="s">
        <v>70</v>
      </c>
      <c r="G74" s="23" t="s">
        <v>18</v>
      </c>
      <c r="H74" s="23">
        <v>22.03</v>
      </c>
      <c r="I74" s="23">
        <v>23.09</v>
      </c>
      <c r="J74" s="23">
        <v>37.409999999999997</v>
      </c>
      <c r="K74" s="23">
        <v>6.76</v>
      </c>
    </row>
    <row r="75" spans="1:11" x14ac:dyDescent="0.3">
      <c r="A75" s="16" t="s">
        <v>102</v>
      </c>
      <c r="B75" s="57">
        <v>30.426304999999999</v>
      </c>
      <c r="C75" s="57">
        <v>-85.295137999999994</v>
      </c>
      <c r="D75" s="46">
        <v>27138</v>
      </c>
      <c r="E75" s="21" t="s">
        <v>69</v>
      </c>
      <c r="F75" s="1" t="s">
        <v>70</v>
      </c>
      <c r="G75" s="23" t="s">
        <v>20</v>
      </c>
      <c r="H75" s="23">
        <v>23.01</v>
      </c>
      <c r="I75" s="23">
        <v>24.54</v>
      </c>
      <c r="J75" s="23">
        <v>39.090000000000003</v>
      </c>
      <c r="K75" s="23">
        <v>6.29</v>
      </c>
    </row>
    <row r="76" spans="1:11" ht="14.4" customHeight="1" x14ac:dyDescent="0.3">
      <c r="A76" s="16" t="s">
        <v>115</v>
      </c>
      <c r="B76" s="57">
        <v>30.680869000000001</v>
      </c>
      <c r="C76" s="57">
        <v>-87.131867999999997</v>
      </c>
      <c r="D76" s="46">
        <v>27554</v>
      </c>
      <c r="E76" s="21" t="s">
        <v>45</v>
      </c>
      <c r="F76" s="1" t="s">
        <v>142</v>
      </c>
      <c r="G76" s="23" t="s">
        <v>18</v>
      </c>
      <c r="H76" s="23">
        <v>24.14</v>
      </c>
      <c r="I76" s="23">
        <v>25.33</v>
      </c>
      <c r="J76" s="23">
        <v>38.6</v>
      </c>
      <c r="K76" s="23">
        <v>6.55</v>
      </c>
    </row>
    <row r="77" spans="1:11" ht="28.8" x14ac:dyDescent="0.3">
      <c r="A77" s="25" t="s">
        <v>34</v>
      </c>
      <c r="B77" s="59">
        <v>36.059354999999996</v>
      </c>
      <c r="C77" s="59">
        <v>-84.792446999999996</v>
      </c>
      <c r="D77" s="48">
        <v>27893</v>
      </c>
      <c r="E77" s="26" t="s">
        <v>547</v>
      </c>
      <c r="F77" s="25" t="s">
        <v>35</v>
      </c>
      <c r="G77" s="27" t="s">
        <v>18</v>
      </c>
      <c r="H77" s="27">
        <v>23.47</v>
      </c>
      <c r="I77" s="28">
        <v>24.44</v>
      </c>
      <c r="J77" s="27">
        <v>39.47</v>
      </c>
      <c r="K77" s="27">
        <v>6.32</v>
      </c>
    </row>
    <row r="78" spans="1:11" ht="14.4" customHeight="1" x14ac:dyDescent="0.3">
      <c r="A78" s="16" t="s">
        <v>211</v>
      </c>
      <c r="B78" s="57">
        <v>30.779164000000002</v>
      </c>
      <c r="C78" s="57">
        <v>-87.170148999999995</v>
      </c>
      <c r="D78" s="46">
        <v>28937</v>
      </c>
      <c r="E78" s="21" t="s">
        <v>45</v>
      </c>
      <c r="F78" s="1" t="s">
        <v>213</v>
      </c>
      <c r="G78" s="23" t="s">
        <v>20</v>
      </c>
      <c r="H78" s="24">
        <v>24.68</v>
      </c>
      <c r="I78" s="24">
        <v>27.25</v>
      </c>
      <c r="J78" s="23">
        <v>40.76</v>
      </c>
      <c r="K78" s="24">
        <v>7.5</v>
      </c>
    </row>
    <row r="79" spans="1:11" x14ac:dyDescent="0.3">
      <c r="A79" s="16" t="s">
        <v>212</v>
      </c>
      <c r="B79" s="57">
        <v>30.779164000000002</v>
      </c>
      <c r="C79" s="57">
        <v>-87.170148999999995</v>
      </c>
      <c r="D79" s="46">
        <v>28937</v>
      </c>
      <c r="E79" s="21" t="s">
        <v>45</v>
      </c>
      <c r="F79" s="1" t="s">
        <v>213</v>
      </c>
      <c r="G79" s="23" t="s">
        <v>18</v>
      </c>
      <c r="H79" s="23">
        <v>24.16</v>
      </c>
      <c r="I79" s="23">
        <v>25.5</v>
      </c>
      <c r="J79" s="23">
        <v>40.89</v>
      </c>
      <c r="K79" s="23">
        <v>7.15</v>
      </c>
    </row>
    <row r="80" spans="1:11" x14ac:dyDescent="0.3">
      <c r="A80" s="16" t="s">
        <v>36</v>
      </c>
      <c r="B80" s="57">
        <v>30.895630000000001</v>
      </c>
      <c r="C80" s="57">
        <v>-86.302750000000003</v>
      </c>
      <c r="D80" s="46">
        <v>28938</v>
      </c>
      <c r="E80" s="21" t="s">
        <v>44</v>
      </c>
      <c r="F80" s="1" t="s">
        <v>47</v>
      </c>
      <c r="G80" s="23" t="s">
        <v>18</v>
      </c>
      <c r="H80" s="23">
        <v>23.79</v>
      </c>
      <c r="I80" s="23">
        <v>25.48</v>
      </c>
      <c r="J80" s="23">
        <v>41.29</v>
      </c>
      <c r="K80" s="23">
        <v>6.92</v>
      </c>
    </row>
    <row r="81" spans="1:11" x14ac:dyDescent="0.3">
      <c r="A81" s="16" t="s">
        <v>116</v>
      </c>
      <c r="B81" s="56">
        <v>30.731188</v>
      </c>
      <c r="C81" s="57">
        <v>-86.801224000000005</v>
      </c>
      <c r="D81" s="46">
        <v>29686</v>
      </c>
      <c r="E81" s="21" t="s">
        <v>45</v>
      </c>
      <c r="F81" s="1" t="s">
        <v>226</v>
      </c>
      <c r="G81" s="23" t="s">
        <v>18</v>
      </c>
      <c r="H81" s="23">
        <v>23.42</v>
      </c>
      <c r="I81" s="23">
        <v>25.25</v>
      </c>
      <c r="J81" s="23">
        <v>38.76</v>
      </c>
      <c r="K81" s="23">
        <v>6.86</v>
      </c>
    </row>
    <row r="82" spans="1:11" x14ac:dyDescent="0.3">
      <c r="A82" s="16" t="s">
        <v>197</v>
      </c>
      <c r="B82" s="57">
        <v>30.766278</v>
      </c>
      <c r="C82" s="57">
        <v>-86.635814999999994</v>
      </c>
      <c r="D82" s="46">
        <v>29687</v>
      </c>
      <c r="E82" s="21" t="s">
        <v>204</v>
      </c>
      <c r="F82" s="1" t="s">
        <v>205</v>
      </c>
      <c r="G82" s="23" t="s">
        <v>18</v>
      </c>
      <c r="H82" s="23">
        <v>21.64</v>
      </c>
      <c r="I82" s="23">
        <v>22.87</v>
      </c>
      <c r="J82" s="23">
        <v>36.590000000000003</v>
      </c>
      <c r="K82" s="23">
        <v>7.81</v>
      </c>
    </row>
    <row r="83" spans="1:11" x14ac:dyDescent="0.3">
      <c r="A83" s="16" t="s">
        <v>198</v>
      </c>
      <c r="B83" s="57">
        <v>30.766278</v>
      </c>
      <c r="C83" s="57">
        <v>-86.635814999999994</v>
      </c>
      <c r="D83" s="46">
        <v>29687</v>
      </c>
      <c r="E83" s="21" t="s">
        <v>204</v>
      </c>
      <c r="F83" s="1" t="s">
        <v>205</v>
      </c>
      <c r="G83" s="23" t="s">
        <v>20</v>
      </c>
      <c r="H83" s="23">
        <v>26.49</v>
      </c>
      <c r="I83" s="23">
        <v>29.45</v>
      </c>
      <c r="J83" s="23">
        <v>44.89</v>
      </c>
      <c r="K83" s="23">
        <v>7.7</v>
      </c>
    </row>
    <row r="84" spans="1:11" x14ac:dyDescent="0.3">
      <c r="A84" s="16" t="s">
        <v>85</v>
      </c>
      <c r="B84" s="56">
        <v>30.731188</v>
      </c>
      <c r="C84" s="57">
        <v>-86.801224000000005</v>
      </c>
      <c r="D84" s="46">
        <v>29688</v>
      </c>
      <c r="E84" s="21" t="s">
        <v>45</v>
      </c>
      <c r="F84" s="1" t="s">
        <v>95</v>
      </c>
      <c r="G84" s="23" t="s">
        <v>20</v>
      </c>
      <c r="H84" s="23">
        <v>24.61</v>
      </c>
      <c r="I84" s="23">
        <v>26.37</v>
      </c>
      <c r="J84" s="23">
        <v>39.64</v>
      </c>
      <c r="K84" s="23">
        <v>7.19</v>
      </c>
    </row>
    <row r="85" spans="1:11" x14ac:dyDescent="0.3">
      <c r="A85" s="16" t="s">
        <v>86</v>
      </c>
      <c r="B85" s="56">
        <v>30.731188</v>
      </c>
      <c r="C85" s="57">
        <v>-86.801224000000005</v>
      </c>
      <c r="D85" s="46">
        <v>29688</v>
      </c>
      <c r="E85" s="21" t="s">
        <v>45</v>
      </c>
      <c r="F85" s="1" t="s">
        <v>95</v>
      </c>
      <c r="G85" s="23" t="s">
        <v>18</v>
      </c>
      <c r="H85" s="24">
        <v>22.95</v>
      </c>
      <c r="I85" s="24">
        <v>24.32</v>
      </c>
      <c r="J85" s="23">
        <v>37.94</v>
      </c>
      <c r="K85" s="24">
        <v>6.49</v>
      </c>
    </row>
    <row r="86" spans="1:11" x14ac:dyDescent="0.3">
      <c r="A86" s="16" t="s">
        <v>59</v>
      </c>
      <c r="B86" s="57">
        <v>30.426304999999999</v>
      </c>
      <c r="C86" s="57">
        <v>-85.295137999999994</v>
      </c>
      <c r="D86" s="46">
        <v>29708</v>
      </c>
      <c r="E86" s="21" t="s">
        <v>69</v>
      </c>
      <c r="F86" s="1" t="s">
        <v>71</v>
      </c>
      <c r="G86" s="23" t="s">
        <v>20</v>
      </c>
      <c r="H86" s="23">
        <v>23.68</v>
      </c>
      <c r="I86" s="23">
        <v>25.56</v>
      </c>
      <c r="J86" s="23">
        <v>39.81</v>
      </c>
      <c r="K86" s="23">
        <v>7.54</v>
      </c>
    </row>
    <row r="87" spans="1:11" x14ac:dyDescent="0.3">
      <c r="A87" s="16" t="s">
        <v>60</v>
      </c>
      <c r="B87" s="57">
        <v>30.426304999999999</v>
      </c>
      <c r="C87" s="57">
        <v>-85.295137999999994</v>
      </c>
      <c r="D87" s="46">
        <v>29708</v>
      </c>
      <c r="E87" s="21" t="s">
        <v>69</v>
      </c>
      <c r="F87" s="1" t="s">
        <v>71</v>
      </c>
      <c r="G87" s="23" t="s">
        <v>18</v>
      </c>
      <c r="H87" s="23">
        <v>21.49</v>
      </c>
      <c r="I87" s="23">
        <v>23.48</v>
      </c>
      <c r="J87" s="23">
        <v>38.43</v>
      </c>
      <c r="K87" s="23">
        <v>7.44</v>
      </c>
    </row>
    <row r="88" spans="1:11" x14ac:dyDescent="0.3">
      <c r="A88" s="16" t="s">
        <v>201</v>
      </c>
      <c r="B88" s="57">
        <v>30.426304999999999</v>
      </c>
      <c r="C88" s="57">
        <v>-85.295137999999994</v>
      </c>
      <c r="D88" s="46">
        <v>29712</v>
      </c>
      <c r="E88" s="21" t="s">
        <v>69</v>
      </c>
      <c r="F88" s="1" t="s">
        <v>70</v>
      </c>
      <c r="G88" s="23" t="s">
        <v>18</v>
      </c>
      <c r="H88" s="23">
        <v>21.61</v>
      </c>
      <c r="I88" s="23">
        <v>23.78</v>
      </c>
      <c r="J88" s="23">
        <v>37.21</v>
      </c>
      <c r="K88" s="23">
        <v>7.86</v>
      </c>
    </row>
    <row r="89" spans="1:11" x14ac:dyDescent="0.3">
      <c r="A89" s="16" t="s">
        <v>202</v>
      </c>
      <c r="B89" s="57">
        <v>30.426304999999999</v>
      </c>
      <c r="C89" s="57">
        <v>-85.295137999999994</v>
      </c>
      <c r="D89" s="46">
        <v>29712</v>
      </c>
      <c r="E89" s="21" t="s">
        <v>69</v>
      </c>
      <c r="F89" s="1" t="s">
        <v>70</v>
      </c>
      <c r="G89" s="23" t="s">
        <v>20</v>
      </c>
      <c r="H89" s="24">
        <v>24.5</v>
      </c>
      <c r="I89" s="24">
        <v>25.8</v>
      </c>
      <c r="J89" s="23">
        <v>39.68</v>
      </c>
      <c r="K89" s="24">
        <v>7.13</v>
      </c>
    </row>
    <row r="90" spans="1:11" ht="14.4" customHeight="1" x14ac:dyDescent="0.3">
      <c r="A90" s="16" t="s">
        <v>209</v>
      </c>
      <c r="B90" s="57">
        <v>30.426304999999999</v>
      </c>
      <c r="C90" s="57">
        <v>-85.295137999999994</v>
      </c>
      <c r="D90" s="46">
        <v>29712</v>
      </c>
      <c r="E90" s="21" t="s">
        <v>69</v>
      </c>
      <c r="F90" s="1" t="s">
        <v>70</v>
      </c>
      <c r="G90" s="23" t="s">
        <v>18</v>
      </c>
      <c r="H90" s="23">
        <v>23.46</v>
      </c>
      <c r="I90" s="23">
        <v>24.92</v>
      </c>
      <c r="J90" s="23">
        <v>39.6</v>
      </c>
      <c r="K90" s="23">
        <v>6.73</v>
      </c>
    </row>
    <row r="91" spans="1:11" x14ac:dyDescent="0.3">
      <c r="A91" s="16" t="s">
        <v>210</v>
      </c>
      <c r="B91" s="57">
        <v>30.426304999999999</v>
      </c>
      <c r="C91" s="57">
        <v>-85.295137999999994</v>
      </c>
      <c r="D91" s="46">
        <v>29712</v>
      </c>
      <c r="E91" s="21" t="s">
        <v>69</v>
      </c>
      <c r="F91" s="1" t="s">
        <v>70</v>
      </c>
      <c r="G91" s="23" t="s">
        <v>20</v>
      </c>
      <c r="H91" s="24">
        <v>24.37</v>
      </c>
      <c r="I91" s="24">
        <v>25.72</v>
      </c>
      <c r="J91" s="23">
        <v>38.71</v>
      </c>
      <c r="K91" s="24">
        <v>6.92</v>
      </c>
    </row>
    <row r="92" spans="1:11" x14ac:dyDescent="0.3">
      <c r="A92" s="1" t="s">
        <v>7</v>
      </c>
      <c r="B92" s="57">
        <v>31.028462999999999</v>
      </c>
      <c r="C92" s="57">
        <v>-86.708842000000004</v>
      </c>
      <c r="D92" s="46">
        <v>29714</v>
      </c>
      <c r="E92" s="21" t="s">
        <v>15</v>
      </c>
      <c r="F92" s="1" t="s">
        <v>19</v>
      </c>
      <c r="G92" s="23" t="s">
        <v>18</v>
      </c>
      <c r="H92" s="24">
        <v>22.97</v>
      </c>
      <c r="I92" s="24">
        <v>24.55</v>
      </c>
      <c r="J92" s="23">
        <v>38.229999999999997</v>
      </c>
      <c r="K92" s="24">
        <v>6.46</v>
      </c>
    </row>
    <row r="93" spans="1:11" x14ac:dyDescent="0.3">
      <c r="A93" s="1" t="s">
        <v>8</v>
      </c>
      <c r="B93" s="57">
        <v>31.028462999999999</v>
      </c>
      <c r="C93" s="57">
        <v>-86.708842000000004</v>
      </c>
      <c r="D93" s="46">
        <v>29714</v>
      </c>
      <c r="E93" s="21" t="s">
        <v>15</v>
      </c>
      <c r="F93" s="1" t="s">
        <v>19</v>
      </c>
      <c r="G93" s="23" t="s">
        <v>20</v>
      </c>
      <c r="H93" s="23">
        <v>25.58</v>
      </c>
      <c r="I93" s="23">
        <v>26.95</v>
      </c>
      <c r="J93" s="23">
        <v>39.479999999999997</v>
      </c>
      <c r="K93" s="23">
        <v>6.84</v>
      </c>
    </row>
    <row r="94" spans="1:11" x14ac:dyDescent="0.3">
      <c r="A94" s="1" t="s">
        <v>10</v>
      </c>
      <c r="B94" s="57">
        <v>31.028462999999999</v>
      </c>
      <c r="C94" s="57">
        <v>-86.708842000000004</v>
      </c>
      <c r="D94" s="46">
        <v>29714</v>
      </c>
      <c r="E94" s="21" t="s">
        <v>15</v>
      </c>
      <c r="F94" s="1" t="s">
        <v>215</v>
      </c>
      <c r="G94" s="23" t="s">
        <v>20</v>
      </c>
      <c r="H94" s="24">
        <v>25.52</v>
      </c>
      <c r="I94" s="24">
        <v>27.24</v>
      </c>
      <c r="J94" s="23">
        <v>41.1</v>
      </c>
      <c r="K94" s="24">
        <v>6.9</v>
      </c>
    </row>
    <row r="95" spans="1:11" x14ac:dyDescent="0.3">
      <c r="A95" s="1" t="s">
        <v>11</v>
      </c>
      <c r="B95" s="57">
        <v>31.028462999999999</v>
      </c>
      <c r="C95" s="57">
        <v>-86.708842000000004</v>
      </c>
      <c r="D95" s="46">
        <v>29714</v>
      </c>
      <c r="E95" s="21" t="s">
        <v>15</v>
      </c>
      <c r="F95" s="1" t="s">
        <v>215</v>
      </c>
      <c r="G95" s="23" t="s">
        <v>20</v>
      </c>
      <c r="H95" s="24">
        <v>25.87</v>
      </c>
      <c r="I95" s="24">
        <v>27.92</v>
      </c>
      <c r="J95" s="23">
        <v>41.12</v>
      </c>
      <c r="K95" s="24">
        <v>6.93</v>
      </c>
    </row>
    <row r="96" spans="1:11" x14ac:dyDescent="0.3">
      <c r="A96" s="1" t="s">
        <v>12</v>
      </c>
      <c r="B96" s="57">
        <v>31.028462999999999</v>
      </c>
      <c r="C96" s="57">
        <v>-86.708842000000004</v>
      </c>
      <c r="D96" s="46">
        <v>29714</v>
      </c>
      <c r="E96" s="21" t="s">
        <v>15</v>
      </c>
      <c r="F96" s="1" t="s">
        <v>215</v>
      </c>
      <c r="G96" s="23" t="s">
        <v>18</v>
      </c>
      <c r="H96" s="24">
        <v>23.85</v>
      </c>
      <c r="I96" s="24">
        <v>24.56</v>
      </c>
      <c r="J96" s="23">
        <v>38.72</v>
      </c>
      <c r="K96" s="24">
        <v>6.46</v>
      </c>
    </row>
    <row r="97" spans="1:11" x14ac:dyDescent="0.3">
      <c r="A97" s="1" t="s">
        <v>13</v>
      </c>
      <c r="B97" s="57">
        <v>31.028462999999999</v>
      </c>
      <c r="C97" s="57">
        <v>-86.708842000000004</v>
      </c>
      <c r="D97" s="46">
        <v>29714</v>
      </c>
      <c r="E97" s="21" t="s">
        <v>15</v>
      </c>
      <c r="F97" s="1" t="s">
        <v>215</v>
      </c>
      <c r="G97" s="23" t="s">
        <v>18</v>
      </c>
      <c r="H97" s="29">
        <v>23.85</v>
      </c>
      <c r="I97" s="23">
        <v>24.54</v>
      </c>
      <c r="J97" s="23">
        <v>38.42</v>
      </c>
      <c r="K97" s="23">
        <v>6.77</v>
      </c>
    </row>
    <row r="98" spans="1:11" ht="14.4" customHeight="1" x14ac:dyDescent="0.3">
      <c r="A98" s="1" t="s">
        <v>14</v>
      </c>
      <c r="B98" s="57">
        <v>31.028462999999999</v>
      </c>
      <c r="C98" s="57">
        <v>-86.708842000000004</v>
      </c>
      <c r="D98" s="46">
        <v>29714</v>
      </c>
      <c r="E98" s="21" t="s">
        <v>15</v>
      </c>
      <c r="F98" s="1" t="s">
        <v>215</v>
      </c>
      <c r="G98" s="23" t="s">
        <v>20</v>
      </c>
      <c r="H98" s="24">
        <v>25.52</v>
      </c>
      <c r="I98" s="24">
        <v>26.88</v>
      </c>
      <c r="J98" s="23">
        <v>39.33</v>
      </c>
      <c r="K98" s="24">
        <v>6.82</v>
      </c>
    </row>
    <row r="99" spans="1:11" x14ac:dyDescent="0.3">
      <c r="A99" s="1" t="s">
        <v>21</v>
      </c>
      <c r="B99" s="57">
        <v>31.028462999999999</v>
      </c>
      <c r="C99" s="57">
        <v>-86.708842000000004</v>
      </c>
      <c r="D99" s="46">
        <v>29714</v>
      </c>
      <c r="E99" s="21" t="s">
        <v>15</v>
      </c>
      <c r="F99" s="1" t="s">
        <v>215</v>
      </c>
      <c r="G99" s="23" t="s">
        <v>20</v>
      </c>
      <c r="H99" s="24">
        <v>24.82</v>
      </c>
      <c r="I99" s="24">
        <v>26.07</v>
      </c>
      <c r="J99" s="23">
        <v>38.119999999999997</v>
      </c>
      <c r="K99" s="24">
        <v>6.24</v>
      </c>
    </row>
    <row r="100" spans="1:11" x14ac:dyDescent="0.3">
      <c r="A100" s="16" t="s">
        <v>195</v>
      </c>
      <c r="B100" s="57">
        <v>30.426304999999999</v>
      </c>
      <c r="C100" s="57">
        <v>-85.295137999999994</v>
      </c>
      <c r="D100" s="46">
        <v>29715</v>
      </c>
      <c r="E100" s="21" t="s">
        <v>69</v>
      </c>
      <c r="F100" s="1" t="s">
        <v>111</v>
      </c>
      <c r="G100" s="23" t="s">
        <v>18</v>
      </c>
      <c r="H100" s="23">
        <v>22.46</v>
      </c>
      <c r="I100" s="23">
        <v>24.1</v>
      </c>
      <c r="J100" s="23">
        <v>38.21</v>
      </c>
      <c r="K100" s="23">
        <v>7.32</v>
      </c>
    </row>
    <row r="101" spans="1:11" x14ac:dyDescent="0.3">
      <c r="A101" s="16" t="s">
        <v>61</v>
      </c>
      <c r="B101" s="57">
        <v>30.426304999999999</v>
      </c>
      <c r="C101" s="57">
        <v>-85.295137999999994</v>
      </c>
      <c r="D101" s="46">
        <v>29715</v>
      </c>
      <c r="E101" s="21" t="s">
        <v>69</v>
      </c>
      <c r="F101" s="1" t="s">
        <v>71</v>
      </c>
      <c r="G101" s="23" t="s">
        <v>18</v>
      </c>
      <c r="H101" s="23">
        <v>21.82</v>
      </c>
      <c r="I101" s="23">
        <v>23.21</v>
      </c>
      <c r="J101" s="23">
        <v>36.19</v>
      </c>
      <c r="K101" s="23">
        <v>6.62</v>
      </c>
    </row>
    <row r="102" spans="1:11" ht="14.4" customHeight="1" x14ac:dyDescent="0.3">
      <c r="A102" s="16" t="s">
        <v>199</v>
      </c>
      <c r="B102" s="57">
        <v>30.525044999999999</v>
      </c>
      <c r="C102" s="57">
        <v>-84.969880000000003</v>
      </c>
      <c r="D102" s="46">
        <v>29716</v>
      </c>
      <c r="E102" s="21" t="s">
        <v>89</v>
      </c>
      <c r="F102" s="1" t="s">
        <v>206</v>
      </c>
      <c r="G102" s="23" t="s">
        <v>20</v>
      </c>
      <c r="H102" s="23">
        <v>28.98</v>
      </c>
      <c r="I102" s="23">
        <v>30.08</v>
      </c>
      <c r="J102" s="23">
        <v>46.34</v>
      </c>
      <c r="K102" s="23">
        <v>7.11</v>
      </c>
    </row>
    <row r="103" spans="1:11" x14ac:dyDescent="0.3">
      <c r="A103" s="16" t="s">
        <v>200</v>
      </c>
      <c r="B103" s="57">
        <v>30.525044999999999</v>
      </c>
      <c r="C103" s="57">
        <v>-84.969880000000003</v>
      </c>
      <c r="D103" s="46">
        <v>29716</v>
      </c>
      <c r="E103" s="21" t="s">
        <v>89</v>
      </c>
      <c r="F103" s="1" t="s">
        <v>206</v>
      </c>
      <c r="G103" s="23" t="s">
        <v>18</v>
      </c>
      <c r="H103" s="23">
        <v>25.6</v>
      </c>
      <c r="I103" s="23">
        <v>27.66</v>
      </c>
      <c r="J103" s="23">
        <v>43.87</v>
      </c>
      <c r="K103" s="23">
        <v>7.41</v>
      </c>
    </row>
    <row r="104" spans="1:11" ht="14.4" customHeight="1" x14ac:dyDescent="0.3">
      <c r="A104" s="16" t="s">
        <v>196</v>
      </c>
      <c r="B104" s="57">
        <v>30.426304999999999</v>
      </c>
      <c r="C104" s="57">
        <v>-85.295137999999994</v>
      </c>
      <c r="D104" s="46">
        <v>30058</v>
      </c>
      <c r="E104" s="21" t="s">
        <v>69</v>
      </c>
      <c r="F104" s="1" t="s">
        <v>111</v>
      </c>
      <c r="G104" s="23" t="s">
        <v>18</v>
      </c>
      <c r="H104" s="23">
        <v>21.29</v>
      </c>
      <c r="I104" s="23">
        <v>23.09</v>
      </c>
      <c r="J104" s="23">
        <v>37.47</v>
      </c>
      <c r="K104" s="23">
        <v>6.85</v>
      </c>
    </row>
    <row r="105" spans="1:11" x14ac:dyDescent="0.3">
      <c r="A105" s="16" t="s">
        <v>97</v>
      </c>
      <c r="B105" s="57">
        <v>30.426304999999999</v>
      </c>
      <c r="C105" s="57">
        <v>-85.295137999999994</v>
      </c>
      <c r="D105" s="46">
        <v>30058</v>
      </c>
      <c r="E105" s="21" t="s">
        <v>69</v>
      </c>
      <c r="F105" s="1" t="s">
        <v>111</v>
      </c>
      <c r="G105" s="23" t="s">
        <v>18</v>
      </c>
      <c r="H105" s="23">
        <v>23</v>
      </c>
      <c r="I105" s="23">
        <v>24.02</v>
      </c>
      <c r="J105" s="23">
        <v>38.39</v>
      </c>
      <c r="K105" s="23">
        <v>6.57</v>
      </c>
    </row>
    <row r="106" spans="1:11" ht="14.4" customHeight="1" x14ac:dyDescent="0.3">
      <c r="A106" s="16" t="s">
        <v>98</v>
      </c>
      <c r="B106" s="57">
        <v>30.426304999999999</v>
      </c>
      <c r="C106" s="57">
        <v>-85.295137999999994</v>
      </c>
      <c r="D106" s="46">
        <v>30058</v>
      </c>
      <c r="E106" s="21" t="s">
        <v>69</v>
      </c>
      <c r="F106" s="1" t="s">
        <v>111</v>
      </c>
      <c r="G106" s="23" t="s">
        <v>20</v>
      </c>
      <c r="H106" s="23">
        <v>26.56</v>
      </c>
      <c r="I106" s="23">
        <v>28</v>
      </c>
      <c r="J106" s="23">
        <v>41.75</v>
      </c>
      <c r="K106" s="23">
        <v>6.81</v>
      </c>
    </row>
    <row r="107" spans="1:11" x14ac:dyDescent="0.3">
      <c r="A107" s="16" t="s">
        <v>83</v>
      </c>
      <c r="B107" s="57">
        <v>30.426304999999999</v>
      </c>
      <c r="C107" s="57">
        <v>-85.295137999999994</v>
      </c>
      <c r="D107" s="46">
        <v>30472</v>
      </c>
      <c r="E107" s="21" t="s">
        <v>69</v>
      </c>
      <c r="F107" s="1" t="s">
        <v>94</v>
      </c>
      <c r="G107" s="23" t="s">
        <v>18</v>
      </c>
      <c r="H107" s="23">
        <v>22.51</v>
      </c>
      <c r="I107" s="23">
        <v>23.61</v>
      </c>
      <c r="J107" s="23">
        <v>37.020000000000003</v>
      </c>
      <c r="K107" s="23">
        <v>6.48</v>
      </c>
    </row>
    <row r="108" spans="1:11" ht="14.4" customHeight="1" x14ac:dyDescent="0.3">
      <c r="A108" s="16" t="s">
        <v>84</v>
      </c>
      <c r="B108" s="57">
        <v>30.426304999999999</v>
      </c>
      <c r="C108" s="57">
        <v>-85.295137999999994</v>
      </c>
      <c r="D108" s="46">
        <v>30472</v>
      </c>
      <c r="E108" s="21" t="s">
        <v>69</v>
      </c>
      <c r="F108" s="1" t="s">
        <v>94</v>
      </c>
      <c r="G108" s="23" t="s">
        <v>20</v>
      </c>
      <c r="H108" s="29">
        <v>24.38</v>
      </c>
      <c r="I108" s="24">
        <v>25.96</v>
      </c>
      <c r="J108" s="23">
        <v>39.14</v>
      </c>
      <c r="K108" s="24">
        <v>6.93</v>
      </c>
    </row>
    <row r="109" spans="1:11" x14ac:dyDescent="0.3">
      <c r="A109" s="16" t="s">
        <v>87</v>
      </c>
      <c r="B109" s="57">
        <v>30.426304999999999</v>
      </c>
      <c r="C109" s="57">
        <v>-85.295137999999994</v>
      </c>
      <c r="D109" s="46">
        <v>30472</v>
      </c>
      <c r="E109" s="21" t="s">
        <v>69</v>
      </c>
      <c r="F109" s="1" t="s">
        <v>94</v>
      </c>
      <c r="G109" s="23" t="s">
        <v>18</v>
      </c>
      <c r="H109" s="23">
        <v>21.19</v>
      </c>
      <c r="I109" s="23">
        <v>22.6</v>
      </c>
      <c r="J109" s="23">
        <v>37.270000000000003</v>
      </c>
      <c r="K109" s="23">
        <v>6.51</v>
      </c>
    </row>
    <row r="110" spans="1:11" ht="14.4" customHeight="1" x14ac:dyDescent="0.3">
      <c r="A110" s="16" t="s">
        <v>88</v>
      </c>
      <c r="B110" s="57">
        <v>30.426304999999999</v>
      </c>
      <c r="C110" s="57">
        <v>-85.295137999999994</v>
      </c>
      <c r="D110" s="46">
        <v>30472</v>
      </c>
      <c r="E110" s="21" t="s">
        <v>69</v>
      </c>
      <c r="F110" s="1" t="s">
        <v>94</v>
      </c>
      <c r="G110" s="23" t="s">
        <v>20</v>
      </c>
      <c r="H110" s="24">
        <v>24.29</v>
      </c>
      <c r="I110" s="24">
        <v>25.41</v>
      </c>
      <c r="J110" s="23">
        <v>37.53</v>
      </c>
      <c r="K110" s="24">
        <v>6.92</v>
      </c>
    </row>
    <row r="111" spans="1:11" x14ac:dyDescent="0.3">
      <c r="A111" s="16" t="s">
        <v>138</v>
      </c>
      <c r="B111" s="57">
        <v>30.426304999999999</v>
      </c>
      <c r="C111" s="57">
        <v>-85.295137999999994</v>
      </c>
      <c r="D111" s="46">
        <v>30472</v>
      </c>
      <c r="E111" s="21" t="s">
        <v>69</v>
      </c>
      <c r="F111" s="1" t="s">
        <v>94</v>
      </c>
      <c r="G111" s="23" t="s">
        <v>20</v>
      </c>
      <c r="H111" s="23">
        <v>23.33</v>
      </c>
      <c r="I111" s="23">
        <v>25.01</v>
      </c>
      <c r="J111" s="23">
        <v>38.020000000000003</v>
      </c>
      <c r="K111" s="23">
        <v>7.76</v>
      </c>
    </row>
    <row r="112" spans="1:11" ht="14.4" customHeight="1" x14ac:dyDescent="0.3">
      <c r="A112" s="16" t="s">
        <v>186</v>
      </c>
      <c r="B112" s="56">
        <v>30.731188</v>
      </c>
      <c r="C112" s="57">
        <v>-86.801224000000005</v>
      </c>
      <c r="D112" s="46">
        <v>30778</v>
      </c>
      <c r="E112" s="21" t="s">
        <v>45</v>
      </c>
      <c r="F112" s="1" t="s">
        <v>221</v>
      </c>
      <c r="G112" s="23" t="s">
        <v>18</v>
      </c>
      <c r="H112" s="23">
        <v>22.77</v>
      </c>
      <c r="I112" s="23">
        <v>24.26</v>
      </c>
      <c r="J112" s="23">
        <v>39.409999999999997</v>
      </c>
      <c r="K112" s="23">
        <v>7.41</v>
      </c>
    </row>
    <row r="113" spans="1:11" x14ac:dyDescent="0.3">
      <c r="A113" s="16" t="s">
        <v>105</v>
      </c>
      <c r="B113" s="56">
        <v>30.731188</v>
      </c>
      <c r="C113" s="57">
        <v>-86.801224000000005</v>
      </c>
      <c r="D113" s="46">
        <v>30778</v>
      </c>
      <c r="E113" s="21" t="s">
        <v>45</v>
      </c>
      <c r="F113" s="1" t="s">
        <v>221</v>
      </c>
      <c r="G113" s="23" t="s">
        <v>20</v>
      </c>
      <c r="H113" s="23">
        <v>26.19</v>
      </c>
      <c r="I113" s="23">
        <v>27.61</v>
      </c>
      <c r="J113" s="23">
        <v>42.65</v>
      </c>
      <c r="K113" s="23">
        <v>7.31</v>
      </c>
    </row>
    <row r="114" spans="1:11" ht="14.4" customHeight="1" x14ac:dyDescent="0.3">
      <c r="A114" s="16" t="s">
        <v>156</v>
      </c>
      <c r="B114" s="56">
        <v>30.731188</v>
      </c>
      <c r="C114" s="57">
        <v>-86.801224000000005</v>
      </c>
      <c r="D114" s="46">
        <v>31879</v>
      </c>
      <c r="E114" s="21" t="s">
        <v>45</v>
      </c>
      <c r="F114" s="1" t="s">
        <v>170</v>
      </c>
      <c r="G114" s="23" t="s">
        <v>18</v>
      </c>
      <c r="H114" s="23">
        <v>23.4</v>
      </c>
      <c r="I114" s="23">
        <v>25.24</v>
      </c>
      <c r="J114" s="23">
        <v>40.22</v>
      </c>
      <c r="K114" s="23">
        <v>7.18</v>
      </c>
    </row>
    <row r="115" spans="1:11" x14ac:dyDescent="0.3">
      <c r="A115" s="1" t="s">
        <v>22</v>
      </c>
      <c r="B115" s="57">
        <v>32.389311999999997</v>
      </c>
      <c r="C115" s="57">
        <v>-84.297135999999995</v>
      </c>
      <c r="D115" s="46">
        <v>31927</v>
      </c>
      <c r="E115" s="21" t="s">
        <v>26</v>
      </c>
      <c r="F115" s="1" t="s">
        <v>27</v>
      </c>
      <c r="G115" s="23" t="s">
        <v>20</v>
      </c>
      <c r="H115" s="23">
        <v>27.02</v>
      </c>
      <c r="I115" s="23">
        <v>28.81</v>
      </c>
      <c r="J115" s="23">
        <v>43.09</v>
      </c>
      <c r="K115" s="23">
        <v>7.39</v>
      </c>
    </row>
    <row r="116" spans="1:11" ht="14.4" customHeight="1" x14ac:dyDescent="0.3">
      <c r="A116" s="1" t="s">
        <v>23</v>
      </c>
      <c r="B116" s="57">
        <v>32.389311999999997</v>
      </c>
      <c r="C116" s="57">
        <v>-84.297135999999995</v>
      </c>
      <c r="D116" s="46">
        <v>31927</v>
      </c>
      <c r="E116" s="21" t="s">
        <v>26</v>
      </c>
      <c r="F116" s="1" t="s">
        <v>27</v>
      </c>
      <c r="G116" s="23" t="s">
        <v>20</v>
      </c>
      <c r="H116" s="23">
        <v>26.18</v>
      </c>
      <c r="I116" s="23">
        <v>27.65</v>
      </c>
      <c r="J116" s="23">
        <v>42.46</v>
      </c>
      <c r="K116" s="23">
        <v>7.2</v>
      </c>
    </row>
    <row r="117" spans="1:11" x14ac:dyDescent="0.3">
      <c r="A117" s="1" t="s">
        <v>24</v>
      </c>
      <c r="B117" s="57">
        <v>32.389311999999997</v>
      </c>
      <c r="C117" s="57">
        <v>-84.297135999999995</v>
      </c>
      <c r="D117" s="46">
        <v>31927</v>
      </c>
      <c r="E117" s="21" t="s">
        <v>26</v>
      </c>
      <c r="F117" s="1" t="s">
        <v>27</v>
      </c>
      <c r="G117" s="23" t="s">
        <v>18</v>
      </c>
      <c r="H117" s="23">
        <v>24.4</v>
      </c>
      <c r="I117" s="23">
        <v>26.07</v>
      </c>
      <c r="J117" s="23">
        <v>42.64</v>
      </c>
      <c r="K117" s="23">
        <v>7.37</v>
      </c>
    </row>
    <row r="118" spans="1:11" ht="14.4" customHeight="1" x14ac:dyDescent="0.3">
      <c r="A118" s="1" t="s">
        <v>25</v>
      </c>
      <c r="B118" s="57">
        <v>32.389311999999997</v>
      </c>
      <c r="C118" s="57">
        <v>-84.297135999999995</v>
      </c>
      <c r="D118" s="46">
        <v>31927</v>
      </c>
      <c r="E118" s="21" t="s">
        <v>26</v>
      </c>
      <c r="F118" s="1" t="s">
        <v>27</v>
      </c>
      <c r="G118" s="23" t="s">
        <v>18</v>
      </c>
      <c r="H118" s="23">
        <v>26.07</v>
      </c>
      <c r="I118" s="23">
        <v>27.67</v>
      </c>
      <c r="J118" s="23">
        <v>42.3</v>
      </c>
      <c r="K118" s="23">
        <v>7.04</v>
      </c>
    </row>
    <row r="119" spans="1:11" x14ac:dyDescent="0.3">
      <c r="A119" s="1" t="s">
        <v>28</v>
      </c>
      <c r="B119" s="57">
        <v>32.389311999999997</v>
      </c>
      <c r="C119" s="57">
        <v>-84.297135999999995</v>
      </c>
      <c r="D119" s="46">
        <v>31927</v>
      </c>
      <c r="E119" s="21" t="s">
        <v>26</v>
      </c>
      <c r="F119" s="1" t="s">
        <v>27</v>
      </c>
      <c r="G119" s="23" t="s">
        <v>18</v>
      </c>
      <c r="H119" s="23">
        <v>24.75</v>
      </c>
      <c r="I119" s="23">
        <v>26.21</v>
      </c>
      <c r="J119" s="23">
        <v>40.869999999999997</v>
      </c>
      <c r="K119" s="23">
        <v>7.23</v>
      </c>
    </row>
    <row r="120" spans="1:11" ht="14.4" customHeight="1" x14ac:dyDescent="0.3">
      <c r="A120" s="1" t="s">
        <v>29</v>
      </c>
      <c r="B120" s="57">
        <v>32.389311999999997</v>
      </c>
      <c r="C120" s="57">
        <v>-84.297135999999995</v>
      </c>
      <c r="D120" s="46">
        <v>31927</v>
      </c>
      <c r="E120" s="21" t="s">
        <v>26</v>
      </c>
      <c r="F120" s="1" t="s">
        <v>27</v>
      </c>
      <c r="G120" s="23" t="s">
        <v>18</v>
      </c>
      <c r="H120" s="23">
        <v>25.72</v>
      </c>
      <c r="I120" s="23">
        <v>26.99</v>
      </c>
      <c r="J120" s="23">
        <v>40.659999999999997</v>
      </c>
      <c r="K120" s="23">
        <v>6.83</v>
      </c>
    </row>
    <row r="121" spans="1:11" x14ac:dyDescent="0.3">
      <c r="A121" s="1" t="s">
        <v>30</v>
      </c>
      <c r="B121" s="57">
        <v>32.389311999999997</v>
      </c>
      <c r="C121" s="57">
        <v>-84.297135999999995</v>
      </c>
      <c r="D121" s="46">
        <v>31927</v>
      </c>
      <c r="E121" s="21" t="s">
        <v>26</v>
      </c>
      <c r="F121" s="1" t="s">
        <v>27</v>
      </c>
      <c r="G121" s="23" t="s">
        <v>18</v>
      </c>
      <c r="H121" s="23">
        <v>24.77</v>
      </c>
      <c r="I121" s="23">
        <v>26.5</v>
      </c>
      <c r="J121" s="23">
        <v>40.22</v>
      </c>
      <c r="K121" s="23">
        <v>7.06</v>
      </c>
    </row>
    <row r="122" spans="1:11" ht="14.4" customHeight="1" x14ac:dyDescent="0.3">
      <c r="A122" s="1" t="s">
        <v>31</v>
      </c>
      <c r="B122" s="57">
        <v>32.389311999999997</v>
      </c>
      <c r="C122" s="57">
        <v>-84.297135999999995</v>
      </c>
      <c r="D122" s="46">
        <v>31927</v>
      </c>
      <c r="E122" s="21" t="s">
        <v>26</v>
      </c>
      <c r="F122" s="1" t="s">
        <v>27</v>
      </c>
      <c r="G122" s="23" t="s">
        <v>18</v>
      </c>
      <c r="H122" s="23">
        <v>24.75</v>
      </c>
      <c r="I122" s="23">
        <v>25.96</v>
      </c>
      <c r="J122" s="23">
        <v>40.68</v>
      </c>
      <c r="K122" s="23">
        <v>7.4</v>
      </c>
    </row>
    <row r="123" spans="1:11" x14ac:dyDescent="0.3">
      <c r="A123" s="1" t="s">
        <v>684</v>
      </c>
      <c r="B123" s="57">
        <v>32.389311999999997</v>
      </c>
      <c r="C123" s="57">
        <v>-84.297135999999995</v>
      </c>
      <c r="D123" s="46">
        <v>31927</v>
      </c>
      <c r="E123" s="21" t="s">
        <v>26</v>
      </c>
      <c r="F123" s="1" t="s">
        <v>27</v>
      </c>
      <c r="G123" s="23" t="s">
        <v>20</v>
      </c>
      <c r="H123" s="23">
        <v>28.21</v>
      </c>
      <c r="I123" s="23">
        <v>30.03</v>
      </c>
      <c r="J123" s="23">
        <v>45.47</v>
      </c>
      <c r="K123" s="23"/>
    </row>
    <row r="124" spans="1:11" ht="14.4" customHeight="1" x14ac:dyDescent="0.3">
      <c r="A124" s="16" t="s">
        <v>140</v>
      </c>
      <c r="B124" s="56">
        <v>30.567337999999999</v>
      </c>
      <c r="C124" s="57">
        <v>-84.946916999999999</v>
      </c>
      <c r="D124" s="46">
        <v>32635</v>
      </c>
      <c r="E124" s="21" t="s">
        <v>89</v>
      </c>
      <c r="F124" s="1" t="s">
        <v>153</v>
      </c>
      <c r="G124" s="23" t="s">
        <v>18</v>
      </c>
      <c r="H124" s="23">
        <v>27.12</v>
      </c>
      <c r="I124" s="23">
        <v>28.44</v>
      </c>
      <c r="J124" s="23">
        <v>45.22</v>
      </c>
      <c r="K124" s="23">
        <v>8.41</v>
      </c>
    </row>
    <row r="125" spans="1:11" x14ac:dyDescent="0.3">
      <c r="A125" s="1" t="s">
        <v>6</v>
      </c>
      <c r="B125" s="57">
        <v>31.116738999999999</v>
      </c>
      <c r="C125" s="57">
        <v>-86.824686</v>
      </c>
      <c r="D125" s="46">
        <v>34095</v>
      </c>
      <c r="E125" s="21" t="s">
        <v>15</v>
      </c>
      <c r="F125" s="1" t="s">
        <v>16</v>
      </c>
      <c r="G125" s="23" t="s">
        <v>18</v>
      </c>
      <c r="H125" s="23">
        <v>21.84</v>
      </c>
      <c r="I125" s="23">
        <v>23.32</v>
      </c>
      <c r="J125" s="23">
        <v>36.56</v>
      </c>
      <c r="K125" s="23">
        <v>6.42</v>
      </c>
    </row>
    <row r="126" spans="1:11" ht="14.4" customHeight="1" x14ac:dyDescent="0.3">
      <c r="A126" s="1" t="s">
        <v>4</v>
      </c>
      <c r="B126" s="57">
        <v>31.012799999999999</v>
      </c>
      <c r="C126" s="57">
        <v>-86.808188000000001</v>
      </c>
      <c r="D126" s="46">
        <v>34438</v>
      </c>
      <c r="E126" s="21" t="s">
        <v>15</v>
      </c>
      <c r="F126" s="1" t="s">
        <v>230</v>
      </c>
      <c r="G126" s="23" t="s">
        <v>18</v>
      </c>
      <c r="H126" s="23">
        <v>22.35</v>
      </c>
      <c r="I126" s="23">
        <v>23.7</v>
      </c>
      <c r="J126" s="23">
        <v>36.9</v>
      </c>
      <c r="K126" s="23">
        <v>6.13</v>
      </c>
    </row>
    <row r="127" spans="1:11" x14ac:dyDescent="0.3">
      <c r="A127" s="1" t="s">
        <v>9</v>
      </c>
      <c r="B127" s="57">
        <v>31.012799999999999</v>
      </c>
      <c r="C127" s="57">
        <v>-86.808188000000001</v>
      </c>
      <c r="D127" s="46">
        <v>34439</v>
      </c>
      <c r="E127" s="21" t="s">
        <v>15</v>
      </c>
      <c r="F127" s="1" t="s">
        <v>214</v>
      </c>
      <c r="G127" s="23" t="s">
        <v>18</v>
      </c>
      <c r="H127" s="23">
        <v>21.73</v>
      </c>
      <c r="I127" s="23">
        <v>24.63</v>
      </c>
      <c r="J127" s="23">
        <v>39.18</v>
      </c>
      <c r="K127" s="23">
        <v>6.83</v>
      </c>
    </row>
    <row r="128" spans="1:11" ht="14.4" customHeight="1" x14ac:dyDescent="0.3">
      <c r="A128" s="16" t="s">
        <v>141</v>
      </c>
      <c r="B128" s="57">
        <v>30.872949999999999</v>
      </c>
      <c r="C128" s="57">
        <v>-87.322175000000001</v>
      </c>
      <c r="D128" s="46">
        <v>34819</v>
      </c>
      <c r="E128" s="21" t="s">
        <v>46</v>
      </c>
      <c r="F128" s="1" t="s">
        <v>154</v>
      </c>
      <c r="G128" s="23" t="s">
        <v>18</v>
      </c>
      <c r="H128" s="23">
        <v>23.01</v>
      </c>
      <c r="I128" s="23">
        <v>24.82</v>
      </c>
      <c r="J128" s="23">
        <v>40.1</v>
      </c>
      <c r="K128" s="23">
        <v>7.53</v>
      </c>
    </row>
    <row r="129" spans="1:11" x14ac:dyDescent="0.3">
      <c r="A129" s="16" t="s">
        <v>157</v>
      </c>
      <c r="B129" s="57">
        <v>30.742872999999999</v>
      </c>
      <c r="C129" s="57">
        <v>-86.806746000000004</v>
      </c>
      <c r="D129" s="46">
        <v>35164</v>
      </c>
      <c r="E129" s="21" t="s">
        <v>45</v>
      </c>
      <c r="F129" s="1" t="s">
        <v>228</v>
      </c>
      <c r="G129" s="23" t="s">
        <v>18</v>
      </c>
      <c r="H129" s="23">
        <v>23.22</v>
      </c>
      <c r="I129" s="23">
        <v>25.23</v>
      </c>
      <c r="J129" s="23">
        <v>40.33</v>
      </c>
      <c r="K129" s="23">
        <v>6.85</v>
      </c>
    </row>
    <row r="130" spans="1:11" ht="14.4" customHeight="1" x14ac:dyDescent="0.3">
      <c r="A130" s="16" t="s">
        <v>158</v>
      </c>
      <c r="B130" s="57">
        <v>30.742872999999999</v>
      </c>
      <c r="C130" s="57">
        <v>-86.806746000000004</v>
      </c>
      <c r="D130" s="46">
        <v>35164</v>
      </c>
      <c r="E130" s="21" t="s">
        <v>45</v>
      </c>
      <c r="F130" s="1" t="s">
        <v>228</v>
      </c>
      <c r="G130" s="23" t="s">
        <v>20</v>
      </c>
      <c r="H130" s="23">
        <v>26.55</v>
      </c>
      <c r="I130" s="23">
        <v>28.25</v>
      </c>
      <c r="J130" s="23">
        <v>42.6</v>
      </c>
      <c r="K130" s="23">
        <v>7.04</v>
      </c>
    </row>
    <row r="131" spans="1:11" x14ac:dyDescent="0.3">
      <c r="A131" s="16" t="s">
        <v>159</v>
      </c>
      <c r="B131" s="57">
        <v>30.742872999999999</v>
      </c>
      <c r="C131" s="57">
        <v>-86.806746000000004</v>
      </c>
      <c r="D131" s="46">
        <v>35164</v>
      </c>
      <c r="E131" s="21" t="s">
        <v>45</v>
      </c>
      <c r="F131" s="1" t="s">
        <v>228</v>
      </c>
      <c r="G131" s="23" t="s">
        <v>20</v>
      </c>
      <c r="H131" s="23">
        <v>26.04</v>
      </c>
      <c r="I131" s="23">
        <v>28.28</v>
      </c>
      <c r="J131" s="23">
        <v>42.13</v>
      </c>
      <c r="K131" s="23">
        <v>6.51</v>
      </c>
    </row>
    <row r="132" spans="1:11" ht="14.4" customHeight="1" x14ac:dyDescent="0.3">
      <c r="A132" s="16" t="s">
        <v>160</v>
      </c>
      <c r="B132" s="57">
        <v>30.742872999999999</v>
      </c>
      <c r="C132" s="57">
        <v>-86.806746000000004</v>
      </c>
      <c r="D132" s="46">
        <v>35165</v>
      </c>
      <c r="E132" s="21" t="s">
        <v>45</v>
      </c>
      <c r="F132" s="1" t="s">
        <v>228</v>
      </c>
      <c r="G132" s="23" t="s">
        <v>18</v>
      </c>
      <c r="H132" s="23">
        <v>22.26</v>
      </c>
      <c r="I132" s="23">
        <v>24.37</v>
      </c>
      <c r="J132" s="23">
        <v>38.549999999999997</v>
      </c>
      <c r="K132" s="23">
        <v>6.57</v>
      </c>
    </row>
    <row r="133" spans="1:11" x14ac:dyDescent="0.3">
      <c r="A133" s="16" t="s">
        <v>161</v>
      </c>
      <c r="B133" s="57">
        <v>30.742872999999999</v>
      </c>
      <c r="C133" s="57">
        <v>-86.806746000000004</v>
      </c>
      <c r="D133" s="46">
        <v>35165</v>
      </c>
      <c r="E133" s="21" t="s">
        <v>45</v>
      </c>
      <c r="F133" s="1" t="s">
        <v>229</v>
      </c>
      <c r="G133" s="23" t="s">
        <v>18</v>
      </c>
      <c r="H133" s="23">
        <v>23.86</v>
      </c>
      <c r="I133" s="23">
        <v>25.51</v>
      </c>
      <c r="J133" s="23">
        <v>39.03</v>
      </c>
      <c r="K133" s="23">
        <v>6.8</v>
      </c>
    </row>
    <row r="134" spans="1:11" x14ac:dyDescent="0.3">
      <c r="A134" s="16" t="s">
        <v>162</v>
      </c>
      <c r="B134" s="57">
        <v>30.742872999999999</v>
      </c>
      <c r="C134" s="57">
        <v>-86.806746000000004</v>
      </c>
      <c r="D134" s="46">
        <v>35165</v>
      </c>
      <c r="E134" s="21" t="s">
        <v>45</v>
      </c>
      <c r="F134" s="1" t="s">
        <v>229</v>
      </c>
      <c r="G134" s="23" t="s">
        <v>18</v>
      </c>
      <c r="H134" s="23">
        <v>23.6</v>
      </c>
      <c r="I134" s="23">
        <v>25.21</v>
      </c>
      <c r="J134" s="23">
        <v>39.83</v>
      </c>
      <c r="K134" s="23">
        <v>6.9</v>
      </c>
    </row>
    <row r="135" spans="1:11" x14ac:dyDescent="0.3">
      <c r="A135" s="16" t="s">
        <v>107</v>
      </c>
      <c r="B135" s="57">
        <v>30.6175</v>
      </c>
      <c r="C135" s="57">
        <v>-86.229169999999996</v>
      </c>
      <c r="D135" s="46">
        <v>37722</v>
      </c>
      <c r="E135" s="21" t="s">
        <v>44</v>
      </c>
      <c r="F135" s="1" t="s">
        <v>223</v>
      </c>
      <c r="G135" s="23" t="s">
        <v>20</v>
      </c>
      <c r="H135" s="23">
        <v>26.9</v>
      </c>
      <c r="I135" s="23">
        <v>28.92</v>
      </c>
      <c r="J135" s="23">
        <v>43.18</v>
      </c>
      <c r="K135" s="23">
        <v>7.35</v>
      </c>
    </row>
    <row r="136" spans="1:11" x14ac:dyDescent="0.3">
      <c r="A136" s="16" t="s">
        <v>106</v>
      </c>
      <c r="B136" s="57">
        <v>30.607551999999998</v>
      </c>
      <c r="C136" s="57">
        <v>-86.214727999999994</v>
      </c>
      <c r="D136" s="46">
        <v>37722</v>
      </c>
      <c r="E136" s="21" t="s">
        <v>44</v>
      </c>
      <c r="F136" s="1" t="s">
        <v>222</v>
      </c>
      <c r="G136" s="23" t="s">
        <v>18</v>
      </c>
      <c r="H136" s="23">
        <v>24.39</v>
      </c>
      <c r="I136" s="23">
        <v>26.35</v>
      </c>
      <c r="J136" s="23">
        <v>40.07</v>
      </c>
      <c r="K136" s="23">
        <v>7.1</v>
      </c>
    </row>
    <row r="137" spans="1:11" x14ac:dyDescent="0.3">
      <c r="A137" s="16" t="s">
        <v>163</v>
      </c>
      <c r="B137" s="57">
        <v>30.607530000000001</v>
      </c>
      <c r="C137" s="57">
        <v>-86.214657000000003</v>
      </c>
      <c r="D137" s="46">
        <v>37722</v>
      </c>
      <c r="E137" s="21" t="s">
        <v>44</v>
      </c>
      <c r="F137" s="1" t="s">
        <v>222</v>
      </c>
      <c r="G137" s="23" t="s">
        <v>20</v>
      </c>
      <c r="H137" s="23">
        <v>26.13</v>
      </c>
      <c r="I137" s="23">
        <v>27.51</v>
      </c>
      <c r="J137" s="23">
        <v>41.51</v>
      </c>
      <c r="K137" s="23">
        <v>7.17</v>
      </c>
    </row>
    <row r="138" spans="1:11" x14ac:dyDescent="0.3">
      <c r="A138" s="16" t="s">
        <v>117</v>
      </c>
      <c r="B138" s="57">
        <v>30.598689</v>
      </c>
      <c r="C138" s="57">
        <v>-86.211325000000002</v>
      </c>
      <c r="D138" s="46">
        <v>37722</v>
      </c>
      <c r="E138" s="21" t="s">
        <v>44</v>
      </c>
      <c r="F138" s="1" t="s">
        <v>227</v>
      </c>
      <c r="G138" s="23" t="s">
        <v>18</v>
      </c>
      <c r="H138" s="23">
        <v>24.05</v>
      </c>
      <c r="I138" s="23">
        <v>25.58</v>
      </c>
      <c r="J138" s="23">
        <v>40.700000000000003</v>
      </c>
      <c r="K138" s="23">
        <v>6.55</v>
      </c>
    </row>
    <row r="139" spans="1:11" x14ac:dyDescent="0.3">
      <c r="A139" s="16" t="s">
        <v>99</v>
      </c>
      <c r="B139" s="57">
        <v>30.600171</v>
      </c>
      <c r="C139" s="60">
        <v>-86.416797000000003</v>
      </c>
      <c r="D139" s="46">
        <v>37723</v>
      </c>
      <c r="E139" s="21" t="s">
        <v>204</v>
      </c>
      <c r="F139" s="1" t="s">
        <v>686</v>
      </c>
      <c r="G139" s="23" t="s">
        <v>20</v>
      </c>
      <c r="H139" s="23">
        <v>27.59</v>
      </c>
      <c r="I139" s="23">
        <v>29.71</v>
      </c>
      <c r="J139" s="23">
        <v>45.46</v>
      </c>
      <c r="K139" s="23">
        <v>7.08</v>
      </c>
    </row>
    <row r="140" spans="1:11" x14ac:dyDescent="0.3">
      <c r="A140" s="16" t="s">
        <v>100</v>
      </c>
      <c r="B140" s="57">
        <v>30.600171</v>
      </c>
      <c r="C140" s="60">
        <v>-86.416797000000003</v>
      </c>
      <c r="D140" s="46">
        <v>37723</v>
      </c>
      <c r="E140" s="21" t="s">
        <v>204</v>
      </c>
      <c r="F140" s="1" t="s">
        <v>686</v>
      </c>
      <c r="G140" s="23" t="s">
        <v>18</v>
      </c>
      <c r="H140" s="23">
        <v>25.18</v>
      </c>
      <c r="I140" s="23">
        <v>27.25</v>
      </c>
      <c r="J140" s="23">
        <v>42.41</v>
      </c>
      <c r="K140" s="23">
        <v>6.73</v>
      </c>
    </row>
    <row r="141" spans="1:11" x14ac:dyDescent="0.3">
      <c r="A141" s="16" t="s">
        <v>108</v>
      </c>
      <c r="B141" s="57">
        <v>30.600171</v>
      </c>
      <c r="C141" s="60">
        <v>-86.416797000000003</v>
      </c>
      <c r="D141" s="46">
        <v>37723</v>
      </c>
      <c r="E141" s="21" t="s">
        <v>204</v>
      </c>
      <c r="F141" s="1" t="s">
        <v>686</v>
      </c>
      <c r="G141" s="23" t="s">
        <v>20</v>
      </c>
      <c r="H141" s="24">
        <v>26.5</v>
      </c>
      <c r="I141" s="24">
        <v>28.81</v>
      </c>
      <c r="J141" s="23">
        <v>44.16</v>
      </c>
      <c r="K141" s="24">
        <v>7.34</v>
      </c>
    </row>
    <row r="142" spans="1:11" x14ac:dyDescent="0.3">
      <c r="A142" s="16" t="s">
        <v>109</v>
      </c>
      <c r="B142" s="57">
        <v>30.600171</v>
      </c>
      <c r="C142" s="60">
        <v>-86.416797000000003</v>
      </c>
      <c r="D142" s="46">
        <v>37723</v>
      </c>
      <c r="E142" s="21" t="s">
        <v>204</v>
      </c>
      <c r="F142" s="1" t="s">
        <v>686</v>
      </c>
      <c r="G142" s="23" t="s">
        <v>18</v>
      </c>
      <c r="H142" s="23">
        <v>24.19</v>
      </c>
      <c r="I142" s="23">
        <v>25.8</v>
      </c>
      <c r="J142" s="23">
        <v>40.04</v>
      </c>
      <c r="K142" s="23">
        <v>6.51</v>
      </c>
    </row>
    <row r="143" spans="1:11" x14ac:dyDescent="0.3">
      <c r="A143" s="16" t="s">
        <v>96</v>
      </c>
      <c r="B143" s="57">
        <v>30.607033999999999</v>
      </c>
      <c r="C143" s="57">
        <v>-86.482355999999996</v>
      </c>
      <c r="D143" s="46">
        <v>38087</v>
      </c>
      <c r="E143" s="21" t="s">
        <v>204</v>
      </c>
      <c r="F143" s="1" t="s">
        <v>220</v>
      </c>
      <c r="G143" s="23" t="s">
        <v>18</v>
      </c>
      <c r="H143" s="23">
        <v>23.92</v>
      </c>
      <c r="I143" s="23">
        <v>25.75</v>
      </c>
      <c r="J143" s="23">
        <v>41.27</v>
      </c>
      <c r="K143" s="23">
        <v>6.8</v>
      </c>
    </row>
    <row r="144" spans="1:11" ht="14.4" customHeight="1" x14ac:dyDescent="0.3">
      <c r="A144" s="16" t="s">
        <v>110</v>
      </c>
      <c r="B144" s="57">
        <v>30.607033999999999</v>
      </c>
      <c r="C144" s="57">
        <v>-86.482355999999996</v>
      </c>
      <c r="D144" s="46">
        <v>38087</v>
      </c>
      <c r="E144" s="21" t="s">
        <v>204</v>
      </c>
      <c r="F144" s="1" t="s">
        <v>224</v>
      </c>
      <c r="G144" s="23" t="s">
        <v>18</v>
      </c>
      <c r="H144" s="23">
        <v>25.37</v>
      </c>
      <c r="I144" s="23">
        <v>27.15</v>
      </c>
      <c r="J144" s="23">
        <v>41.63</v>
      </c>
      <c r="K144" s="23">
        <v>7.04</v>
      </c>
    </row>
    <row r="145" spans="1:12" ht="14.4" customHeight="1" x14ac:dyDescent="0.3">
      <c r="A145" s="16" t="s">
        <v>137</v>
      </c>
      <c r="B145" s="57">
        <v>30.39218</v>
      </c>
      <c r="C145" s="57">
        <v>-85.560633999999993</v>
      </c>
      <c r="D145" s="49">
        <v>38814</v>
      </c>
      <c r="E145" s="21" t="s">
        <v>145</v>
      </c>
      <c r="F145" s="1" t="s">
        <v>152</v>
      </c>
      <c r="G145" s="23" t="s">
        <v>20</v>
      </c>
      <c r="H145" s="24">
        <v>27.18</v>
      </c>
      <c r="I145" s="24">
        <v>28.01</v>
      </c>
      <c r="J145" s="23"/>
      <c r="K145" s="24">
        <v>7.85</v>
      </c>
    </row>
    <row r="146" spans="1:12" ht="14.4" customHeight="1" x14ac:dyDescent="0.3">
      <c r="A146" s="1" t="s">
        <v>32</v>
      </c>
      <c r="B146" s="57">
        <v>30.893429999999999</v>
      </c>
      <c r="C146" s="57">
        <v>-89.016165000000001</v>
      </c>
      <c r="D146" s="49">
        <v>39184</v>
      </c>
      <c r="E146" s="21" t="s">
        <v>217</v>
      </c>
      <c r="F146" s="1" t="s">
        <v>216</v>
      </c>
      <c r="G146" s="23" t="s">
        <v>18</v>
      </c>
      <c r="H146" s="23">
        <v>23.54</v>
      </c>
      <c r="I146" s="23">
        <v>25.5</v>
      </c>
      <c r="J146" s="23">
        <v>40.36</v>
      </c>
      <c r="K146" s="23">
        <v>7.2</v>
      </c>
    </row>
    <row r="147" spans="1:12" ht="14.4" customHeight="1" x14ac:dyDescent="0.3">
      <c r="A147" s="1" t="s">
        <v>33</v>
      </c>
      <c r="B147" s="57">
        <v>30.893429999999999</v>
      </c>
      <c r="C147" s="57">
        <v>-89.016165000000001</v>
      </c>
      <c r="D147" s="46">
        <v>39184</v>
      </c>
      <c r="E147" s="21" t="s">
        <v>217</v>
      </c>
      <c r="F147" s="1" t="s">
        <v>216</v>
      </c>
      <c r="G147" s="23" t="s">
        <v>18</v>
      </c>
      <c r="H147" s="23">
        <v>23.28</v>
      </c>
      <c r="I147" s="23">
        <v>24.95</v>
      </c>
      <c r="J147" s="23">
        <v>40.68</v>
      </c>
      <c r="K147" s="23">
        <v>7.06</v>
      </c>
    </row>
    <row r="148" spans="1:12" ht="14.4" customHeight="1" x14ac:dyDescent="0.3">
      <c r="A148" s="16" t="s">
        <v>133</v>
      </c>
      <c r="B148" s="57">
        <v>30.406243</v>
      </c>
      <c r="C148" s="57">
        <v>-85.529638000000006</v>
      </c>
      <c r="D148" s="49">
        <v>39212</v>
      </c>
      <c r="E148" s="21" t="s">
        <v>145</v>
      </c>
      <c r="F148" s="1" t="s">
        <v>149</v>
      </c>
      <c r="G148" s="23" t="s">
        <v>18</v>
      </c>
      <c r="H148" s="23">
        <v>23.4</v>
      </c>
      <c r="I148" s="23">
        <v>25.96</v>
      </c>
      <c r="J148" s="23">
        <v>41.45</v>
      </c>
      <c r="K148" s="23">
        <v>7.78</v>
      </c>
    </row>
    <row r="149" spans="1:12" x14ac:dyDescent="0.3">
      <c r="A149" s="1"/>
      <c r="B149" s="57">
        <v>30.757446000000002</v>
      </c>
      <c r="C149" s="57">
        <v>-86.874807000000004</v>
      </c>
      <c r="D149" s="46">
        <v>39551</v>
      </c>
      <c r="E149" s="20" t="s">
        <v>45</v>
      </c>
      <c r="F149" s="1" t="s">
        <v>687</v>
      </c>
      <c r="G149" s="23" t="s">
        <v>18</v>
      </c>
      <c r="H149" s="24">
        <v>22.03</v>
      </c>
      <c r="I149" s="24">
        <v>23.47</v>
      </c>
      <c r="J149" s="23">
        <f>10.55+25.99</f>
        <v>36.54</v>
      </c>
      <c r="K149" s="23"/>
    </row>
    <row r="150" spans="1:12" ht="14.4" customHeight="1" x14ac:dyDescent="0.3">
      <c r="A150" s="1"/>
      <c r="B150" s="57">
        <v>30.706982</v>
      </c>
      <c r="C150" s="57">
        <v>-86.210856000000007</v>
      </c>
      <c r="D150" s="46">
        <v>39551</v>
      </c>
      <c r="E150" s="20" t="s">
        <v>44</v>
      </c>
      <c r="F150" s="1" t="s">
        <v>685</v>
      </c>
      <c r="G150" s="23" t="s">
        <v>18</v>
      </c>
      <c r="H150" s="23">
        <v>24.21</v>
      </c>
      <c r="I150" s="23">
        <v>25.61</v>
      </c>
      <c r="J150" s="23">
        <f>13.73+28.71</f>
        <v>42.44</v>
      </c>
      <c r="K150" s="23"/>
    </row>
    <row r="151" spans="1:12" x14ac:dyDescent="0.3">
      <c r="A151" s="1"/>
      <c r="B151" s="57">
        <v>30.706982</v>
      </c>
      <c r="C151" s="57">
        <v>-86.210856000000007</v>
      </c>
      <c r="D151" s="46">
        <v>39551</v>
      </c>
      <c r="E151" s="20" t="s">
        <v>44</v>
      </c>
      <c r="F151" s="1" t="s">
        <v>685</v>
      </c>
      <c r="G151" s="23" t="s">
        <v>20</v>
      </c>
      <c r="H151" s="23">
        <v>26.39</v>
      </c>
      <c r="I151" s="23">
        <v>28.41</v>
      </c>
      <c r="J151" s="23">
        <v>45.36</v>
      </c>
      <c r="K151" s="23"/>
    </row>
    <row r="152" spans="1:12" ht="14.4" customHeight="1" x14ac:dyDescent="0.3">
      <c r="A152" s="1"/>
      <c r="B152" s="57">
        <v>30.706982</v>
      </c>
      <c r="C152" s="57">
        <v>-86.210856000000007</v>
      </c>
      <c r="D152" s="46">
        <v>39551</v>
      </c>
      <c r="E152" s="20" t="s">
        <v>44</v>
      </c>
      <c r="F152" s="1" t="s">
        <v>685</v>
      </c>
      <c r="G152" s="23" t="s">
        <v>18</v>
      </c>
      <c r="H152" s="23">
        <v>24.51</v>
      </c>
      <c r="I152" s="23">
        <v>26.48</v>
      </c>
      <c r="J152" s="23">
        <v>40.4</v>
      </c>
      <c r="K152" s="23"/>
    </row>
    <row r="153" spans="1:12" x14ac:dyDescent="0.3">
      <c r="A153" s="16" t="s">
        <v>132</v>
      </c>
      <c r="B153" s="56">
        <v>30.450489999999999</v>
      </c>
      <c r="C153" s="57">
        <v>-85.837540000000004</v>
      </c>
      <c r="D153" s="46">
        <v>39925</v>
      </c>
      <c r="E153" s="21" t="s">
        <v>144</v>
      </c>
      <c r="F153" s="1" t="s">
        <v>148</v>
      </c>
      <c r="G153" s="23" t="s">
        <v>18</v>
      </c>
      <c r="H153" s="23">
        <v>25.27</v>
      </c>
      <c r="I153" s="23">
        <v>26.45</v>
      </c>
      <c r="J153" s="23">
        <v>42.5</v>
      </c>
      <c r="K153" s="23">
        <v>7.64</v>
      </c>
    </row>
    <row r="154" spans="1:12" ht="14.4" customHeight="1" x14ac:dyDescent="0.3">
      <c r="A154" s="16" t="s">
        <v>134</v>
      </c>
      <c r="B154" s="56">
        <v>30.450489999999999</v>
      </c>
      <c r="C154" s="57">
        <v>-85.837540000000004</v>
      </c>
      <c r="D154" s="46">
        <v>39925</v>
      </c>
      <c r="E154" s="21" t="s">
        <v>144</v>
      </c>
      <c r="F154" s="1" t="s">
        <v>150</v>
      </c>
      <c r="G154" s="23" t="s">
        <v>18</v>
      </c>
      <c r="H154" s="24">
        <v>25.73</v>
      </c>
      <c r="I154" s="24">
        <v>26.18</v>
      </c>
      <c r="J154" s="23">
        <v>43.1</v>
      </c>
      <c r="K154" s="24">
        <v>8.06</v>
      </c>
    </row>
    <row r="155" spans="1:12" x14ac:dyDescent="0.3">
      <c r="A155" s="16" t="s">
        <v>135</v>
      </c>
      <c r="B155" s="57">
        <v>30.567081000000002</v>
      </c>
      <c r="C155" s="57">
        <v>-85.396471000000005</v>
      </c>
      <c r="D155" s="46">
        <v>41014</v>
      </c>
      <c r="E155" s="21" t="s">
        <v>145</v>
      </c>
      <c r="F155" s="1" t="s">
        <v>151</v>
      </c>
      <c r="G155" s="23" t="s">
        <v>20</v>
      </c>
      <c r="H155" s="24">
        <v>25.07</v>
      </c>
      <c r="I155" s="24">
        <v>26.91</v>
      </c>
      <c r="J155" s="23">
        <v>40.590000000000003</v>
      </c>
      <c r="K155" s="24">
        <v>7.38</v>
      </c>
    </row>
    <row r="156" spans="1:12" x14ac:dyDescent="0.3">
      <c r="A156" s="16" t="s">
        <v>136</v>
      </c>
      <c r="B156" s="57">
        <v>30.567081000000002</v>
      </c>
      <c r="C156" s="57">
        <v>-85.396471000000005</v>
      </c>
      <c r="D156" s="46">
        <v>41014</v>
      </c>
      <c r="E156" s="21" t="s">
        <v>145</v>
      </c>
      <c r="F156" s="1" t="s">
        <v>151</v>
      </c>
      <c r="G156" s="23" t="s">
        <v>18</v>
      </c>
      <c r="H156" s="23">
        <v>22.55</v>
      </c>
      <c r="I156" s="23">
        <v>23.51</v>
      </c>
      <c r="J156" s="23">
        <v>35.76</v>
      </c>
      <c r="K156" s="23">
        <v>6.4</v>
      </c>
    </row>
    <row r="157" spans="1:12" ht="14.4" customHeight="1" x14ac:dyDescent="0.3">
      <c r="A157" s="16" t="s">
        <v>190</v>
      </c>
      <c r="B157" s="57">
        <v>30.714200000000002</v>
      </c>
      <c r="C157" s="57">
        <v>-86.852249999999998</v>
      </c>
      <c r="D157" s="46">
        <v>43554</v>
      </c>
      <c r="E157" s="21" t="s">
        <v>45</v>
      </c>
      <c r="F157" s="1" t="s">
        <v>203</v>
      </c>
      <c r="G157" s="23" t="s">
        <v>20</v>
      </c>
      <c r="H157" s="23">
        <v>25.84</v>
      </c>
      <c r="I157" s="23">
        <v>27.88</v>
      </c>
      <c r="J157" s="23">
        <v>39.36</v>
      </c>
      <c r="K157" s="23">
        <v>6.92</v>
      </c>
    </row>
    <row r="158" spans="1:12" x14ac:dyDescent="0.3">
      <c r="A158" s="25" t="s">
        <v>470</v>
      </c>
      <c r="B158" s="61">
        <v>30.725200000000001</v>
      </c>
      <c r="C158" s="61">
        <v>-86.799499999999995</v>
      </c>
      <c r="D158" s="48">
        <v>44633</v>
      </c>
      <c r="E158" s="26" t="s">
        <v>45</v>
      </c>
      <c r="F158" s="25" t="s">
        <v>469</v>
      </c>
      <c r="G158" s="31" t="s">
        <v>20</v>
      </c>
      <c r="H158" s="32"/>
      <c r="I158" s="32"/>
      <c r="J158" s="32"/>
      <c r="K158" s="32"/>
      <c r="L158" t="s">
        <v>616</v>
      </c>
    </row>
    <row r="159" spans="1:12" ht="14.4" customHeight="1" x14ac:dyDescent="0.3">
      <c r="A159" s="25" t="s">
        <v>468</v>
      </c>
      <c r="B159" s="61">
        <v>30.725200000000001</v>
      </c>
      <c r="C159" s="61">
        <v>-86.799499999999995</v>
      </c>
      <c r="D159" s="48">
        <v>44633</v>
      </c>
      <c r="E159" s="26" t="s">
        <v>45</v>
      </c>
      <c r="F159" s="25" t="s">
        <v>469</v>
      </c>
      <c r="G159" s="31" t="s">
        <v>18</v>
      </c>
      <c r="H159" s="32"/>
      <c r="I159" s="32"/>
      <c r="J159" s="32"/>
      <c r="K159" s="32"/>
      <c r="L159" t="s">
        <v>616</v>
      </c>
    </row>
    <row r="160" spans="1:12" x14ac:dyDescent="0.3">
      <c r="A160" s="1" t="s">
        <v>615</v>
      </c>
      <c r="B160" s="66">
        <v>30.631959999999999</v>
      </c>
      <c r="C160" s="66">
        <v>-86.774979999999999</v>
      </c>
      <c r="D160" s="46">
        <v>44634</v>
      </c>
      <c r="E160" s="21" t="s">
        <v>204</v>
      </c>
      <c r="F160" s="1" t="s">
        <v>472</v>
      </c>
      <c r="G160" s="30" t="s">
        <v>18</v>
      </c>
      <c r="H160" s="67">
        <v>23.7</v>
      </c>
      <c r="I160" s="67">
        <v>24.9</v>
      </c>
      <c r="J160" s="67">
        <v>39.9</v>
      </c>
      <c r="K160" s="67">
        <v>7.1</v>
      </c>
    </row>
    <row r="161" spans="1:12" ht="14.4" customHeight="1" x14ac:dyDescent="0.3">
      <c r="A161" s="25" t="s">
        <v>471</v>
      </c>
      <c r="B161" s="61">
        <v>30.631959999999999</v>
      </c>
      <c r="C161" s="61">
        <v>-86.774979999999999</v>
      </c>
      <c r="D161" s="48">
        <v>44634</v>
      </c>
      <c r="E161" s="26" t="s">
        <v>204</v>
      </c>
      <c r="F161" s="25" t="s">
        <v>472</v>
      </c>
      <c r="G161" s="31" t="s">
        <v>18</v>
      </c>
      <c r="H161" s="32"/>
      <c r="I161" s="32"/>
      <c r="J161" s="32"/>
      <c r="K161" s="32"/>
      <c r="L161" t="s">
        <v>616</v>
      </c>
    </row>
    <row r="162" spans="1:12" x14ac:dyDescent="0.3">
      <c r="A162" s="1" t="s">
        <v>491</v>
      </c>
      <c r="B162" s="57">
        <v>30.540894000000002</v>
      </c>
      <c r="C162" s="57">
        <v>-87.789871000000005</v>
      </c>
      <c r="D162" s="46">
        <v>44688</v>
      </c>
      <c r="E162" s="20" t="s">
        <v>496</v>
      </c>
      <c r="F162" s="1" t="s">
        <v>498</v>
      </c>
      <c r="G162" s="30" t="s">
        <v>18</v>
      </c>
      <c r="H162" s="23">
        <v>23.55</v>
      </c>
      <c r="I162" s="23">
        <v>25.67</v>
      </c>
      <c r="J162" s="23">
        <v>38.82</v>
      </c>
      <c r="K162" s="33"/>
    </row>
    <row r="163" spans="1:12" ht="14.4" customHeight="1" x14ac:dyDescent="0.3">
      <c r="A163" s="1" t="s">
        <v>492</v>
      </c>
      <c r="B163" s="57">
        <v>30.540894000000002</v>
      </c>
      <c r="C163" s="57">
        <v>-87.789871000000005</v>
      </c>
      <c r="D163" s="46">
        <v>44688</v>
      </c>
      <c r="E163" s="20" t="s">
        <v>496</v>
      </c>
      <c r="F163" s="1" t="s">
        <v>498</v>
      </c>
      <c r="G163" s="23" t="s">
        <v>20</v>
      </c>
      <c r="H163" s="23">
        <v>25.86</v>
      </c>
      <c r="I163" s="23">
        <v>27.44</v>
      </c>
      <c r="J163" s="23">
        <v>40.880000000000003</v>
      </c>
      <c r="K163" s="33"/>
    </row>
    <row r="164" spans="1:12" x14ac:dyDescent="0.3">
      <c r="A164" s="1" t="s">
        <v>494</v>
      </c>
      <c r="B164" s="57">
        <v>30.515720000000002</v>
      </c>
      <c r="C164" s="57">
        <v>-86.859568999999993</v>
      </c>
      <c r="D164" s="46">
        <v>44693</v>
      </c>
      <c r="E164" s="20" t="s">
        <v>45</v>
      </c>
      <c r="F164" s="1" t="s">
        <v>497</v>
      </c>
      <c r="G164" s="23" t="s">
        <v>20</v>
      </c>
      <c r="H164" s="23">
        <v>26.23</v>
      </c>
      <c r="I164" s="23">
        <v>27.83</v>
      </c>
      <c r="J164" s="23">
        <v>42.87</v>
      </c>
      <c r="K164" s="33"/>
    </row>
    <row r="165" spans="1:12" x14ac:dyDescent="0.3">
      <c r="A165" s="1" t="s">
        <v>495</v>
      </c>
      <c r="B165" s="57">
        <v>30.515720000000002</v>
      </c>
      <c r="C165" s="57">
        <v>-86.859568999999993</v>
      </c>
      <c r="D165" s="46">
        <v>44693</v>
      </c>
      <c r="E165" s="20" t="s">
        <v>45</v>
      </c>
      <c r="F165" s="1" t="s">
        <v>497</v>
      </c>
      <c r="G165" s="23" t="s">
        <v>20</v>
      </c>
      <c r="H165" s="23">
        <v>27.21</v>
      </c>
      <c r="I165" s="23">
        <v>28.97</v>
      </c>
      <c r="J165" s="23">
        <v>43.84</v>
      </c>
      <c r="K165" s="33"/>
    </row>
    <row r="166" spans="1:12" x14ac:dyDescent="0.3">
      <c r="A166" s="1" t="s">
        <v>493</v>
      </c>
      <c r="B166" s="57">
        <v>30.540894000000002</v>
      </c>
      <c r="C166" s="57">
        <v>-87.789871000000005</v>
      </c>
      <c r="D166" s="46">
        <v>44700</v>
      </c>
      <c r="E166" s="20" t="s">
        <v>496</v>
      </c>
      <c r="F166" s="1" t="s">
        <v>498</v>
      </c>
      <c r="G166" s="23" t="s">
        <v>18</v>
      </c>
      <c r="H166" s="23">
        <v>23.96</v>
      </c>
      <c r="I166" s="23">
        <v>25.64</v>
      </c>
      <c r="J166" s="23">
        <v>40.380000000000003</v>
      </c>
      <c r="K166" s="33"/>
    </row>
    <row r="167" spans="1:12" x14ac:dyDescent="0.3">
      <c r="A167" s="1" t="s">
        <v>617</v>
      </c>
      <c r="B167" s="68">
        <v>30.527003000000001</v>
      </c>
      <c r="C167" s="68">
        <v>-86.055300000000003</v>
      </c>
      <c r="D167" s="46">
        <v>44999</v>
      </c>
      <c r="E167" s="20" t="s">
        <v>44</v>
      </c>
      <c r="F167" s="1" t="s">
        <v>622</v>
      </c>
      <c r="G167" s="23" t="s">
        <v>20</v>
      </c>
      <c r="H167" s="23">
        <v>26.38</v>
      </c>
      <c r="I167" s="23">
        <v>27.73</v>
      </c>
      <c r="J167" s="23">
        <v>43.71</v>
      </c>
      <c r="K167" s="23"/>
    </row>
    <row r="168" spans="1:12" x14ac:dyDescent="0.3">
      <c r="A168" s="1" t="s">
        <v>618</v>
      </c>
      <c r="B168" s="68">
        <v>30.527003000000001</v>
      </c>
      <c r="C168" s="68">
        <v>-86.055300000000003</v>
      </c>
      <c r="D168" s="46">
        <v>44999</v>
      </c>
      <c r="E168" s="20" t="s">
        <v>44</v>
      </c>
      <c r="F168" s="1" t="s">
        <v>622</v>
      </c>
      <c r="G168" s="23" t="s">
        <v>18</v>
      </c>
      <c r="H168" s="23">
        <v>23.72</v>
      </c>
      <c r="I168" s="23">
        <v>25.05</v>
      </c>
      <c r="J168" s="23">
        <v>38.630000000000003</v>
      </c>
      <c r="K168" s="23"/>
    </row>
    <row r="169" spans="1:12" ht="14.4" customHeight="1" x14ac:dyDescent="0.3">
      <c r="A169" s="1" t="s">
        <v>619</v>
      </c>
      <c r="B169" s="68">
        <v>30.527003000000001</v>
      </c>
      <c r="C169" s="68">
        <v>-86.055300000000003</v>
      </c>
      <c r="D169" s="46">
        <v>44999</v>
      </c>
      <c r="E169" s="20" t="s">
        <v>44</v>
      </c>
      <c r="F169" s="1" t="s">
        <v>622</v>
      </c>
      <c r="G169" s="23" t="s">
        <v>20</v>
      </c>
      <c r="H169" s="23">
        <v>26.51</v>
      </c>
      <c r="I169" s="23">
        <v>27.86</v>
      </c>
      <c r="J169" s="23">
        <v>41.92</v>
      </c>
      <c r="K169" s="23"/>
    </row>
    <row r="170" spans="1:12" x14ac:dyDescent="0.3">
      <c r="A170" s="1" t="s">
        <v>620</v>
      </c>
      <c r="B170" s="68">
        <v>30.527003000000001</v>
      </c>
      <c r="C170" s="68">
        <v>-86.055300000000003</v>
      </c>
      <c r="D170" s="46">
        <v>44999</v>
      </c>
      <c r="E170" s="20" t="s">
        <v>44</v>
      </c>
      <c r="F170" s="1" t="s">
        <v>622</v>
      </c>
      <c r="G170" s="23" t="s">
        <v>18</v>
      </c>
      <c r="H170" s="23">
        <v>23.92</v>
      </c>
      <c r="I170" s="23">
        <v>26.74</v>
      </c>
      <c r="J170" s="23">
        <v>38.799999999999997</v>
      </c>
      <c r="K170" s="23"/>
    </row>
    <row r="171" spans="1:12" ht="14.4" customHeight="1" x14ac:dyDescent="0.3">
      <c r="A171" s="1" t="s">
        <v>621</v>
      </c>
      <c r="B171" s="68">
        <v>30.527003000000001</v>
      </c>
      <c r="C171" s="68">
        <v>-86.055300000000003</v>
      </c>
      <c r="D171" s="46">
        <v>44999</v>
      </c>
      <c r="E171" s="20" t="s">
        <v>44</v>
      </c>
      <c r="F171" s="1" t="s">
        <v>622</v>
      </c>
      <c r="G171" s="23" t="s">
        <v>18</v>
      </c>
      <c r="H171" s="23">
        <v>23.85</v>
      </c>
      <c r="I171" s="23">
        <v>25.24</v>
      </c>
      <c r="J171" s="23">
        <v>39.72</v>
      </c>
      <c r="K171" s="23"/>
    </row>
    <row r="172" spans="1:12" x14ac:dyDescent="0.3">
      <c r="A172" s="1"/>
      <c r="B172" s="57">
        <v>30.540894000000002</v>
      </c>
      <c r="C172" s="57">
        <v>-87.789871000000005</v>
      </c>
      <c r="D172" s="46">
        <v>45039</v>
      </c>
      <c r="E172" s="20" t="s">
        <v>496</v>
      </c>
      <c r="F172" s="1" t="s">
        <v>498</v>
      </c>
      <c r="G172" s="23" t="s">
        <v>20</v>
      </c>
      <c r="H172" s="23">
        <v>24.4</v>
      </c>
      <c r="I172" s="23">
        <v>26.72</v>
      </c>
      <c r="J172" s="23">
        <v>39.32</v>
      </c>
      <c r="K172" s="23"/>
    </row>
    <row r="173" spans="1:12" ht="14.4" customHeight="1" x14ac:dyDescent="0.3">
      <c r="A173" s="1"/>
      <c r="B173" s="57">
        <v>30.646276499999999</v>
      </c>
      <c r="C173" s="1">
        <v>-86.757293099999998</v>
      </c>
      <c r="D173" s="46">
        <v>45041</v>
      </c>
      <c r="E173" s="20" t="s">
        <v>204</v>
      </c>
      <c r="F173" s="1" t="s">
        <v>676</v>
      </c>
      <c r="G173" s="23" t="s">
        <v>20</v>
      </c>
      <c r="H173" s="23"/>
      <c r="I173" s="23"/>
      <c r="J173" s="23"/>
      <c r="K173" s="23"/>
    </row>
    <row r="174" spans="1:12" ht="14.4" customHeight="1" x14ac:dyDescent="0.3">
      <c r="A174" s="1"/>
      <c r="B174" s="57">
        <v>30.674645600000002</v>
      </c>
      <c r="C174" s="1">
        <v>-86.650757100000007</v>
      </c>
      <c r="D174" s="46">
        <v>45041</v>
      </c>
      <c r="E174" s="20" t="s">
        <v>204</v>
      </c>
      <c r="F174" s="1" t="s">
        <v>677</v>
      </c>
      <c r="G174" s="23" t="s">
        <v>18</v>
      </c>
      <c r="H174" s="23">
        <v>23.91</v>
      </c>
      <c r="I174" s="23">
        <v>25.38</v>
      </c>
      <c r="J174" s="23">
        <v>39.700000000000003</v>
      </c>
      <c r="K174" s="23"/>
    </row>
    <row r="175" spans="1:12" x14ac:dyDescent="0.3">
      <c r="A175" s="1"/>
      <c r="B175" s="57">
        <v>30.674645600000002</v>
      </c>
      <c r="C175" s="1">
        <v>-86.650757100000007</v>
      </c>
      <c r="D175" s="46">
        <v>45041</v>
      </c>
      <c r="E175" s="20" t="s">
        <v>204</v>
      </c>
      <c r="F175" s="1" t="s">
        <v>677</v>
      </c>
      <c r="G175" s="23" t="s">
        <v>18</v>
      </c>
      <c r="H175" s="23">
        <v>23.57</v>
      </c>
      <c r="I175" s="23">
        <v>25.27</v>
      </c>
      <c r="J175" s="23">
        <v>37.74</v>
      </c>
      <c r="K175" s="23"/>
    </row>
    <row r="176" spans="1:12" x14ac:dyDescent="0.3">
      <c r="A176" s="1"/>
      <c r="B176" s="57">
        <v>30.671247999999999</v>
      </c>
      <c r="C176" s="1">
        <v>-86.661423999999997</v>
      </c>
      <c r="D176" s="46">
        <v>45041</v>
      </c>
      <c r="E176" s="20" t="s">
        <v>204</v>
      </c>
      <c r="F176" s="1" t="s">
        <v>678</v>
      </c>
      <c r="G176" s="23" t="s">
        <v>20</v>
      </c>
      <c r="H176" s="23">
        <v>25.75</v>
      </c>
      <c r="I176" s="23">
        <v>27.81</v>
      </c>
      <c r="J176" s="23">
        <v>40.9</v>
      </c>
      <c r="K176" s="23"/>
    </row>
    <row r="177" spans="1:11" ht="14.4" customHeight="1" x14ac:dyDescent="0.3">
      <c r="A177" s="1"/>
      <c r="B177" s="57">
        <v>30.530266999999998</v>
      </c>
      <c r="C177" s="1">
        <v>-86.077772999999993</v>
      </c>
      <c r="D177" s="46">
        <v>45042</v>
      </c>
      <c r="E177" s="20" t="s">
        <v>44</v>
      </c>
      <c r="F177" s="1" t="s">
        <v>679</v>
      </c>
      <c r="G177" s="23" t="s">
        <v>20</v>
      </c>
      <c r="H177" s="23">
        <v>26.9</v>
      </c>
      <c r="I177" s="23">
        <v>29.1</v>
      </c>
      <c r="J177" s="23">
        <v>44.25</v>
      </c>
      <c r="K177" s="23"/>
    </row>
    <row r="178" spans="1:11" x14ac:dyDescent="0.3">
      <c r="A178" s="1"/>
      <c r="B178" s="57">
        <v>30.530266999999998</v>
      </c>
      <c r="C178" s="1">
        <v>-86.077772999999993</v>
      </c>
      <c r="D178" s="46">
        <v>45042</v>
      </c>
      <c r="E178" s="20" t="s">
        <v>44</v>
      </c>
      <c r="F178" s="1" t="s">
        <v>679</v>
      </c>
      <c r="G178" s="23" t="s">
        <v>18</v>
      </c>
      <c r="H178" s="23">
        <v>24.9</v>
      </c>
      <c r="I178" s="23">
        <v>26.68</v>
      </c>
      <c r="J178" s="23">
        <v>38.700000000000003</v>
      </c>
      <c r="K178" s="23"/>
    </row>
    <row r="179" spans="1:11" x14ac:dyDescent="0.3">
      <c r="A179" s="1"/>
      <c r="B179" s="57">
        <v>30.530266999999998</v>
      </c>
      <c r="C179" s="1">
        <v>-86.077772999999993</v>
      </c>
      <c r="D179" s="46">
        <v>45042</v>
      </c>
      <c r="E179" s="20" t="s">
        <v>44</v>
      </c>
      <c r="F179" s="1" t="s">
        <v>679</v>
      </c>
      <c r="G179" s="23" t="s">
        <v>18</v>
      </c>
      <c r="H179" s="23">
        <v>24.03</v>
      </c>
      <c r="I179" s="23">
        <v>26.33</v>
      </c>
      <c r="J179" s="23">
        <v>41.11</v>
      </c>
      <c r="K179" s="23"/>
    </row>
    <row r="180" spans="1:11" x14ac:dyDescent="0.3">
      <c r="A180" s="1"/>
      <c r="B180" s="57">
        <v>30.530266999999998</v>
      </c>
      <c r="C180" s="1">
        <v>-86.077772999999993</v>
      </c>
      <c r="D180" s="46">
        <v>45042</v>
      </c>
      <c r="E180" s="20" t="s">
        <v>44</v>
      </c>
      <c r="F180" s="1" t="s">
        <v>679</v>
      </c>
      <c r="G180" s="23" t="s">
        <v>18</v>
      </c>
      <c r="H180" s="23">
        <v>25.25</v>
      </c>
      <c r="I180" s="23">
        <v>26.78</v>
      </c>
      <c r="J180" s="23">
        <v>42.09</v>
      </c>
      <c r="K180" s="23"/>
    </row>
    <row r="181" spans="1:11" x14ac:dyDescent="0.3">
      <c r="A181" s="1"/>
      <c r="B181" s="57">
        <v>30.389544999999998</v>
      </c>
      <c r="C181" s="57">
        <v>-85.261120000000005</v>
      </c>
      <c r="D181" s="46">
        <v>45047</v>
      </c>
      <c r="E181" s="20" t="s">
        <v>69</v>
      </c>
      <c r="F181" s="1" t="s">
        <v>689</v>
      </c>
      <c r="G181" s="23" t="s">
        <v>20</v>
      </c>
      <c r="H181" s="23">
        <v>24.16</v>
      </c>
      <c r="I181" s="23">
        <v>26.3</v>
      </c>
      <c r="J181" s="23">
        <v>39.200000000000003</v>
      </c>
      <c r="K181" s="23"/>
    </row>
    <row r="182" spans="1:11" ht="14.4" customHeight="1" x14ac:dyDescent="0.3">
      <c r="A182" s="1"/>
      <c r="B182" s="57">
        <v>30.389544999999998</v>
      </c>
      <c r="C182" s="57">
        <v>-85.261120000000005</v>
      </c>
      <c r="D182" s="46">
        <v>45047</v>
      </c>
      <c r="E182" s="20" t="s">
        <v>69</v>
      </c>
      <c r="F182" s="1" t="s">
        <v>689</v>
      </c>
      <c r="G182" s="23" t="s">
        <v>18</v>
      </c>
      <c r="H182" s="23">
        <v>23.2</v>
      </c>
      <c r="I182" s="23">
        <v>24.45</v>
      </c>
      <c r="J182" s="23">
        <v>38.700000000000003</v>
      </c>
      <c r="K182" s="23"/>
    </row>
    <row r="183" spans="1:11" x14ac:dyDescent="0.3">
      <c r="A183" s="1"/>
      <c r="B183" s="57">
        <v>30.389544999999998</v>
      </c>
      <c r="C183" s="57">
        <v>-85.261120000000005</v>
      </c>
      <c r="D183" s="46">
        <v>45047</v>
      </c>
      <c r="E183" s="20" t="s">
        <v>69</v>
      </c>
      <c r="F183" s="1" t="s">
        <v>689</v>
      </c>
      <c r="G183" s="23" t="s">
        <v>18</v>
      </c>
      <c r="H183" s="23">
        <v>23.67</v>
      </c>
      <c r="I183" s="23">
        <v>24.51</v>
      </c>
      <c r="J183" s="23">
        <v>37.65</v>
      </c>
      <c r="K183" s="23"/>
    </row>
    <row r="184" spans="1:11" ht="14.4" customHeight="1" x14ac:dyDescent="0.3">
      <c r="A184" s="1"/>
      <c r="B184" s="57">
        <v>30.440882999999999</v>
      </c>
      <c r="C184" s="57">
        <v>-84.915777599999998</v>
      </c>
      <c r="D184" s="46">
        <v>45054</v>
      </c>
      <c r="E184" s="20" t="s">
        <v>89</v>
      </c>
      <c r="F184" s="1" t="s">
        <v>688</v>
      </c>
      <c r="G184" s="23" t="s">
        <v>18</v>
      </c>
      <c r="H184" s="23">
        <v>24.85</v>
      </c>
      <c r="I184" s="23">
        <v>26.25</v>
      </c>
      <c r="J184" s="23">
        <v>40.880000000000003</v>
      </c>
      <c r="K184" s="23"/>
    </row>
    <row r="185" spans="1:11" x14ac:dyDescent="0.3">
      <c r="A185" s="1"/>
      <c r="B185" s="57">
        <v>30.440882999999999</v>
      </c>
      <c r="C185" s="57">
        <v>-84.915777599999998</v>
      </c>
      <c r="D185" s="46">
        <v>45054</v>
      </c>
      <c r="E185" s="20" t="s">
        <v>89</v>
      </c>
      <c r="F185" s="1" t="s">
        <v>688</v>
      </c>
      <c r="G185" s="23" t="s">
        <v>18</v>
      </c>
      <c r="H185" s="23">
        <v>25.21</v>
      </c>
      <c r="I185" s="23">
        <v>26.66</v>
      </c>
      <c r="J185" s="23">
        <v>41.31</v>
      </c>
      <c r="K185" s="23"/>
    </row>
    <row r="186" spans="1:11" x14ac:dyDescent="0.3">
      <c r="A186" s="1"/>
      <c r="B186" s="57">
        <v>30.440882999999999</v>
      </c>
      <c r="C186" s="57">
        <v>-84.915777599999998</v>
      </c>
      <c r="D186" s="46">
        <v>45054</v>
      </c>
      <c r="E186" s="20" t="s">
        <v>89</v>
      </c>
      <c r="F186" s="1" t="s">
        <v>688</v>
      </c>
      <c r="G186" s="23" t="s">
        <v>18</v>
      </c>
      <c r="H186" s="23">
        <v>25.59</v>
      </c>
      <c r="I186" s="23">
        <v>27.67</v>
      </c>
      <c r="J186" s="23">
        <v>42.24</v>
      </c>
      <c r="K186" s="23"/>
    </row>
    <row r="187" spans="1:11" x14ac:dyDescent="0.3">
      <c r="A187" s="1"/>
      <c r="B187" s="56">
        <v>30.583428999999999</v>
      </c>
      <c r="C187" s="57">
        <v>-84.880913000000007</v>
      </c>
      <c r="D187" s="46">
        <v>45054</v>
      </c>
      <c r="E187" s="21" t="s">
        <v>72</v>
      </c>
      <c r="F187" s="1" t="s">
        <v>208</v>
      </c>
      <c r="G187" s="23" t="s">
        <v>20</v>
      </c>
      <c r="H187" s="23">
        <v>30</v>
      </c>
      <c r="I187" s="23">
        <v>32.1</v>
      </c>
      <c r="J187" s="23">
        <v>46.66</v>
      </c>
      <c r="K187" s="23"/>
    </row>
    <row r="188" spans="1:11" x14ac:dyDescent="0.3">
      <c r="A188" s="1"/>
      <c r="B188" s="57">
        <v>30.426304999999999</v>
      </c>
      <c r="C188" s="57">
        <v>-85.295137999999994</v>
      </c>
      <c r="D188" s="46">
        <v>45054</v>
      </c>
      <c r="E188" s="21" t="s">
        <v>69</v>
      </c>
      <c r="F188" s="1" t="s">
        <v>70</v>
      </c>
      <c r="G188" s="23" t="s">
        <v>20</v>
      </c>
      <c r="H188" s="23">
        <v>24.51</v>
      </c>
      <c r="I188" s="23">
        <v>25.59</v>
      </c>
      <c r="J188" s="23">
        <v>39.9</v>
      </c>
      <c r="K188" s="23"/>
    </row>
    <row r="189" spans="1:11" x14ac:dyDescent="0.3">
      <c r="A189" s="16" t="s">
        <v>38</v>
      </c>
      <c r="B189" s="57">
        <v>30.790854</v>
      </c>
      <c r="C189" s="57">
        <v>-86.792668000000006</v>
      </c>
      <c r="D189" s="47" t="s">
        <v>51</v>
      </c>
      <c r="E189" s="21" t="s">
        <v>45</v>
      </c>
      <c r="F189" s="1" t="s">
        <v>53</v>
      </c>
      <c r="G189" s="23" t="s">
        <v>20</v>
      </c>
      <c r="H189" s="23">
        <v>23.9</v>
      </c>
      <c r="I189" s="23">
        <v>25.23</v>
      </c>
      <c r="J189" s="23">
        <v>37.869999999999997</v>
      </c>
      <c r="K189" s="23">
        <v>6.57</v>
      </c>
    </row>
    <row r="190" spans="1:11" x14ac:dyDescent="0.3">
      <c r="A190" s="16" t="s">
        <v>39</v>
      </c>
      <c r="B190" s="57">
        <v>30.790854</v>
      </c>
      <c r="C190" s="57">
        <v>-86.792668000000006</v>
      </c>
      <c r="D190" s="47" t="s">
        <v>51</v>
      </c>
      <c r="E190" s="21" t="s">
        <v>45</v>
      </c>
      <c r="F190" s="1" t="s">
        <v>53</v>
      </c>
      <c r="G190" s="23" t="s">
        <v>18</v>
      </c>
      <c r="H190" s="24">
        <v>24.74</v>
      </c>
      <c r="I190" s="24">
        <v>26.47</v>
      </c>
      <c r="J190" s="23">
        <v>41.18</v>
      </c>
      <c r="K190" s="24">
        <v>6.77</v>
      </c>
    </row>
    <row r="191" spans="1:11" x14ac:dyDescent="0.3">
      <c r="A191" s="16" t="s">
        <v>188</v>
      </c>
      <c r="B191" s="56">
        <v>30.583428999999999</v>
      </c>
      <c r="C191" s="57">
        <v>-84.880913000000007</v>
      </c>
      <c r="D191" s="46" t="s">
        <v>51</v>
      </c>
      <c r="E191" s="21" t="s">
        <v>72</v>
      </c>
      <c r="F191" s="1" t="s">
        <v>207</v>
      </c>
      <c r="G191" s="23" t="s">
        <v>18</v>
      </c>
      <c r="H191" s="23">
        <v>27.04</v>
      </c>
      <c r="I191" s="23">
        <v>28.38</v>
      </c>
      <c r="J191" s="23"/>
      <c r="K191" s="23">
        <v>8.39</v>
      </c>
    </row>
    <row r="192" spans="1:11" x14ac:dyDescent="0.3">
      <c r="A192" s="1"/>
      <c r="B192" s="57"/>
      <c r="C192" s="57"/>
      <c r="D192" s="46"/>
      <c r="E192" s="20"/>
      <c r="F192" s="1"/>
      <c r="G192" s="23"/>
      <c r="H192" s="23"/>
      <c r="I192" s="23"/>
      <c r="J192" s="23"/>
      <c r="K192" s="23"/>
    </row>
    <row r="193" spans="1:11" ht="14.4" customHeight="1" x14ac:dyDescent="0.3">
      <c r="A193" s="1"/>
      <c r="B193" s="57"/>
      <c r="C193" s="57"/>
      <c r="D193" s="46"/>
      <c r="E193" s="20"/>
      <c r="F193" s="1"/>
      <c r="G193" s="23"/>
      <c r="H193" s="23"/>
      <c r="I193" s="23"/>
      <c r="J193" s="23"/>
      <c r="K193" s="23"/>
    </row>
    <row r="194" spans="1:11" x14ac:dyDescent="0.3">
      <c r="A194" s="1"/>
      <c r="B194" s="57"/>
      <c r="C194" s="57"/>
      <c r="D194" s="46"/>
      <c r="E194" s="20"/>
      <c r="F194" s="1"/>
      <c r="G194" s="23"/>
      <c r="H194" s="23"/>
      <c r="I194" s="23"/>
      <c r="J194" s="23"/>
      <c r="K194" s="23"/>
    </row>
    <row r="195" spans="1:11" x14ac:dyDescent="0.3">
      <c r="A195" s="1"/>
      <c r="B195" s="57"/>
      <c r="C195" s="57"/>
      <c r="D195" s="46"/>
      <c r="E195" s="20"/>
      <c r="F195" s="1"/>
      <c r="G195" s="23"/>
      <c r="H195" s="23"/>
      <c r="I195" s="23"/>
      <c r="J195" s="23"/>
      <c r="K195" s="23"/>
    </row>
    <row r="196" spans="1:11" x14ac:dyDescent="0.3">
      <c r="A196" s="1"/>
      <c r="B196" s="57"/>
      <c r="C196" s="57"/>
      <c r="D196" s="46"/>
      <c r="E196" s="20"/>
      <c r="F196" s="1"/>
      <c r="G196" s="23"/>
      <c r="H196" s="23"/>
      <c r="I196" s="23"/>
      <c r="J196" s="23"/>
      <c r="K196" s="23"/>
    </row>
    <row r="197" spans="1:11" x14ac:dyDescent="0.3">
      <c r="A197" s="1"/>
      <c r="B197" s="57"/>
      <c r="C197" s="57"/>
      <c r="D197" s="46"/>
      <c r="E197" s="20"/>
      <c r="F197" s="1"/>
      <c r="G197" s="23"/>
      <c r="H197" s="23"/>
      <c r="I197" s="23"/>
      <c r="J197" s="23"/>
      <c r="K197" s="23"/>
    </row>
    <row r="198" spans="1:11" x14ac:dyDescent="0.3">
      <c r="A198" s="1"/>
      <c r="B198" s="57"/>
      <c r="C198" s="57"/>
      <c r="D198" s="46"/>
      <c r="E198" s="20"/>
      <c r="F198" s="1"/>
      <c r="G198" s="23"/>
      <c r="H198" s="23"/>
      <c r="I198" s="23"/>
      <c r="J198" s="23"/>
      <c r="K198" s="23"/>
    </row>
    <row r="199" spans="1:11" ht="14.4" customHeight="1" x14ac:dyDescent="0.3">
      <c r="A199" s="1"/>
      <c r="B199" s="57"/>
      <c r="C199" s="57"/>
      <c r="D199" s="46"/>
      <c r="E199" s="20"/>
      <c r="F199" s="1"/>
      <c r="G199" s="23"/>
      <c r="H199" s="23"/>
      <c r="I199" s="23"/>
      <c r="J199" s="23"/>
      <c r="K199" s="23"/>
    </row>
    <row r="200" spans="1:11" x14ac:dyDescent="0.3">
      <c r="B200" s="62"/>
      <c r="C200" s="62"/>
    </row>
    <row r="201" spans="1:11" ht="14.4" customHeight="1" x14ac:dyDescent="0.3">
      <c r="B201" s="62"/>
      <c r="C201" s="62"/>
    </row>
    <row r="202" spans="1:11" x14ac:dyDescent="0.3">
      <c r="B202" s="62"/>
      <c r="C202" s="62"/>
    </row>
    <row r="203" spans="1:11" ht="14.4" customHeight="1" x14ac:dyDescent="0.3">
      <c r="B203" s="62"/>
      <c r="C203" s="62"/>
    </row>
    <row r="204" spans="1:11" x14ac:dyDescent="0.3">
      <c r="B204" s="62"/>
      <c r="C204" s="62"/>
    </row>
    <row r="205" spans="1:11" ht="14.4" customHeight="1" x14ac:dyDescent="0.3">
      <c r="B205" s="62"/>
      <c r="C205" s="62"/>
    </row>
    <row r="206" spans="1:11" ht="14.4" customHeight="1" x14ac:dyDescent="0.3">
      <c r="B206" s="62"/>
      <c r="C206" s="62"/>
    </row>
    <row r="207" spans="1:11" ht="14.4" customHeight="1" x14ac:dyDescent="0.3">
      <c r="B207" s="62"/>
      <c r="C207" s="62"/>
    </row>
    <row r="208" spans="1:11" x14ac:dyDescent="0.3">
      <c r="B208" s="62"/>
      <c r="C208" s="62"/>
    </row>
    <row r="209" spans="2:3" ht="14.4" customHeight="1" x14ac:dyDescent="0.3">
      <c r="B209" s="62"/>
      <c r="C209" s="62"/>
    </row>
    <row r="210" spans="2:3" x14ac:dyDescent="0.3">
      <c r="B210" s="62"/>
      <c r="C210" s="62"/>
    </row>
    <row r="211" spans="2:3" ht="14.4" customHeight="1" x14ac:dyDescent="0.3">
      <c r="B211" s="62"/>
      <c r="C211" s="62"/>
    </row>
    <row r="212" spans="2:3" x14ac:dyDescent="0.3">
      <c r="B212" s="62"/>
      <c r="C212" s="62"/>
    </row>
    <row r="213" spans="2:3" ht="14.4" customHeight="1" x14ac:dyDescent="0.3">
      <c r="B213" s="62"/>
    </row>
    <row r="214" spans="2:3" x14ac:dyDescent="0.3">
      <c r="B214" s="62"/>
    </row>
    <row r="215" spans="2:3" ht="14.4" customHeight="1" x14ac:dyDescent="0.3">
      <c r="B215" s="62"/>
    </row>
    <row r="216" spans="2:3" x14ac:dyDescent="0.3">
      <c r="B216" s="62"/>
    </row>
    <row r="217" spans="2:3" ht="14.4" customHeight="1" x14ac:dyDescent="0.3">
      <c r="B217" s="62"/>
    </row>
    <row r="218" spans="2:3" x14ac:dyDescent="0.3">
      <c r="B218" s="62"/>
    </row>
    <row r="219" spans="2:3" x14ac:dyDescent="0.3">
      <c r="B219" s="62"/>
    </row>
    <row r="220" spans="2:3" x14ac:dyDescent="0.3">
      <c r="B220" s="62"/>
    </row>
    <row r="221" spans="2:3" ht="14.4" customHeight="1" x14ac:dyDescent="0.3">
      <c r="B221" s="62"/>
    </row>
    <row r="222" spans="2:3" x14ac:dyDescent="0.3">
      <c r="B222" s="62"/>
    </row>
    <row r="223" spans="2:3" x14ac:dyDescent="0.3">
      <c r="B223" s="62"/>
    </row>
    <row r="224" spans="2:3" x14ac:dyDescent="0.3">
      <c r="B224" s="62"/>
    </row>
    <row r="225" spans="2:2" x14ac:dyDescent="0.3">
      <c r="B225" s="62"/>
    </row>
    <row r="226" spans="2:2" x14ac:dyDescent="0.3">
      <c r="B226" s="62"/>
    </row>
    <row r="227" spans="2:2" x14ac:dyDescent="0.3">
      <c r="B227" s="62"/>
    </row>
    <row r="228" spans="2:2" x14ac:dyDescent="0.3">
      <c r="B228" s="62"/>
    </row>
    <row r="229" spans="2:2" x14ac:dyDescent="0.3">
      <c r="B229" s="62"/>
    </row>
    <row r="230" spans="2:2" x14ac:dyDescent="0.3">
      <c r="B230" s="62"/>
    </row>
    <row r="231" spans="2:2" x14ac:dyDescent="0.3">
      <c r="B231" s="62"/>
    </row>
    <row r="232" spans="2:2" x14ac:dyDescent="0.3">
      <c r="B232" s="62"/>
    </row>
    <row r="233" spans="2:2" x14ac:dyDescent="0.3">
      <c r="B233" s="62"/>
    </row>
    <row r="234" spans="2:2" x14ac:dyDescent="0.3">
      <c r="B234" s="62"/>
    </row>
    <row r="235" spans="2:2" x14ac:dyDescent="0.3">
      <c r="B235" s="62"/>
    </row>
    <row r="236" spans="2:2" x14ac:dyDescent="0.3">
      <c r="B236" s="62"/>
    </row>
    <row r="237" spans="2:2" ht="14.4" customHeight="1" x14ac:dyDescent="0.3">
      <c r="B237" s="62"/>
    </row>
    <row r="238" spans="2:2" x14ac:dyDescent="0.3">
      <c r="B238" s="62"/>
    </row>
    <row r="239" spans="2:2" ht="14.4" customHeight="1" x14ac:dyDescent="0.3"/>
    <row r="241" ht="14.4" customHeight="1" x14ac:dyDescent="0.3"/>
    <row r="243" ht="14.4" customHeight="1" x14ac:dyDescent="0.3"/>
    <row r="245" ht="14.4" customHeight="1" x14ac:dyDescent="0.3"/>
    <row r="247" ht="14.4" customHeight="1" x14ac:dyDescent="0.3"/>
    <row r="249" ht="14.4" customHeight="1" x14ac:dyDescent="0.3"/>
    <row r="263" ht="14.4" customHeight="1" x14ac:dyDescent="0.3"/>
    <row r="265" ht="14.4" customHeight="1" x14ac:dyDescent="0.3"/>
    <row r="267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9" ht="14.4" customHeight="1" x14ac:dyDescent="0.3"/>
    <row r="280" ht="14.4" customHeight="1" x14ac:dyDescent="0.3"/>
  </sheetData>
  <sortState xmlns:xlrd2="http://schemas.microsoft.com/office/spreadsheetml/2017/richdata2" ref="A2:L280">
    <sortCondition ref="D1:D280"/>
  </sortState>
  <phoneticPr fontId="4" type="noConversion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0D1-A8BF-4054-A5AD-2E38BF2A0783}">
  <dimension ref="A1:G283"/>
  <sheetViews>
    <sheetView workbookViewId="0">
      <selection activeCell="B13" sqref="B13"/>
    </sheetView>
  </sheetViews>
  <sheetFormatPr defaultRowHeight="14.4" x14ac:dyDescent="0.3"/>
  <cols>
    <col min="1" max="1" width="20.109375" style="7" customWidth="1"/>
    <col min="2" max="2" width="18.77734375" customWidth="1"/>
    <col min="3" max="3" width="15.33203125" style="50" bestFit="1" customWidth="1"/>
    <col min="4" max="4" width="16.88671875" style="6" customWidth="1"/>
    <col min="5" max="5" width="27.21875" customWidth="1"/>
    <col min="6" max="6" width="6.6640625" style="7" bestFit="1" customWidth="1"/>
    <col min="7" max="7" width="14.6640625" style="7" customWidth="1"/>
  </cols>
  <sheetData>
    <row r="1" spans="1:7" s="2" customFormat="1" x14ac:dyDescent="0.3">
      <c r="A1" s="3" t="s">
        <v>2</v>
      </c>
      <c r="B1" s="3" t="s">
        <v>1</v>
      </c>
      <c r="C1" s="72" t="s">
        <v>3</v>
      </c>
      <c r="D1" s="3" t="s">
        <v>536</v>
      </c>
      <c r="E1" s="3" t="s">
        <v>5</v>
      </c>
      <c r="F1" s="3" t="s">
        <v>17</v>
      </c>
      <c r="G1" s="3" t="s">
        <v>539</v>
      </c>
    </row>
    <row r="2" spans="1:7" ht="14.4" customHeight="1" x14ac:dyDescent="0.3">
      <c r="A2" s="57">
        <v>31.347936000000001</v>
      </c>
      <c r="B2" s="1">
        <v>-86.529245000000003</v>
      </c>
      <c r="C2" s="46">
        <v>30476</v>
      </c>
      <c r="D2" s="73" t="s">
        <v>729</v>
      </c>
      <c r="E2" s="1" t="s">
        <v>734</v>
      </c>
      <c r="F2" s="23" t="s">
        <v>20</v>
      </c>
      <c r="G2" s="23">
        <v>47.05</v>
      </c>
    </row>
    <row r="3" spans="1:7" x14ac:dyDescent="0.3">
      <c r="A3" s="57">
        <v>31.347936000000001</v>
      </c>
      <c r="B3" s="1">
        <v>-86.529245000000003</v>
      </c>
      <c r="C3" s="46">
        <v>30476</v>
      </c>
      <c r="D3" s="73" t="s">
        <v>729</v>
      </c>
      <c r="E3" s="1" t="s">
        <v>734</v>
      </c>
      <c r="F3" s="23" t="s">
        <v>20</v>
      </c>
      <c r="G3" s="23">
        <v>49.9</v>
      </c>
    </row>
    <row r="4" spans="1:7" ht="14.4" customHeight="1" x14ac:dyDescent="0.3">
      <c r="A4" s="57">
        <v>31.095338000000002</v>
      </c>
      <c r="B4" s="57">
        <v>-86.436136000000005</v>
      </c>
      <c r="C4" s="46">
        <v>30475</v>
      </c>
      <c r="D4" s="1" t="s">
        <v>729</v>
      </c>
      <c r="E4" s="1" t="s">
        <v>735</v>
      </c>
      <c r="F4" s="23" t="s">
        <v>18</v>
      </c>
      <c r="G4" s="23">
        <v>50.49</v>
      </c>
    </row>
    <row r="5" spans="1:7" x14ac:dyDescent="0.3">
      <c r="A5" s="57">
        <v>31.095338000000002</v>
      </c>
      <c r="B5" s="57">
        <v>-86.436136000000005</v>
      </c>
      <c r="C5" s="46">
        <v>30475</v>
      </c>
      <c r="D5" s="1" t="s">
        <v>729</v>
      </c>
      <c r="E5" s="1" t="s">
        <v>735</v>
      </c>
      <c r="F5" s="23" t="s">
        <v>20</v>
      </c>
      <c r="G5" s="23">
        <v>50.07</v>
      </c>
    </row>
    <row r="6" spans="1:7" x14ac:dyDescent="0.3">
      <c r="A6" s="57">
        <v>31.327769</v>
      </c>
      <c r="B6" s="57">
        <v>-85.690488999999999</v>
      </c>
      <c r="C6" s="46">
        <v>29400</v>
      </c>
      <c r="D6" s="1" t="s">
        <v>728</v>
      </c>
      <c r="E6" s="1" t="s">
        <v>733</v>
      </c>
      <c r="F6" s="23" t="s">
        <v>18</v>
      </c>
      <c r="G6" s="23">
        <v>51.8</v>
      </c>
    </row>
    <row r="7" spans="1:7" x14ac:dyDescent="0.3">
      <c r="A7" s="57">
        <v>31.327769</v>
      </c>
      <c r="B7" s="57">
        <v>-85.690488999999999</v>
      </c>
      <c r="C7" s="46">
        <v>29400</v>
      </c>
      <c r="D7" s="73" t="s">
        <v>728</v>
      </c>
      <c r="E7" s="1" t="s">
        <v>733</v>
      </c>
      <c r="F7" s="23" t="s">
        <v>18</v>
      </c>
      <c r="G7" s="23">
        <v>51.23</v>
      </c>
    </row>
    <row r="8" spans="1:7" x14ac:dyDescent="0.3">
      <c r="A8" s="57">
        <v>31.028739999999999</v>
      </c>
      <c r="B8" s="57">
        <v>-86.704650000000001</v>
      </c>
      <c r="C8" s="46">
        <v>29714</v>
      </c>
      <c r="D8" s="1" t="s">
        <v>727</v>
      </c>
      <c r="E8" s="1" t="s">
        <v>731</v>
      </c>
      <c r="F8" s="23" t="s">
        <v>18</v>
      </c>
      <c r="G8" s="23">
        <v>46.78</v>
      </c>
    </row>
    <row r="9" spans="1:7" x14ac:dyDescent="0.3">
      <c r="A9" s="57">
        <v>31.028739999999999</v>
      </c>
      <c r="B9" s="57">
        <v>-86.704650000000001</v>
      </c>
      <c r="C9" s="46">
        <v>29714</v>
      </c>
      <c r="D9" s="1" t="s">
        <v>727</v>
      </c>
      <c r="E9" s="1" t="s">
        <v>731</v>
      </c>
      <c r="F9" s="23" t="s">
        <v>18</v>
      </c>
      <c r="G9" s="23">
        <v>46.32</v>
      </c>
    </row>
    <row r="10" spans="1:7" x14ac:dyDescent="0.3">
      <c r="A10" s="57">
        <v>31.028739999999999</v>
      </c>
      <c r="B10" s="57">
        <v>-86.704650000000001</v>
      </c>
      <c r="C10" s="46">
        <v>29714</v>
      </c>
      <c r="D10" s="1" t="s">
        <v>727</v>
      </c>
      <c r="E10" s="1" t="s">
        <v>731</v>
      </c>
      <c r="F10" s="23" t="s">
        <v>18</v>
      </c>
      <c r="G10" s="23">
        <v>47.6</v>
      </c>
    </row>
    <row r="11" spans="1:7" x14ac:dyDescent="0.3">
      <c r="A11" s="57">
        <v>31.298850000000002</v>
      </c>
      <c r="B11" s="57">
        <v>-87.710633000000001</v>
      </c>
      <c r="C11" s="46">
        <v>33761</v>
      </c>
      <c r="D11" s="1" t="s">
        <v>727</v>
      </c>
      <c r="E11" s="1" t="s">
        <v>732</v>
      </c>
      <c r="F11" s="23" t="s">
        <v>18</v>
      </c>
      <c r="G11" s="23">
        <v>49.05</v>
      </c>
    </row>
    <row r="12" spans="1:7" x14ac:dyDescent="0.3">
      <c r="A12" s="57">
        <v>31.028739999999999</v>
      </c>
      <c r="B12" s="57">
        <v>-86.704650000000001</v>
      </c>
      <c r="C12" s="46">
        <v>29714</v>
      </c>
      <c r="D12" s="1" t="s">
        <v>727</v>
      </c>
      <c r="E12" s="1" t="s">
        <v>731</v>
      </c>
      <c r="F12" s="23" t="s">
        <v>20</v>
      </c>
      <c r="G12" s="23">
        <v>45.6</v>
      </c>
    </row>
    <row r="13" spans="1:7" x14ac:dyDescent="0.3">
      <c r="A13" s="57">
        <v>31.028739999999999</v>
      </c>
      <c r="B13" s="57">
        <v>-86.704650000000001</v>
      </c>
      <c r="C13" s="46">
        <v>29714</v>
      </c>
      <c r="D13" s="1" t="s">
        <v>727</v>
      </c>
      <c r="E13" s="1" t="s">
        <v>731</v>
      </c>
      <c r="F13" s="23" t="s">
        <v>18</v>
      </c>
      <c r="G13" s="23">
        <v>47.38</v>
      </c>
    </row>
    <row r="14" spans="1:7" ht="14.4" customHeight="1" x14ac:dyDescent="0.3">
      <c r="A14" s="57">
        <v>29.695982999999998</v>
      </c>
      <c r="B14" s="57">
        <v>-82.345084999999997</v>
      </c>
      <c r="C14" s="46">
        <v>17705</v>
      </c>
      <c r="D14" s="1" t="s">
        <v>695</v>
      </c>
      <c r="E14" s="1" t="s">
        <v>696</v>
      </c>
      <c r="F14" s="23" t="s">
        <v>20</v>
      </c>
      <c r="G14" s="23">
        <v>54.49</v>
      </c>
    </row>
    <row r="15" spans="1:7" ht="14.4" customHeight="1" x14ac:dyDescent="0.3">
      <c r="A15" s="56">
        <v>29.598604000000002</v>
      </c>
      <c r="B15" s="57">
        <v>-82.188855000000004</v>
      </c>
      <c r="C15" s="46">
        <v>24985</v>
      </c>
      <c r="D15" s="1" t="s">
        <v>695</v>
      </c>
      <c r="E15" s="1" t="s">
        <v>698</v>
      </c>
      <c r="F15" s="23" t="s">
        <v>20</v>
      </c>
      <c r="G15" s="23">
        <v>47.23</v>
      </c>
    </row>
    <row r="16" spans="1:7" ht="14.4" customHeight="1" x14ac:dyDescent="0.3">
      <c r="A16" s="56">
        <v>29.598604000000002</v>
      </c>
      <c r="B16" s="57">
        <v>-82.188855000000004</v>
      </c>
      <c r="C16" s="46">
        <v>24985</v>
      </c>
      <c r="D16" s="1" t="s">
        <v>695</v>
      </c>
      <c r="E16" s="1" t="s">
        <v>698</v>
      </c>
      <c r="F16" s="23" t="s">
        <v>18</v>
      </c>
      <c r="G16" s="23">
        <v>49.98</v>
      </c>
    </row>
    <row r="17" spans="1:7" x14ac:dyDescent="0.3">
      <c r="A17" s="56">
        <v>29.598604000000002</v>
      </c>
      <c r="B17" s="57">
        <v>-82.188855000000004</v>
      </c>
      <c r="C17" s="46">
        <v>24985</v>
      </c>
      <c r="D17" s="1" t="s">
        <v>695</v>
      </c>
      <c r="E17" s="1" t="s">
        <v>698</v>
      </c>
      <c r="F17" s="23" t="s">
        <v>18</v>
      </c>
      <c r="G17" s="23">
        <v>51.36</v>
      </c>
    </row>
    <row r="18" spans="1:7" ht="14.4" customHeight="1" x14ac:dyDescent="0.3">
      <c r="A18" s="56">
        <v>29.598604000000002</v>
      </c>
      <c r="B18" s="57">
        <v>-82.188855000000004</v>
      </c>
      <c r="C18" s="46">
        <v>24985</v>
      </c>
      <c r="D18" s="1" t="s">
        <v>695</v>
      </c>
      <c r="E18" s="1" t="s">
        <v>698</v>
      </c>
      <c r="F18" s="23" t="s">
        <v>18</v>
      </c>
      <c r="G18" s="23">
        <v>53.58</v>
      </c>
    </row>
    <row r="19" spans="1:7" x14ac:dyDescent="0.3">
      <c r="A19" s="57">
        <v>29.716925</v>
      </c>
      <c r="B19" s="57">
        <v>-82.415413000000001</v>
      </c>
      <c r="C19" s="46">
        <v>27572</v>
      </c>
      <c r="D19" s="1" t="s">
        <v>695</v>
      </c>
      <c r="E19" s="1" t="s">
        <v>699</v>
      </c>
      <c r="F19" s="23" t="s">
        <v>18</v>
      </c>
      <c r="G19" s="23">
        <v>51.42</v>
      </c>
    </row>
    <row r="20" spans="1:7" ht="14.4" customHeight="1" x14ac:dyDescent="0.3">
      <c r="A20" s="57">
        <v>29.703181000000001</v>
      </c>
      <c r="B20" s="57">
        <v>-82.210975000000005</v>
      </c>
      <c r="C20" s="46">
        <v>27582</v>
      </c>
      <c r="D20" s="1" t="s">
        <v>695</v>
      </c>
      <c r="E20" s="1" t="s">
        <v>700</v>
      </c>
      <c r="F20" s="23" t="s">
        <v>18</v>
      </c>
      <c r="G20" s="23">
        <v>51.15</v>
      </c>
    </row>
    <row r="21" spans="1:7" x14ac:dyDescent="0.3">
      <c r="A21" s="57">
        <v>29.703181000000001</v>
      </c>
      <c r="B21" s="57">
        <v>-82.210975000000005</v>
      </c>
      <c r="C21" s="46">
        <v>26444</v>
      </c>
      <c r="D21" s="1" t="s">
        <v>695</v>
      </c>
      <c r="E21" s="1" t="s">
        <v>702</v>
      </c>
      <c r="F21" s="23" t="s">
        <v>18</v>
      </c>
      <c r="G21" s="23">
        <v>48.06</v>
      </c>
    </row>
    <row r="22" spans="1:7" ht="14.4" customHeight="1" x14ac:dyDescent="0.3">
      <c r="A22" s="57">
        <v>29.703181000000001</v>
      </c>
      <c r="B22" s="57">
        <v>-82.210975000000005</v>
      </c>
      <c r="C22" s="46">
        <v>26444</v>
      </c>
      <c r="D22" s="1" t="s">
        <v>695</v>
      </c>
      <c r="E22" s="1" t="s">
        <v>702</v>
      </c>
      <c r="F22" s="23" t="s">
        <v>18</v>
      </c>
      <c r="G22" s="23">
        <v>49.9</v>
      </c>
    </row>
    <row r="23" spans="1:7" x14ac:dyDescent="0.3">
      <c r="A23" s="56">
        <v>29.598604000000002</v>
      </c>
      <c r="B23" s="57">
        <v>-82.188855000000004</v>
      </c>
      <c r="C23" s="46">
        <v>26144</v>
      </c>
      <c r="D23" s="1" t="s">
        <v>695</v>
      </c>
      <c r="E23" s="1" t="s">
        <v>698</v>
      </c>
      <c r="F23" s="23" t="s">
        <v>18</v>
      </c>
      <c r="G23" s="23">
        <v>48.93</v>
      </c>
    </row>
    <row r="24" spans="1:7" ht="14.4" customHeight="1" x14ac:dyDescent="0.3">
      <c r="A24" s="56">
        <v>29.598604000000002</v>
      </c>
      <c r="B24" s="57">
        <v>-82.188855000000004</v>
      </c>
      <c r="C24" s="46">
        <v>26430</v>
      </c>
      <c r="D24" s="1" t="s">
        <v>695</v>
      </c>
      <c r="E24" s="1" t="s">
        <v>698</v>
      </c>
      <c r="F24" s="23" t="s">
        <v>20</v>
      </c>
      <c r="G24" s="23">
        <v>50.46</v>
      </c>
    </row>
    <row r="25" spans="1:7" ht="14.4" customHeight="1" x14ac:dyDescent="0.3">
      <c r="A25" s="56">
        <v>29.598604000000002</v>
      </c>
      <c r="B25" s="57">
        <v>-82.188855000000004</v>
      </c>
      <c r="C25" s="46">
        <v>26784</v>
      </c>
      <c r="D25" s="1" t="s">
        <v>695</v>
      </c>
      <c r="E25" s="1" t="s">
        <v>698</v>
      </c>
      <c r="F25" s="23" t="s">
        <v>18</v>
      </c>
      <c r="G25" s="23">
        <v>46.93</v>
      </c>
    </row>
    <row r="26" spans="1:7" ht="14.4" customHeight="1" x14ac:dyDescent="0.3">
      <c r="A26" s="56">
        <v>29.598604000000002</v>
      </c>
      <c r="B26" s="57">
        <v>-82.188855000000004</v>
      </c>
      <c r="C26" s="46">
        <v>27137</v>
      </c>
      <c r="D26" s="1" t="s">
        <v>695</v>
      </c>
      <c r="E26" s="1" t="s">
        <v>698</v>
      </c>
      <c r="F26" s="23" t="s">
        <v>20</v>
      </c>
      <c r="G26" s="23">
        <v>47.63</v>
      </c>
    </row>
    <row r="27" spans="1:7" ht="14.4" customHeight="1" x14ac:dyDescent="0.3">
      <c r="A27" s="56">
        <v>29.598604000000002</v>
      </c>
      <c r="B27" s="57">
        <v>-82.188855000000004</v>
      </c>
      <c r="C27" s="46">
        <v>27149</v>
      </c>
      <c r="D27" s="1" t="s">
        <v>695</v>
      </c>
      <c r="E27" s="1" t="s">
        <v>698</v>
      </c>
      <c r="F27" s="23" t="s">
        <v>18</v>
      </c>
      <c r="G27" s="23">
        <v>47.71</v>
      </c>
    </row>
    <row r="28" spans="1:7" ht="14.4" customHeight="1" x14ac:dyDescent="0.3">
      <c r="A28" s="56">
        <v>29.598604000000002</v>
      </c>
      <c r="B28" s="57">
        <v>-82.188855000000004</v>
      </c>
      <c r="C28" s="46">
        <v>27492</v>
      </c>
      <c r="D28" s="1" t="s">
        <v>695</v>
      </c>
      <c r="E28" s="1" t="s">
        <v>698</v>
      </c>
      <c r="F28" s="23" t="s">
        <v>18</v>
      </c>
      <c r="G28" s="23">
        <v>48.85</v>
      </c>
    </row>
    <row r="29" spans="1:7" ht="14.4" customHeight="1" x14ac:dyDescent="0.3">
      <c r="A29" s="56">
        <v>29.598604000000002</v>
      </c>
      <c r="B29" s="57">
        <v>-82.188855000000004</v>
      </c>
      <c r="C29" s="46">
        <v>27526</v>
      </c>
      <c r="D29" s="1" t="s">
        <v>695</v>
      </c>
      <c r="E29" s="1" t="s">
        <v>698</v>
      </c>
      <c r="F29" s="23" t="s">
        <v>20</v>
      </c>
      <c r="G29" s="23">
        <v>48.19</v>
      </c>
    </row>
    <row r="30" spans="1:7" ht="14.4" customHeight="1" x14ac:dyDescent="0.3">
      <c r="A30" s="56">
        <v>29.598604000000002</v>
      </c>
      <c r="B30" s="57">
        <v>-82.188855000000004</v>
      </c>
      <c r="C30" s="46">
        <v>27526</v>
      </c>
      <c r="D30" s="1" t="s">
        <v>695</v>
      </c>
      <c r="E30" s="1" t="s">
        <v>698</v>
      </c>
      <c r="F30" s="23" t="s">
        <v>20</v>
      </c>
      <c r="G30" s="23">
        <v>43.71</v>
      </c>
    </row>
    <row r="31" spans="1:7" x14ac:dyDescent="0.3">
      <c r="A31" s="56">
        <v>29.598604000000002</v>
      </c>
      <c r="B31" s="57">
        <v>-82.188855000000004</v>
      </c>
      <c r="C31" s="46">
        <v>27537</v>
      </c>
      <c r="D31" s="1" t="s">
        <v>695</v>
      </c>
      <c r="E31" s="1" t="s">
        <v>698</v>
      </c>
      <c r="F31" s="23" t="s">
        <v>18</v>
      </c>
      <c r="G31" s="23">
        <v>44.12</v>
      </c>
    </row>
    <row r="32" spans="1:7" ht="14.4" customHeight="1" x14ac:dyDescent="0.3">
      <c r="A32" s="56">
        <v>29.598604000000002</v>
      </c>
      <c r="B32" s="57">
        <v>-82.188855000000004</v>
      </c>
      <c r="C32" s="46">
        <v>27537</v>
      </c>
      <c r="D32" s="1" t="s">
        <v>695</v>
      </c>
      <c r="E32" s="1" t="s">
        <v>698</v>
      </c>
      <c r="F32" s="23" t="s">
        <v>18</v>
      </c>
      <c r="G32" s="23">
        <v>46.25</v>
      </c>
    </row>
    <row r="33" spans="1:7" ht="14.4" customHeight="1" x14ac:dyDescent="0.3">
      <c r="A33" s="57">
        <v>29.661017999999999</v>
      </c>
      <c r="B33" s="57">
        <v>-82.263119000000003</v>
      </c>
      <c r="C33" s="46">
        <v>25351</v>
      </c>
      <c r="D33" s="1" t="s">
        <v>695</v>
      </c>
      <c r="E33" s="1" t="s">
        <v>703</v>
      </c>
      <c r="F33" s="23" t="s">
        <v>18</v>
      </c>
      <c r="G33" s="23">
        <v>55.05</v>
      </c>
    </row>
    <row r="34" spans="1:7" ht="14.4" customHeight="1" x14ac:dyDescent="0.3">
      <c r="A34" s="57">
        <v>29.706751000000001</v>
      </c>
      <c r="B34" s="57">
        <v>-82.394011000000006</v>
      </c>
      <c r="C34" s="46">
        <v>25365</v>
      </c>
      <c r="D34" s="1" t="s">
        <v>695</v>
      </c>
      <c r="E34" s="1" t="s">
        <v>704</v>
      </c>
      <c r="F34" s="23" t="s">
        <v>18</v>
      </c>
      <c r="G34" s="23">
        <v>53.85</v>
      </c>
    </row>
    <row r="35" spans="1:7" ht="14.4" customHeight="1" x14ac:dyDescent="0.3">
      <c r="A35" s="57">
        <v>29.706751000000001</v>
      </c>
      <c r="B35" s="57">
        <v>-82.394011000000006</v>
      </c>
      <c r="C35" s="46">
        <v>26480</v>
      </c>
      <c r="D35" s="1" t="s">
        <v>695</v>
      </c>
      <c r="E35" s="1" t="s">
        <v>705</v>
      </c>
      <c r="F35" s="23" t="s">
        <v>18</v>
      </c>
      <c r="G35" s="23">
        <v>54.24</v>
      </c>
    </row>
    <row r="36" spans="1:7" ht="14.4" customHeight="1" x14ac:dyDescent="0.3">
      <c r="A36" s="57">
        <v>29.712629</v>
      </c>
      <c r="B36" s="57">
        <v>-82.454526000000001</v>
      </c>
      <c r="C36" s="46">
        <v>27563</v>
      </c>
      <c r="D36" s="1" t="s">
        <v>695</v>
      </c>
      <c r="E36" s="1" t="s">
        <v>706</v>
      </c>
      <c r="F36" s="23" t="s">
        <v>18</v>
      </c>
      <c r="G36" s="23">
        <v>51.61</v>
      </c>
    </row>
    <row r="37" spans="1:7" x14ac:dyDescent="0.3">
      <c r="A37" s="57">
        <v>29.712629</v>
      </c>
      <c r="B37" s="57">
        <v>-82.454526000000001</v>
      </c>
      <c r="C37" s="46">
        <v>27563</v>
      </c>
      <c r="D37" s="1" t="s">
        <v>695</v>
      </c>
      <c r="E37" s="1" t="s">
        <v>706</v>
      </c>
      <c r="F37" s="23" t="s">
        <v>20</v>
      </c>
      <c r="G37" s="23">
        <v>51.5</v>
      </c>
    </row>
    <row r="38" spans="1:7" ht="14.4" customHeight="1" x14ac:dyDescent="0.3">
      <c r="A38" s="57">
        <v>29.687957000000001</v>
      </c>
      <c r="B38" s="56">
        <v>-82.206793000000005</v>
      </c>
      <c r="C38" s="46">
        <v>25361</v>
      </c>
      <c r="D38" s="1" t="s">
        <v>695</v>
      </c>
      <c r="E38" s="1" t="s">
        <v>736</v>
      </c>
      <c r="F38" s="23" t="s">
        <v>18</v>
      </c>
      <c r="G38" s="23">
        <v>49.76</v>
      </c>
    </row>
    <row r="39" spans="1:7" x14ac:dyDescent="0.3">
      <c r="A39" s="56">
        <v>29.598604000000002</v>
      </c>
      <c r="B39" s="57">
        <v>-82.188855000000004</v>
      </c>
      <c r="C39" s="46">
        <v>24985</v>
      </c>
      <c r="D39" s="1" t="s">
        <v>695</v>
      </c>
      <c r="E39" s="1" t="s">
        <v>698</v>
      </c>
      <c r="F39" s="23" t="s">
        <v>18</v>
      </c>
      <c r="G39" s="23">
        <v>49.1</v>
      </c>
    </row>
    <row r="40" spans="1:7" ht="14.4" customHeight="1" x14ac:dyDescent="0.3">
      <c r="A40" s="56">
        <v>29.598604000000002</v>
      </c>
      <c r="B40" s="57">
        <v>-82.188855000000004</v>
      </c>
      <c r="C40" s="46">
        <v>24985</v>
      </c>
      <c r="D40" s="1" t="s">
        <v>695</v>
      </c>
      <c r="E40" s="1" t="s">
        <v>698</v>
      </c>
      <c r="F40" s="23" t="s">
        <v>18</v>
      </c>
      <c r="G40" s="23">
        <v>50.34</v>
      </c>
    </row>
    <row r="41" spans="1:7" x14ac:dyDescent="0.3">
      <c r="A41" s="56">
        <v>29.598604000000002</v>
      </c>
      <c r="B41" s="57">
        <v>-82.188855000000004</v>
      </c>
      <c r="C41" s="46">
        <v>24985</v>
      </c>
      <c r="D41" s="1" t="s">
        <v>695</v>
      </c>
      <c r="E41" s="1" t="s">
        <v>698</v>
      </c>
      <c r="F41" s="23" t="s">
        <v>18</v>
      </c>
      <c r="G41" s="23">
        <v>48</v>
      </c>
    </row>
    <row r="42" spans="1:7" ht="14.4" customHeight="1" x14ac:dyDescent="0.3">
      <c r="A42" s="57">
        <v>29.675851999999999</v>
      </c>
      <c r="B42" s="57">
        <v>-82.271482000000006</v>
      </c>
      <c r="C42" s="46">
        <v>26782</v>
      </c>
      <c r="D42" s="1" t="s">
        <v>695</v>
      </c>
      <c r="E42" s="1" t="s">
        <v>739</v>
      </c>
      <c r="F42" s="23" t="s">
        <v>18</v>
      </c>
      <c r="G42" s="23">
        <v>44.16</v>
      </c>
    </row>
    <row r="43" spans="1:7" x14ac:dyDescent="0.3">
      <c r="A43" s="57">
        <v>29.675851999999999</v>
      </c>
      <c r="B43" s="57">
        <v>-82.271482000000006</v>
      </c>
      <c r="C43" s="46">
        <v>29366</v>
      </c>
      <c r="D43" s="1" t="s">
        <v>695</v>
      </c>
      <c r="E43" s="1" t="s">
        <v>739</v>
      </c>
      <c r="F43" s="23" t="s">
        <v>18</v>
      </c>
      <c r="G43" s="23">
        <v>47.72</v>
      </c>
    </row>
    <row r="44" spans="1:7" x14ac:dyDescent="0.3">
      <c r="A44" s="57">
        <v>29.797284999999999</v>
      </c>
      <c r="B44" s="1">
        <v>-82.325095000000005</v>
      </c>
      <c r="C44" s="46">
        <v>28256</v>
      </c>
      <c r="D44" s="73" t="s">
        <v>695</v>
      </c>
      <c r="E44" s="1" t="s">
        <v>741</v>
      </c>
      <c r="F44" s="23" t="s">
        <v>18</v>
      </c>
      <c r="G44" s="23">
        <v>47.8</v>
      </c>
    </row>
    <row r="45" spans="1:7" ht="14.4" customHeight="1" x14ac:dyDescent="0.3">
      <c r="A45" s="57">
        <v>29.652135000000001</v>
      </c>
      <c r="B45" s="1">
        <v>-82.320520000000002</v>
      </c>
      <c r="C45" s="46">
        <v>12972</v>
      </c>
      <c r="D45" s="73" t="s">
        <v>695</v>
      </c>
      <c r="E45" s="1" t="s">
        <v>742</v>
      </c>
      <c r="F45" s="23" t="s">
        <v>18</v>
      </c>
      <c r="G45" s="23">
        <v>53.9</v>
      </c>
    </row>
    <row r="46" spans="1:7" ht="14.4" customHeight="1" x14ac:dyDescent="0.3">
      <c r="A46" s="57">
        <v>29.703181000000001</v>
      </c>
      <c r="B46" s="57">
        <v>-82.210975000000005</v>
      </c>
      <c r="C46" s="46">
        <v>30118</v>
      </c>
      <c r="D46" s="73" t="s">
        <v>695</v>
      </c>
      <c r="E46" s="1" t="s">
        <v>743</v>
      </c>
      <c r="F46" s="23" t="s">
        <v>18</v>
      </c>
      <c r="G46" s="23">
        <v>50.6</v>
      </c>
    </row>
    <row r="47" spans="1:7" ht="14.4" customHeight="1" x14ac:dyDescent="0.3">
      <c r="A47" s="57">
        <v>29.683904999999999</v>
      </c>
      <c r="B47" s="57">
        <v>-82.276280999999997</v>
      </c>
      <c r="C47" s="46">
        <v>24955</v>
      </c>
      <c r="D47" s="1" t="s">
        <v>695</v>
      </c>
      <c r="E47" s="1" t="s">
        <v>771</v>
      </c>
      <c r="F47" s="23" t="s">
        <v>18</v>
      </c>
      <c r="G47" s="23">
        <v>49.4</v>
      </c>
    </row>
    <row r="48" spans="1:7" ht="14.4" customHeight="1" x14ac:dyDescent="0.3">
      <c r="A48" s="57">
        <v>29.675851999999999</v>
      </c>
      <c r="B48" s="57">
        <v>-82.271482000000006</v>
      </c>
      <c r="C48" s="46">
        <v>29366</v>
      </c>
      <c r="D48" s="1" t="s">
        <v>695</v>
      </c>
      <c r="E48" s="1" t="s">
        <v>747</v>
      </c>
      <c r="F48" s="23" t="s">
        <v>18</v>
      </c>
      <c r="G48" s="23">
        <v>48.39</v>
      </c>
    </row>
    <row r="49" spans="1:7" ht="14.4" customHeight="1" x14ac:dyDescent="0.3">
      <c r="A49" s="57">
        <v>29.695879000000001</v>
      </c>
      <c r="B49" s="57">
        <v>-82.344924000000006</v>
      </c>
      <c r="C49" s="46">
        <v>25011</v>
      </c>
      <c r="D49" s="1" t="s">
        <v>695</v>
      </c>
      <c r="E49" s="1" t="s">
        <v>696</v>
      </c>
      <c r="F49" s="23" t="s">
        <v>18</v>
      </c>
      <c r="G49" s="23">
        <v>55.38</v>
      </c>
    </row>
    <row r="50" spans="1:7" x14ac:dyDescent="0.3">
      <c r="A50" s="57">
        <v>29.695879000000001</v>
      </c>
      <c r="B50" s="57">
        <v>-82.344924000000006</v>
      </c>
      <c r="C50" s="46">
        <v>25011</v>
      </c>
      <c r="D50" s="1" t="s">
        <v>695</v>
      </c>
      <c r="E50" s="1" t="s">
        <v>696</v>
      </c>
      <c r="F50" s="23" t="s">
        <v>20</v>
      </c>
      <c r="G50" s="23">
        <v>49.51</v>
      </c>
    </row>
    <row r="51" spans="1:7" ht="14.4" customHeight="1" x14ac:dyDescent="0.3">
      <c r="A51" s="56">
        <v>29.598604000000002</v>
      </c>
      <c r="B51" s="57">
        <v>-82.188855000000004</v>
      </c>
      <c r="C51" s="46">
        <v>24650</v>
      </c>
      <c r="D51" s="1" t="s">
        <v>695</v>
      </c>
      <c r="E51" s="1" t="s">
        <v>748</v>
      </c>
      <c r="F51" s="23" t="s">
        <v>18</v>
      </c>
      <c r="G51" s="23">
        <v>47.88</v>
      </c>
    </row>
    <row r="52" spans="1:7" ht="14.4" customHeight="1" x14ac:dyDescent="0.3">
      <c r="A52" s="56">
        <v>29.598604000000002</v>
      </c>
      <c r="B52" s="57">
        <v>-82.188855000000004</v>
      </c>
      <c r="C52" s="46">
        <v>26782</v>
      </c>
      <c r="D52" s="1" t="s">
        <v>695</v>
      </c>
      <c r="E52" s="1" t="s">
        <v>749</v>
      </c>
      <c r="F52" s="23" t="s">
        <v>20</v>
      </c>
      <c r="G52" s="23">
        <v>47.93</v>
      </c>
    </row>
    <row r="53" spans="1:7" ht="14.4" customHeight="1" x14ac:dyDescent="0.3">
      <c r="A53" s="56">
        <v>29.598604000000002</v>
      </c>
      <c r="B53" s="57">
        <v>-82.188855000000004</v>
      </c>
      <c r="C53" s="46">
        <v>26796</v>
      </c>
      <c r="D53" s="1" t="s">
        <v>695</v>
      </c>
      <c r="E53" s="1" t="s">
        <v>749</v>
      </c>
      <c r="F53" s="23" t="s">
        <v>18</v>
      </c>
      <c r="G53" s="23">
        <v>49.96</v>
      </c>
    </row>
    <row r="54" spans="1:7" x14ac:dyDescent="0.3">
      <c r="A54" s="56">
        <v>29.598604000000002</v>
      </c>
      <c r="B54" s="57">
        <v>-82.188855000000004</v>
      </c>
      <c r="C54" s="46">
        <v>26796</v>
      </c>
      <c r="D54" s="1" t="s">
        <v>695</v>
      </c>
      <c r="E54" s="1" t="s">
        <v>749</v>
      </c>
      <c r="F54" s="23" t="s">
        <v>18</v>
      </c>
      <c r="G54" s="23">
        <v>46.38</v>
      </c>
    </row>
    <row r="55" spans="1:7" ht="14.4" customHeight="1" x14ac:dyDescent="0.3">
      <c r="A55" s="56">
        <v>29.598604000000002</v>
      </c>
      <c r="B55" s="57">
        <v>-82.188855000000004</v>
      </c>
      <c r="C55" s="46">
        <v>26796</v>
      </c>
      <c r="D55" s="1" t="s">
        <v>695</v>
      </c>
      <c r="E55" s="1" t="s">
        <v>749</v>
      </c>
      <c r="F55" s="23" t="s">
        <v>18</v>
      </c>
      <c r="G55" s="23">
        <v>47.14</v>
      </c>
    </row>
    <row r="56" spans="1:7" ht="14.4" customHeight="1" x14ac:dyDescent="0.3">
      <c r="A56" s="57">
        <v>29.712485000000001</v>
      </c>
      <c r="B56" s="57">
        <v>-82.454533999999995</v>
      </c>
      <c r="C56" s="46">
        <v>32687</v>
      </c>
      <c r="D56" s="1" t="s">
        <v>695</v>
      </c>
      <c r="E56" s="1" t="s">
        <v>755</v>
      </c>
      <c r="F56" s="23" t="s">
        <v>18</v>
      </c>
      <c r="G56" s="23">
        <v>51.55</v>
      </c>
    </row>
    <row r="57" spans="1:7" ht="14.4" customHeight="1" x14ac:dyDescent="0.3">
      <c r="A57" s="57">
        <v>29.586469000000001</v>
      </c>
      <c r="B57" s="57">
        <v>-82.309393999999998</v>
      </c>
      <c r="C57" s="46">
        <v>33355</v>
      </c>
      <c r="D57" s="1" t="s">
        <v>695</v>
      </c>
      <c r="E57" s="1" t="s">
        <v>758</v>
      </c>
      <c r="F57" s="23" t="s">
        <v>18</v>
      </c>
      <c r="G57" s="23">
        <v>52.37</v>
      </c>
    </row>
    <row r="58" spans="1:7" x14ac:dyDescent="0.3">
      <c r="A58" s="56">
        <v>29.598604000000002</v>
      </c>
      <c r="B58" s="57">
        <v>-82.188855000000004</v>
      </c>
      <c r="C58" s="46">
        <v>29359</v>
      </c>
      <c r="D58" s="1" t="s">
        <v>695</v>
      </c>
      <c r="E58" s="1" t="s">
        <v>759</v>
      </c>
      <c r="F58" s="23" t="s">
        <v>18</v>
      </c>
      <c r="G58" s="23">
        <v>49.72</v>
      </c>
    </row>
    <row r="59" spans="1:7" ht="14.4" customHeight="1" x14ac:dyDescent="0.3">
      <c r="A59" s="56">
        <v>29.598604000000002</v>
      </c>
      <c r="B59" s="57">
        <v>-82.188855000000004</v>
      </c>
      <c r="C59" s="46">
        <v>29359</v>
      </c>
      <c r="D59" s="1" t="s">
        <v>695</v>
      </c>
      <c r="E59" s="1" t="s">
        <v>759</v>
      </c>
      <c r="F59" s="23" t="s">
        <v>18</v>
      </c>
      <c r="G59" s="23">
        <v>50.37</v>
      </c>
    </row>
    <row r="60" spans="1:7" x14ac:dyDescent="0.3">
      <c r="A60" s="57">
        <v>29.695879000000001</v>
      </c>
      <c r="B60" s="57">
        <v>-82.344924000000006</v>
      </c>
      <c r="C60" s="46">
        <v>29337</v>
      </c>
      <c r="D60" s="1" t="s">
        <v>695</v>
      </c>
      <c r="E60" s="1" t="s">
        <v>696</v>
      </c>
      <c r="F60" s="23" t="s">
        <v>18</v>
      </c>
      <c r="G60" s="23">
        <v>50.43</v>
      </c>
    </row>
    <row r="61" spans="1:7" ht="14.4" customHeight="1" x14ac:dyDescent="0.3">
      <c r="A61" s="57">
        <v>29.695879000000001</v>
      </c>
      <c r="B61" s="57">
        <v>-82.344924000000006</v>
      </c>
      <c r="C61" s="46">
        <v>29337</v>
      </c>
      <c r="D61" s="1" t="s">
        <v>695</v>
      </c>
      <c r="E61" s="1" t="s">
        <v>696</v>
      </c>
      <c r="F61" s="23" t="s">
        <v>18</v>
      </c>
      <c r="G61" s="23">
        <v>51.54</v>
      </c>
    </row>
    <row r="62" spans="1:7" x14ac:dyDescent="0.3">
      <c r="A62" s="56">
        <v>29.598604000000002</v>
      </c>
      <c r="B62" s="57">
        <v>-82.188855000000004</v>
      </c>
      <c r="C62" s="46">
        <v>29359</v>
      </c>
      <c r="D62" s="1" t="s">
        <v>695</v>
      </c>
      <c r="E62" s="1" t="s">
        <v>759</v>
      </c>
      <c r="F62" s="23" t="s">
        <v>18</v>
      </c>
      <c r="G62" s="23">
        <v>52.73</v>
      </c>
    </row>
    <row r="63" spans="1:7" ht="14.4" customHeight="1" x14ac:dyDescent="0.3">
      <c r="A63" s="56">
        <v>29.598604000000002</v>
      </c>
      <c r="B63" s="57">
        <v>-82.188855000000004</v>
      </c>
      <c r="C63" s="46">
        <v>29359</v>
      </c>
      <c r="D63" s="1" t="s">
        <v>695</v>
      </c>
      <c r="E63" s="1" t="s">
        <v>759</v>
      </c>
      <c r="F63" s="23" t="s">
        <v>18</v>
      </c>
      <c r="G63" s="23">
        <v>51</v>
      </c>
    </row>
    <row r="64" spans="1:7" x14ac:dyDescent="0.3">
      <c r="A64" s="57">
        <v>29.675851999999999</v>
      </c>
      <c r="B64" s="57">
        <v>-82.271482000000006</v>
      </c>
      <c r="C64" s="46">
        <v>26802</v>
      </c>
      <c r="D64" s="1" t="s">
        <v>695</v>
      </c>
      <c r="E64" s="1" t="s">
        <v>739</v>
      </c>
      <c r="F64" s="23" t="s">
        <v>20</v>
      </c>
      <c r="G64" s="23">
        <v>43.24</v>
      </c>
    </row>
    <row r="65" spans="1:7" ht="14.4" customHeight="1" x14ac:dyDescent="0.3">
      <c r="A65" s="57">
        <v>29.675851999999999</v>
      </c>
      <c r="B65" s="57">
        <v>-82.271482000000006</v>
      </c>
      <c r="C65" s="46">
        <v>26795</v>
      </c>
      <c r="D65" s="1" t="s">
        <v>695</v>
      </c>
      <c r="E65" s="1" t="s">
        <v>739</v>
      </c>
      <c r="F65" s="23" t="s">
        <v>18</v>
      </c>
      <c r="G65" s="23">
        <v>45.3</v>
      </c>
    </row>
    <row r="66" spans="1:7" ht="14.4" customHeight="1" x14ac:dyDescent="0.3">
      <c r="A66" s="57">
        <v>29.675851999999999</v>
      </c>
      <c r="B66" s="57">
        <v>-82.271482000000006</v>
      </c>
      <c r="C66" s="46">
        <v>26795</v>
      </c>
      <c r="D66" s="1" t="s">
        <v>695</v>
      </c>
      <c r="E66" s="1" t="s">
        <v>739</v>
      </c>
      <c r="F66" s="23" t="s">
        <v>20</v>
      </c>
      <c r="G66" s="23">
        <v>46.58</v>
      </c>
    </row>
    <row r="67" spans="1:7" ht="14.4" customHeight="1" x14ac:dyDescent="0.3">
      <c r="A67" s="57">
        <v>30.555199999999999</v>
      </c>
      <c r="B67" s="57">
        <v>-85.435167000000007</v>
      </c>
      <c r="C67" s="46">
        <v>41065</v>
      </c>
      <c r="D67" s="1" t="s">
        <v>145</v>
      </c>
      <c r="E67" s="1" t="s">
        <v>716</v>
      </c>
      <c r="F67" s="23" t="s">
        <v>18</v>
      </c>
      <c r="G67" s="23">
        <v>49.31</v>
      </c>
    </row>
    <row r="68" spans="1:7" ht="14.4" customHeight="1" x14ac:dyDescent="0.3">
      <c r="A68" s="66">
        <v>30.521217</v>
      </c>
      <c r="B68" s="66">
        <v>-85.408231000000001</v>
      </c>
      <c r="C68" s="46">
        <v>29403</v>
      </c>
      <c r="D68" s="1" t="s">
        <v>145</v>
      </c>
      <c r="E68" s="1" t="s">
        <v>725</v>
      </c>
      <c r="F68" s="30" t="s">
        <v>18</v>
      </c>
      <c r="G68" s="67">
        <v>47.31</v>
      </c>
    </row>
    <row r="69" spans="1:7" ht="14.4" customHeight="1" x14ac:dyDescent="0.3">
      <c r="A69" s="57">
        <v>29.860417000000002</v>
      </c>
      <c r="B69" s="57">
        <v>-82.229547999999994</v>
      </c>
      <c r="C69" s="46">
        <v>27546</v>
      </c>
      <c r="D69" s="73" t="s">
        <v>693</v>
      </c>
      <c r="E69" s="1" t="s">
        <v>694</v>
      </c>
      <c r="F69" s="23" t="s">
        <v>18</v>
      </c>
      <c r="G69" s="23">
        <v>45.6</v>
      </c>
    </row>
    <row r="70" spans="1:7" ht="14.4" customHeight="1" x14ac:dyDescent="0.3">
      <c r="A70" s="57">
        <v>30.426241000000001</v>
      </c>
      <c r="B70" s="57">
        <v>-85.294877999999997</v>
      </c>
      <c r="C70" s="46">
        <v>35591</v>
      </c>
      <c r="D70" s="1" t="s">
        <v>69</v>
      </c>
      <c r="E70" s="1" t="s">
        <v>691</v>
      </c>
      <c r="F70" s="23" t="s">
        <v>18</v>
      </c>
      <c r="G70" s="23">
        <v>48.37</v>
      </c>
    </row>
    <row r="71" spans="1:7" ht="14.4" customHeight="1" x14ac:dyDescent="0.3">
      <c r="A71" s="57">
        <v>30.426241000000001</v>
      </c>
      <c r="B71" s="57">
        <v>-85.294877999999997</v>
      </c>
      <c r="C71" s="46">
        <v>35591</v>
      </c>
      <c r="D71" s="1" t="s">
        <v>69</v>
      </c>
      <c r="E71" s="1" t="s">
        <v>691</v>
      </c>
      <c r="F71" s="30" t="s">
        <v>18</v>
      </c>
      <c r="G71" s="23">
        <v>46.5</v>
      </c>
    </row>
    <row r="72" spans="1:7" x14ac:dyDescent="0.3">
      <c r="A72" s="57">
        <v>30.426241000000001</v>
      </c>
      <c r="B72" s="57">
        <v>-85.294877999999997</v>
      </c>
      <c r="C72" s="46">
        <v>35591</v>
      </c>
      <c r="D72" s="1" t="s">
        <v>69</v>
      </c>
      <c r="E72" s="1" t="s">
        <v>691</v>
      </c>
      <c r="F72" s="23" t="s">
        <v>18</v>
      </c>
      <c r="G72" s="23">
        <v>47.99</v>
      </c>
    </row>
    <row r="73" spans="1:7" ht="14.4" customHeight="1" x14ac:dyDescent="0.3">
      <c r="A73" s="57">
        <v>30.426241000000001</v>
      </c>
      <c r="B73" s="57">
        <v>-85.294877999999997</v>
      </c>
      <c r="C73" s="46">
        <v>27209</v>
      </c>
      <c r="D73" s="1" t="s">
        <v>69</v>
      </c>
      <c r="E73" s="1" t="s">
        <v>691</v>
      </c>
      <c r="F73" s="23" t="s">
        <v>20</v>
      </c>
      <c r="G73" s="23">
        <v>47.28</v>
      </c>
    </row>
    <row r="74" spans="1:7" x14ac:dyDescent="0.3">
      <c r="A74" s="57">
        <v>30.426241000000001</v>
      </c>
      <c r="B74" s="57">
        <v>-85.294877999999997</v>
      </c>
      <c r="C74" s="46">
        <v>27209</v>
      </c>
      <c r="D74" s="1" t="s">
        <v>69</v>
      </c>
      <c r="E74" s="1" t="s">
        <v>708</v>
      </c>
      <c r="F74" s="23" t="s">
        <v>18</v>
      </c>
      <c r="G74" s="23">
        <v>46.48</v>
      </c>
    </row>
    <row r="75" spans="1:7" ht="14.4" customHeight="1" x14ac:dyDescent="0.3">
      <c r="A75" s="57">
        <v>30.426241000000001</v>
      </c>
      <c r="B75" s="57">
        <v>-85.294877999999997</v>
      </c>
      <c r="C75" s="46">
        <v>27209</v>
      </c>
      <c r="D75" s="1" t="s">
        <v>69</v>
      </c>
      <c r="E75" s="1" t="s">
        <v>708</v>
      </c>
      <c r="F75" s="23" t="s">
        <v>18</v>
      </c>
      <c r="G75" s="23">
        <v>48.83</v>
      </c>
    </row>
    <row r="76" spans="1:7" x14ac:dyDescent="0.3">
      <c r="A76" s="57">
        <v>30.426241000000001</v>
      </c>
      <c r="B76" s="57">
        <v>-85.294877999999997</v>
      </c>
      <c r="C76" s="46">
        <v>27555</v>
      </c>
      <c r="D76" s="1" t="s">
        <v>69</v>
      </c>
      <c r="E76" s="1" t="s">
        <v>691</v>
      </c>
      <c r="F76" s="23" t="s">
        <v>20</v>
      </c>
      <c r="G76" s="23">
        <v>48.83</v>
      </c>
    </row>
    <row r="77" spans="1:7" x14ac:dyDescent="0.3">
      <c r="A77" s="57">
        <v>30.426241000000001</v>
      </c>
      <c r="B77" s="57">
        <v>-85.294877999999997</v>
      </c>
      <c r="C77" s="46">
        <v>27555</v>
      </c>
      <c r="D77" s="1" t="s">
        <v>69</v>
      </c>
      <c r="E77" s="1" t="s">
        <v>708</v>
      </c>
      <c r="F77" s="23" t="s">
        <v>18</v>
      </c>
      <c r="G77" s="23">
        <v>47.94</v>
      </c>
    </row>
    <row r="78" spans="1:7" x14ac:dyDescent="0.3">
      <c r="A78" s="57">
        <v>30.426241000000001</v>
      </c>
      <c r="B78" s="57">
        <v>-85.294877999999997</v>
      </c>
      <c r="C78" s="46">
        <v>30472</v>
      </c>
      <c r="D78" s="1" t="s">
        <v>69</v>
      </c>
      <c r="E78" s="1" t="s">
        <v>691</v>
      </c>
      <c r="F78" s="23" t="s">
        <v>18</v>
      </c>
      <c r="G78" s="23">
        <v>47.46</v>
      </c>
    </row>
    <row r="79" spans="1:7" x14ac:dyDescent="0.3">
      <c r="A79" s="57">
        <v>30.426241000000001</v>
      </c>
      <c r="B79" s="57">
        <v>-85.294877999999997</v>
      </c>
      <c r="C79" s="46">
        <v>30472</v>
      </c>
      <c r="D79" s="1" t="s">
        <v>69</v>
      </c>
      <c r="E79" s="1" t="s">
        <v>691</v>
      </c>
      <c r="F79" s="23" t="s">
        <v>18</v>
      </c>
      <c r="G79" s="23">
        <v>49.1</v>
      </c>
    </row>
    <row r="80" spans="1:7" x14ac:dyDescent="0.3">
      <c r="A80" s="57">
        <v>30.426241000000001</v>
      </c>
      <c r="B80" s="57">
        <v>-85.294877999999997</v>
      </c>
      <c r="C80" s="46">
        <v>30472</v>
      </c>
      <c r="D80" s="1" t="s">
        <v>69</v>
      </c>
      <c r="E80" s="1" t="s">
        <v>691</v>
      </c>
      <c r="F80" s="23" t="s">
        <v>18</v>
      </c>
      <c r="G80" s="23">
        <v>47.57</v>
      </c>
    </row>
    <row r="81" spans="1:7" x14ac:dyDescent="0.3">
      <c r="A81" s="57">
        <v>30.426241000000001</v>
      </c>
      <c r="B81" s="57">
        <v>-85.294877999999997</v>
      </c>
      <c r="C81" s="46">
        <v>30472</v>
      </c>
      <c r="D81" s="1" t="s">
        <v>69</v>
      </c>
      <c r="E81" s="1" t="s">
        <v>691</v>
      </c>
      <c r="F81" s="23" t="s">
        <v>18</v>
      </c>
      <c r="G81" s="23">
        <v>47.7</v>
      </c>
    </row>
    <row r="82" spans="1:7" x14ac:dyDescent="0.3">
      <c r="A82" s="57">
        <v>30.426241000000001</v>
      </c>
      <c r="B82" s="57">
        <v>-85.294877999999997</v>
      </c>
      <c r="C82" s="46">
        <v>29403</v>
      </c>
      <c r="D82" s="1" t="s">
        <v>69</v>
      </c>
      <c r="E82" s="1" t="s">
        <v>691</v>
      </c>
      <c r="F82" s="23" t="s">
        <v>18</v>
      </c>
      <c r="G82" s="23">
        <v>46.72</v>
      </c>
    </row>
    <row r="83" spans="1:7" x14ac:dyDescent="0.3">
      <c r="A83" s="57">
        <v>30.426241000000001</v>
      </c>
      <c r="B83" s="57">
        <v>-85.294877999999997</v>
      </c>
      <c r="C83" s="46">
        <v>29403</v>
      </c>
      <c r="D83" s="1" t="s">
        <v>69</v>
      </c>
      <c r="E83" s="1" t="s">
        <v>691</v>
      </c>
      <c r="F83" s="23" t="s">
        <v>18</v>
      </c>
      <c r="G83" s="23">
        <v>47.74</v>
      </c>
    </row>
    <row r="84" spans="1:7" x14ac:dyDescent="0.3">
      <c r="A84" s="57">
        <v>30.426241000000001</v>
      </c>
      <c r="B84" s="57">
        <v>-85.294877999999997</v>
      </c>
      <c r="C84" s="46">
        <v>30472</v>
      </c>
      <c r="D84" s="1" t="s">
        <v>69</v>
      </c>
      <c r="E84" s="1" t="s">
        <v>691</v>
      </c>
      <c r="F84" s="23" t="s">
        <v>18</v>
      </c>
      <c r="G84" s="23">
        <v>47.39</v>
      </c>
    </row>
    <row r="85" spans="1:7" x14ac:dyDescent="0.3">
      <c r="A85" s="57">
        <v>30.426241000000001</v>
      </c>
      <c r="B85" s="57">
        <v>-85.294877999999997</v>
      </c>
      <c r="C85" s="46">
        <v>30472</v>
      </c>
      <c r="D85" s="1" t="s">
        <v>69</v>
      </c>
      <c r="E85" s="1" t="s">
        <v>691</v>
      </c>
      <c r="F85" s="23" t="s">
        <v>18</v>
      </c>
      <c r="G85" s="23">
        <v>45.86</v>
      </c>
    </row>
    <row r="86" spans="1:7" x14ac:dyDescent="0.3">
      <c r="A86" s="57">
        <v>30.426241000000001</v>
      </c>
      <c r="B86" s="57">
        <v>-85.294877999999997</v>
      </c>
      <c r="C86" s="46">
        <v>30472</v>
      </c>
      <c r="D86" s="1" t="s">
        <v>69</v>
      </c>
      <c r="E86" s="1" t="s">
        <v>691</v>
      </c>
      <c r="F86" s="23" t="s">
        <v>18</v>
      </c>
      <c r="G86" s="23">
        <v>46.64</v>
      </c>
    </row>
    <row r="87" spans="1:7" ht="14.4" customHeight="1" x14ac:dyDescent="0.3">
      <c r="A87" s="57">
        <v>30.426241000000001</v>
      </c>
      <c r="B87" s="57">
        <v>-85.294877999999997</v>
      </c>
      <c r="C87" s="46">
        <v>30472</v>
      </c>
      <c r="D87" s="1" t="s">
        <v>69</v>
      </c>
      <c r="E87" s="1" t="s">
        <v>691</v>
      </c>
      <c r="F87" s="23" t="s">
        <v>18</v>
      </c>
      <c r="G87" s="23">
        <v>45.37</v>
      </c>
    </row>
    <row r="88" spans="1:7" x14ac:dyDescent="0.3">
      <c r="A88" s="57">
        <v>30.426241000000001</v>
      </c>
      <c r="B88" s="57">
        <v>-85.294877999999997</v>
      </c>
      <c r="C88" s="46">
        <v>29403</v>
      </c>
      <c r="D88" s="1" t="s">
        <v>69</v>
      </c>
      <c r="E88" s="1" t="s">
        <v>691</v>
      </c>
      <c r="F88" s="23" t="s">
        <v>18</v>
      </c>
      <c r="G88" s="23">
        <v>46.81</v>
      </c>
    </row>
    <row r="89" spans="1:7" x14ac:dyDescent="0.3">
      <c r="A89" s="57">
        <v>30.426241000000001</v>
      </c>
      <c r="B89" s="57">
        <v>-85.294877999999997</v>
      </c>
      <c r="C89" s="46">
        <v>29403</v>
      </c>
      <c r="D89" s="1" t="s">
        <v>69</v>
      </c>
      <c r="E89" s="1" t="s">
        <v>691</v>
      </c>
      <c r="F89" s="23" t="s">
        <v>18</v>
      </c>
      <c r="G89" s="23">
        <v>47.4</v>
      </c>
    </row>
    <row r="90" spans="1:7" x14ac:dyDescent="0.3">
      <c r="A90" s="57">
        <v>30.426241000000001</v>
      </c>
      <c r="B90" s="57">
        <v>-85.294877999999997</v>
      </c>
      <c r="C90" s="46">
        <v>30472</v>
      </c>
      <c r="D90" s="1" t="s">
        <v>69</v>
      </c>
      <c r="E90" s="1" t="s">
        <v>691</v>
      </c>
      <c r="F90" s="23" t="s">
        <v>18</v>
      </c>
      <c r="G90" s="23">
        <v>48.98</v>
      </c>
    </row>
    <row r="91" spans="1:7" x14ac:dyDescent="0.3">
      <c r="A91" s="57">
        <v>30.426241000000001</v>
      </c>
      <c r="B91" s="57">
        <v>-85.294877999999997</v>
      </c>
      <c r="C91" s="46">
        <v>30472</v>
      </c>
      <c r="D91" s="1" t="s">
        <v>69</v>
      </c>
      <c r="E91" s="1" t="s">
        <v>691</v>
      </c>
      <c r="F91" s="23" t="s">
        <v>18</v>
      </c>
      <c r="G91" s="23">
        <v>46.61</v>
      </c>
    </row>
    <row r="92" spans="1:7" x14ac:dyDescent="0.3">
      <c r="A92" s="57">
        <v>30.426241000000001</v>
      </c>
      <c r="B92" s="57">
        <v>-85.294877999999997</v>
      </c>
      <c r="C92" s="46">
        <v>33727</v>
      </c>
      <c r="D92" s="1" t="s">
        <v>69</v>
      </c>
      <c r="E92" s="1" t="s">
        <v>691</v>
      </c>
      <c r="F92" s="23" t="s">
        <v>18</v>
      </c>
      <c r="G92" s="23">
        <v>48.42</v>
      </c>
    </row>
    <row r="93" spans="1:7" x14ac:dyDescent="0.3">
      <c r="A93" s="57">
        <v>30.426241000000001</v>
      </c>
      <c r="B93" s="57">
        <v>-85.294877999999997</v>
      </c>
      <c r="C93" s="46">
        <v>33727</v>
      </c>
      <c r="D93" s="1" t="s">
        <v>69</v>
      </c>
      <c r="E93" s="1" t="s">
        <v>691</v>
      </c>
      <c r="F93" s="23" t="s">
        <v>20</v>
      </c>
      <c r="G93" s="23">
        <v>52.5</v>
      </c>
    </row>
    <row r="94" spans="1:7" x14ac:dyDescent="0.3">
      <c r="A94" s="57">
        <v>30.426241000000001</v>
      </c>
      <c r="B94" s="57">
        <v>-85.294877999999997</v>
      </c>
      <c r="C94" s="46">
        <v>26810</v>
      </c>
      <c r="D94" s="1" t="s">
        <v>69</v>
      </c>
      <c r="E94" s="1" t="s">
        <v>713</v>
      </c>
      <c r="F94" s="23" t="s">
        <v>20</v>
      </c>
      <c r="G94" s="23">
        <v>45.51</v>
      </c>
    </row>
    <row r="95" spans="1:7" ht="14.4" customHeight="1" x14ac:dyDescent="0.3">
      <c r="A95" s="57">
        <v>30.426241000000001</v>
      </c>
      <c r="B95" s="57">
        <v>-85.294877999999997</v>
      </c>
      <c r="C95" s="46">
        <v>30830</v>
      </c>
      <c r="D95" s="1" t="s">
        <v>69</v>
      </c>
      <c r="E95" s="1" t="s">
        <v>691</v>
      </c>
      <c r="F95" s="23" t="s">
        <v>18</v>
      </c>
      <c r="G95" s="23">
        <v>47.11</v>
      </c>
    </row>
    <row r="96" spans="1:7" x14ac:dyDescent="0.3">
      <c r="A96" s="57">
        <v>30.426241000000001</v>
      </c>
      <c r="B96" s="57">
        <v>-85.294877999999997</v>
      </c>
      <c r="C96" s="46">
        <v>30830</v>
      </c>
      <c r="D96" s="1" t="s">
        <v>69</v>
      </c>
      <c r="E96" s="1" t="s">
        <v>691</v>
      </c>
      <c r="F96" s="23" t="s">
        <v>18</v>
      </c>
      <c r="G96" s="23">
        <v>48.73</v>
      </c>
    </row>
    <row r="97" spans="1:7" x14ac:dyDescent="0.3">
      <c r="A97" s="57">
        <v>30.426241000000001</v>
      </c>
      <c r="B97" s="57">
        <v>-85.294877999999997</v>
      </c>
      <c r="C97" s="46">
        <v>27209</v>
      </c>
      <c r="D97" s="1" t="s">
        <v>69</v>
      </c>
      <c r="E97" s="1" t="s">
        <v>691</v>
      </c>
      <c r="F97" s="23" t="s">
        <v>18</v>
      </c>
      <c r="G97" s="23">
        <v>47.9</v>
      </c>
    </row>
    <row r="98" spans="1:7" x14ac:dyDescent="0.3">
      <c r="A98" s="57">
        <v>30.426241000000001</v>
      </c>
      <c r="B98" s="57">
        <v>-85.294877999999997</v>
      </c>
      <c r="C98" s="46">
        <v>26849</v>
      </c>
      <c r="D98" s="1" t="s">
        <v>69</v>
      </c>
      <c r="E98" s="1" t="s">
        <v>691</v>
      </c>
      <c r="F98" s="23" t="s">
        <v>18</v>
      </c>
      <c r="G98" s="23">
        <v>47.44</v>
      </c>
    </row>
    <row r="99" spans="1:7" ht="14.4" customHeight="1" x14ac:dyDescent="0.3">
      <c r="A99" s="57">
        <v>30.426241000000001</v>
      </c>
      <c r="B99" s="57">
        <v>-85.294877999999997</v>
      </c>
      <c r="C99" s="46">
        <v>26827</v>
      </c>
      <c r="D99" s="1" t="s">
        <v>69</v>
      </c>
      <c r="E99" s="1" t="s">
        <v>691</v>
      </c>
      <c r="F99" s="23" t="s">
        <v>18</v>
      </c>
      <c r="G99" s="23">
        <v>46.83</v>
      </c>
    </row>
    <row r="100" spans="1:7" x14ac:dyDescent="0.3">
      <c r="A100" s="57">
        <v>30.426241000000001</v>
      </c>
      <c r="B100" s="57">
        <v>-85.294877999999997</v>
      </c>
      <c r="C100" s="46">
        <v>27553</v>
      </c>
      <c r="D100" s="1" t="s">
        <v>69</v>
      </c>
      <c r="E100" s="1" t="s">
        <v>691</v>
      </c>
      <c r="F100" s="23" t="s">
        <v>18</v>
      </c>
      <c r="G100" s="23">
        <v>50.21</v>
      </c>
    </row>
    <row r="101" spans="1:7" ht="14.4" customHeight="1" x14ac:dyDescent="0.3">
      <c r="A101" s="57">
        <v>30.426241000000001</v>
      </c>
      <c r="B101" s="57">
        <v>-85.294877999999997</v>
      </c>
      <c r="C101" s="46">
        <v>27553</v>
      </c>
      <c r="D101" s="1" t="s">
        <v>69</v>
      </c>
      <c r="E101" s="1" t="s">
        <v>691</v>
      </c>
      <c r="F101" s="23" t="s">
        <v>18</v>
      </c>
      <c r="G101" s="23">
        <v>50.13</v>
      </c>
    </row>
    <row r="102" spans="1:7" x14ac:dyDescent="0.3">
      <c r="A102" s="57">
        <v>30.426241000000001</v>
      </c>
      <c r="B102" s="57">
        <v>-85.294877999999997</v>
      </c>
      <c r="C102" s="46">
        <v>30830</v>
      </c>
      <c r="D102" s="1" t="s">
        <v>69</v>
      </c>
      <c r="E102" s="1" t="s">
        <v>691</v>
      </c>
      <c r="F102" s="23" t="s">
        <v>18</v>
      </c>
      <c r="G102" s="23">
        <v>47.84</v>
      </c>
    </row>
    <row r="103" spans="1:7" ht="14.4" customHeight="1" x14ac:dyDescent="0.3">
      <c r="A103" s="57">
        <v>30.426241000000001</v>
      </c>
      <c r="B103" s="57">
        <v>-85.294877999999997</v>
      </c>
      <c r="C103" s="46">
        <v>27553</v>
      </c>
      <c r="D103" s="1" t="s">
        <v>69</v>
      </c>
      <c r="E103" s="1" t="s">
        <v>691</v>
      </c>
      <c r="F103" s="23" t="s">
        <v>18</v>
      </c>
      <c r="G103" s="23">
        <v>47.05</v>
      </c>
    </row>
    <row r="104" spans="1:7" x14ac:dyDescent="0.3">
      <c r="A104" s="57">
        <v>30.426241000000001</v>
      </c>
      <c r="B104" s="57">
        <v>-85.294877999999997</v>
      </c>
      <c r="C104" s="46">
        <v>30830</v>
      </c>
      <c r="D104" s="1" t="s">
        <v>69</v>
      </c>
      <c r="E104" s="1" t="s">
        <v>691</v>
      </c>
      <c r="F104" s="23" t="s">
        <v>18</v>
      </c>
      <c r="G104" s="23">
        <v>46.52</v>
      </c>
    </row>
    <row r="105" spans="1:7" ht="14.4" customHeight="1" x14ac:dyDescent="0.3">
      <c r="A105" s="57">
        <v>30.426241000000001</v>
      </c>
      <c r="B105" s="57">
        <v>-85.294877999999997</v>
      </c>
      <c r="C105" s="46">
        <v>27553</v>
      </c>
      <c r="D105" s="1" t="s">
        <v>69</v>
      </c>
      <c r="E105" s="1" t="s">
        <v>691</v>
      </c>
      <c r="F105" s="23" t="s">
        <v>18</v>
      </c>
      <c r="G105" s="23">
        <v>47.49</v>
      </c>
    </row>
    <row r="106" spans="1:7" x14ac:dyDescent="0.3">
      <c r="A106" s="57">
        <v>30.426241000000001</v>
      </c>
      <c r="B106" s="57">
        <v>-85.294877999999997</v>
      </c>
      <c r="C106" s="46">
        <v>27553</v>
      </c>
      <c r="D106" s="1" t="s">
        <v>69</v>
      </c>
      <c r="E106" s="1" t="s">
        <v>691</v>
      </c>
      <c r="F106" s="23" t="s">
        <v>18</v>
      </c>
      <c r="G106" s="23">
        <v>48</v>
      </c>
    </row>
    <row r="107" spans="1:7" ht="14.4" customHeight="1" x14ac:dyDescent="0.3">
      <c r="A107" s="57">
        <v>30.426241000000001</v>
      </c>
      <c r="B107" s="57">
        <v>-85.294877999999997</v>
      </c>
      <c r="C107" s="46">
        <v>27553</v>
      </c>
      <c r="D107" s="1" t="s">
        <v>69</v>
      </c>
      <c r="E107" s="1" t="s">
        <v>691</v>
      </c>
      <c r="F107" s="23" t="s">
        <v>18</v>
      </c>
      <c r="G107" s="23">
        <v>48.8</v>
      </c>
    </row>
    <row r="108" spans="1:7" x14ac:dyDescent="0.3">
      <c r="A108" s="57">
        <v>30.426241000000001</v>
      </c>
      <c r="B108" s="57">
        <v>-85.294877999999997</v>
      </c>
      <c r="C108" s="46">
        <v>33760</v>
      </c>
      <c r="D108" s="1" t="s">
        <v>69</v>
      </c>
      <c r="E108" s="1" t="s">
        <v>691</v>
      </c>
      <c r="F108" s="30" t="s">
        <v>18</v>
      </c>
      <c r="G108" s="67">
        <v>47.87</v>
      </c>
    </row>
    <row r="109" spans="1:7" ht="14.4" customHeight="1" x14ac:dyDescent="0.3">
      <c r="A109" s="57">
        <v>29.835529999999999</v>
      </c>
      <c r="B109" s="57">
        <v>-81.950805000000003</v>
      </c>
      <c r="C109" s="46">
        <v>24962</v>
      </c>
      <c r="D109" s="1" t="s">
        <v>745</v>
      </c>
      <c r="E109" s="1" t="s">
        <v>746</v>
      </c>
      <c r="F109" s="23" t="s">
        <v>18</v>
      </c>
      <c r="G109" s="23">
        <v>47.9</v>
      </c>
    </row>
    <row r="110" spans="1:7" x14ac:dyDescent="0.3">
      <c r="A110" s="57">
        <v>30.060396000000001</v>
      </c>
      <c r="B110" s="57">
        <v>-81.871598000000006</v>
      </c>
      <c r="C110" s="46">
        <v>26806</v>
      </c>
      <c r="D110" s="1" t="s">
        <v>745</v>
      </c>
      <c r="E110" s="1" t="s">
        <v>751</v>
      </c>
      <c r="F110" s="23" t="s">
        <v>18</v>
      </c>
      <c r="G110" s="23">
        <v>47.62</v>
      </c>
    </row>
    <row r="111" spans="1:7" ht="14.4" customHeight="1" x14ac:dyDescent="0.3">
      <c r="A111" s="57">
        <v>30.060396000000001</v>
      </c>
      <c r="B111" s="57">
        <v>-81.871598000000006</v>
      </c>
      <c r="C111" s="46">
        <v>26462</v>
      </c>
      <c r="D111" s="1" t="s">
        <v>745</v>
      </c>
      <c r="E111" s="1" t="s">
        <v>752</v>
      </c>
      <c r="F111" s="23" t="s">
        <v>18</v>
      </c>
      <c r="G111" s="23">
        <v>50.45</v>
      </c>
    </row>
    <row r="112" spans="1:7" x14ac:dyDescent="0.3">
      <c r="A112" s="57">
        <v>30.030525999999998</v>
      </c>
      <c r="B112" s="57">
        <v>-81.897739999999999</v>
      </c>
      <c r="C112" s="46">
        <v>26794</v>
      </c>
      <c r="D112" s="1" t="s">
        <v>745</v>
      </c>
      <c r="E112" s="1" t="s">
        <v>753</v>
      </c>
      <c r="F112" s="23" t="s">
        <v>18</v>
      </c>
      <c r="G112" s="23">
        <v>48.69</v>
      </c>
    </row>
    <row r="113" spans="1:7" ht="14.4" customHeight="1" x14ac:dyDescent="0.3">
      <c r="A113" s="57">
        <v>30.533556000000001</v>
      </c>
      <c r="B113" s="57">
        <v>-84.850027999999995</v>
      </c>
      <c r="C113" s="46">
        <v>35592</v>
      </c>
      <c r="D113" s="1" t="s">
        <v>72</v>
      </c>
      <c r="E113" s="1" t="s">
        <v>690</v>
      </c>
      <c r="F113" s="23" t="s">
        <v>20</v>
      </c>
      <c r="G113" s="23">
        <v>52.26</v>
      </c>
    </row>
    <row r="114" spans="1:7" x14ac:dyDescent="0.3">
      <c r="A114" s="57">
        <v>30.533073999999999</v>
      </c>
      <c r="B114" s="57">
        <v>-84.840325000000007</v>
      </c>
      <c r="C114" s="46">
        <v>41068</v>
      </c>
      <c r="D114" s="1" t="s">
        <v>72</v>
      </c>
      <c r="E114" s="1" t="s">
        <v>715</v>
      </c>
      <c r="F114" s="23" t="s">
        <v>20</v>
      </c>
      <c r="G114" s="23">
        <v>48.65</v>
      </c>
    </row>
    <row r="115" spans="1:7" ht="14.4" customHeight="1" x14ac:dyDescent="0.3">
      <c r="A115" s="57">
        <v>30.583428000000001</v>
      </c>
      <c r="B115" s="57">
        <v>-84.881015000000005</v>
      </c>
      <c r="C115" s="46">
        <v>20930</v>
      </c>
      <c r="D115" s="1" t="s">
        <v>72</v>
      </c>
      <c r="E115" s="1" t="s">
        <v>719</v>
      </c>
      <c r="F115" s="23" t="s">
        <v>20</v>
      </c>
      <c r="G115" s="23">
        <v>51.46</v>
      </c>
    </row>
    <row r="116" spans="1:7" x14ac:dyDescent="0.3">
      <c r="A116" s="57">
        <v>30.626304999999999</v>
      </c>
      <c r="B116" s="57">
        <v>-84.824944000000002</v>
      </c>
      <c r="C116" s="46">
        <v>20217</v>
      </c>
      <c r="D116" s="1" t="s">
        <v>72</v>
      </c>
      <c r="E116" s="1" t="s">
        <v>721</v>
      </c>
      <c r="F116" s="23" t="s">
        <v>20</v>
      </c>
      <c r="G116" s="23">
        <v>49.7</v>
      </c>
    </row>
    <row r="117" spans="1:7" ht="14.4" customHeight="1" x14ac:dyDescent="0.3">
      <c r="A117" s="56">
        <v>30.802530000000001</v>
      </c>
      <c r="B117" s="57">
        <v>-85.819599999999994</v>
      </c>
      <c r="C117" s="46">
        <v>42522</v>
      </c>
      <c r="D117" s="1" t="s">
        <v>764</v>
      </c>
      <c r="E117" s="1" t="s">
        <v>770</v>
      </c>
      <c r="F117" s="23" t="s">
        <v>18</v>
      </c>
      <c r="G117" s="23">
        <v>50.58</v>
      </c>
    </row>
    <row r="118" spans="1:7" x14ac:dyDescent="0.3">
      <c r="A118" s="57">
        <v>30.598275000000001</v>
      </c>
      <c r="B118" s="57">
        <v>-85.394305000000003</v>
      </c>
      <c r="C118" s="46">
        <v>38157</v>
      </c>
      <c r="D118" s="1" t="s">
        <v>757</v>
      </c>
      <c r="E118" s="1" t="s">
        <v>761</v>
      </c>
      <c r="F118" s="23" t="s">
        <v>20</v>
      </c>
      <c r="G118" s="23">
        <v>50.67</v>
      </c>
    </row>
    <row r="119" spans="1:7" ht="14.4" customHeight="1" x14ac:dyDescent="0.3">
      <c r="A119" s="68">
        <v>30.370963</v>
      </c>
      <c r="B119" s="68">
        <v>-83.807298000000003</v>
      </c>
      <c r="C119" s="46">
        <v>27553</v>
      </c>
      <c r="D119" s="73" t="s">
        <v>738</v>
      </c>
      <c r="E119" s="1" t="s">
        <v>744</v>
      </c>
      <c r="F119" s="23" t="s">
        <v>18</v>
      </c>
      <c r="G119" s="23">
        <v>50.76</v>
      </c>
    </row>
    <row r="120" spans="1:7" x14ac:dyDescent="0.3">
      <c r="A120" s="68">
        <v>30.370963</v>
      </c>
      <c r="B120" s="68">
        <v>-83.807298000000003</v>
      </c>
      <c r="C120" s="46">
        <v>27538</v>
      </c>
      <c r="D120" s="1" t="s">
        <v>738</v>
      </c>
      <c r="E120" s="1" t="s">
        <v>750</v>
      </c>
      <c r="F120" s="23" t="s">
        <v>18</v>
      </c>
      <c r="G120" s="23">
        <v>52.49</v>
      </c>
    </row>
    <row r="121" spans="1:7" ht="14.4" customHeight="1" x14ac:dyDescent="0.3">
      <c r="A121" s="68">
        <v>30.370963</v>
      </c>
      <c r="B121" s="68">
        <v>-83.807298000000003</v>
      </c>
      <c r="C121" s="46">
        <v>27538</v>
      </c>
      <c r="D121" s="1" t="s">
        <v>738</v>
      </c>
      <c r="E121" s="1" t="s">
        <v>754</v>
      </c>
      <c r="F121" s="23" t="s">
        <v>18</v>
      </c>
      <c r="G121" s="23">
        <v>49.9</v>
      </c>
    </row>
    <row r="122" spans="1:7" x14ac:dyDescent="0.3">
      <c r="A122" s="57">
        <v>30.391833999999999</v>
      </c>
      <c r="B122" s="57">
        <v>-84.798079999999999</v>
      </c>
      <c r="C122" s="46">
        <v>20964</v>
      </c>
      <c r="D122" s="1" t="s">
        <v>89</v>
      </c>
      <c r="E122" s="1" t="s">
        <v>707</v>
      </c>
      <c r="F122" s="23" t="s">
        <v>18</v>
      </c>
      <c r="G122" s="23">
        <v>51.58</v>
      </c>
    </row>
    <row r="123" spans="1:7" ht="14.4" customHeight="1" x14ac:dyDescent="0.3">
      <c r="A123" s="57">
        <v>30.026025000000001</v>
      </c>
      <c r="B123" s="57">
        <v>-84.981568999999993</v>
      </c>
      <c r="C123" s="46">
        <v>34449</v>
      </c>
      <c r="D123" s="1" t="s">
        <v>89</v>
      </c>
      <c r="E123" s="1" t="s">
        <v>711</v>
      </c>
      <c r="F123" s="23" t="s">
        <v>18</v>
      </c>
      <c r="G123" s="23">
        <v>47.43</v>
      </c>
    </row>
    <row r="124" spans="1:7" x14ac:dyDescent="0.3">
      <c r="A124" s="57">
        <v>30.524963</v>
      </c>
      <c r="B124" s="57">
        <v>-84.969819000000001</v>
      </c>
      <c r="C124" s="46">
        <v>26810</v>
      </c>
      <c r="D124" s="1" t="s">
        <v>89</v>
      </c>
      <c r="E124" s="1" t="s">
        <v>714</v>
      </c>
      <c r="F124" s="23" t="s">
        <v>20</v>
      </c>
      <c r="G124" s="23">
        <v>52.4</v>
      </c>
    </row>
    <row r="125" spans="1:7" ht="14.4" customHeight="1" x14ac:dyDescent="0.3">
      <c r="A125" s="57">
        <v>30.583303999999998</v>
      </c>
      <c r="B125" s="57">
        <v>-84.883454</v>
      </c>
      <c r="C125" s="46">
        <v>20976</v>
      </c>
      <c r="D125" s="1" t="s">
        <v>89</v>
      </c>
      <c r="E125" s="1" t="s">
        <v>720</v>
      </c>
      <c r="F125" s="23" t="s">
        <v>20</v>
      </c>
      <c r="G125" s="23">
        <v>51.68</v>
      </c>
    </row>
    <row r="126" spans="1:7" x14ac:dyDescent="0.3">
      <c r="A126" s="56">
        <v>30.043029000000001</v>
      </c>
      <c r="B126" s="57">
        <v>-84.962749000000002</v>
      </c>
      <c r="C126" s="46">
        <v>31185</v>
      </c>
      <c r="D126" s="1" t="s">
        <v>89</v>
      </c>
      <c r="E126" s="1" t="s">
        <v>723</v>
      </c>
      <c r="F126" s="23" t="s">
        <v>20</v>
      </c>
      <c r="G126" s="23">
        <v>47.69</v>
      </c>
    </row>
    <row r="127" spans="1:7" ht="14.4" customHeight="1" x14ac:dyDescent="0.3">
      <c r="A127" s="56">
        <v>30.043029000000001</v>
      </c>
      <c r="B127" s="57">
        <v>-84.962749000000002</v>
      </c>
      <c r="C127" s="46">
        <v>31185</v>
      </c>
      <c r="D127" s="1" t="s">
        <v>89</v>
      </c>
      <c r="E127" s="1" t="s">
        <v>723</v>
      </c>
      <c r="F127" s="23" t="s">
        <v>18</v>
      </c>
      <c r="G127" s="23">
        <v>48.7</v>
      </c>
    </row>
    <row r="128" spans="1:7" x14ac:dyDescent="0.3">
      <c r="A128" s="56">
        <v>30.043029000000001</v>
      </c>
      <c r="B128" s="57">
        <v>-84.962749000000002</v>
      </c>
      <c r="C128" s="46">
        <v>31185</v>
      </c>
      <c r="D128" s="73" t="s">
        <v>89</v>
      </c>
      <c r="E128" s="1" t="s">
        <v>724</v>
      </c>
      <c r="F128" s="23" t="s">
        <v>20</v>
      </c>
      <c r="G128" s="23">
        <v>48.2</v>
      </c>
    </row>
    <row r="129" spans="1:7" ht="14.4" customHeight="1" x14ac:dyDescent="0.3">
      <c r="A129" s="56">
        <v>30.043029000000001</v>
      </c>
      <c r="B129" s="57">
        <v>-84.962749000000002</v>
      </c>
      <c r="C129" s="46">
        <v>31185</v>
      </c>
      <c r="D129" s="73" t="s">
        <v>89</v>
      </c>
      <c r="E129" s="1" t="s">
        <v>724</v>
      </c>
      <c r="F129" s="23" t="s">
        <v>18</v>
      </c>
      <c r="G129" s="23">
        <v>47.5</v>
      </c>
    </row>
    <row r="130" spans="1:7" x14ac:dyDescent="0.3">
      <c r="A130" s="56">
        <v>30.043029000000001</v>
      </c>
      <c r="B130" s="57">
        <v>-84.962749000000002</v>
      </c>
      <c r="C130" s="46">
        <v>31185</v>
      </c>
      <c r="D130" s="73" t="s">
        <v>89</v>
      </c>
      <c r="E130" s="1" t="s">
        <v>724</v>
      </c>
      <c r="F130" s="23" t="s">
        <v>18</v>
      </c>
      <c r="G130" s="23">
        <v>49.05</v>
      </c>
    </row>
    <row r="131" spans="1:7" x14ac:dyDescent="0.3">
      <c r="A131" s="56">
        <v>30.043029000000001</v>
      </c>
      <c r="B131" s="57">
        <v>-84.962749000000002</v>
      </c>
      <c r="C131" s="46">
        <v>31185</v>
      </c>
      <c r="D131" s="73" t="s">
        <v>89</v>
      </c>
      <c r="E131" s="1" t="s">
        <v>724</v>
      </c>
      <c r="F131" s="23" t="s">
        <v>18</v>
      </c>
      <c r="G131" s="23">
        <v>49.25</v>
      </c>
    </row>
    <row r="132" spans="1:7" x14ac:dyDescent="0.3">
      <c r="A132" s="57">
        <v>30.370096</v>
      </c>
      <c r="B132" s="57">
        <v>-83.80677</v>
      </c>
      <c r="C132" s="46">
        <v>27875</v>
      </c>
      <c r="D132" s="1" t="s">
        <v>762</v>
      </c>
      <c r="E132" s="1" t="s">
        <v>766</v>
      </c>
      <c r="F132" s="23" t="s">
        <v>18</v>
      </c>
      <c r="G132" s="23">
        <v>49.9</v>
      </c>
    </row>
    <row r="133" spans="1:7" x14ac:dyDescent="0.3">
      <c r="A133" s="57">
        <v>30.370096</v>
      </c>
      <c r="B133" s="57">
        <v>-83.80677</v>
      </c>
      <c r="C133" s="46">
        <v>30470</v>
      </c>
      <c r="D133" s="1" t="s">
        <v>762</v>
      </c>
      <c r="E133" s="1" t="s">
        <v>767</v>
      </c>
      <c r="F133" s="23" t="s">
        <v>20</v>
      </c>
      <c r="G133" s="23">
        <v>48.7</v>
      </c>
    </row>
    <row r="134" spans="1:7" x14ac:dyDescent="0.3">
      <c r="A134" s="57">
        <v>30.376318000000001</v>
      </c>
      <c r="B134" s="57">
        <v>-81.941755000000001</v>
      </c>
      <c r="C134" s="46">
        <v>23850</v>
      </c>
      <c r="D134" s="1" t="s">
        <v>756</v>
      </c>
      <c r="E134" s="1" t="s">
        <v>760</v>
      </c>
      <c r="F134" s="23" t="s">
        <v>18</v>
      </c>
      <c r="G134" s="23">
        <v>49.49</v>
      </c>
    </row>
    <row r="135" spans="1:7" x14ac:dyDescent="0.3">
      <c r="A135" s="57">
        <v>30.554214999999999</v>
      </c>
      <c r="B135" s="57">
        <v>-86.532394999999994</v>
      </c>
      <c r="C135" s="46">
        <v>37723</v>
      </c>
      <c r="D135" s="73" t="s">
        <v>204</v>
      </c>
      <c r="E135" s="1" t="s">
        <v>692</v>
      </c>
      <c r="F135" s="23" t="s">
        <v>18</v>
      </c>
      <c r="G135" s="23">
        <v>49.02</v>
      </c>
    </row>
    <row r="136" spans="1:7" x14ac:dyDescent="0.3">
      <c r="A136" s="66">
        <v>30.724326999999999</v>
      </c>
      <c r="B136" s="66">
        <v>-86.793312999999998</v>
      </c>
      <c r="C136" s="46">
        <v>27554</v>
      </c>
      <c r="D136" s="1" t="s">
        <v>204</v>
      </c>
      <c r="E136" s="1" t="s">
        <v>726</v>
      </c>
      <c r="F136" s="30" t="s">
        <v>18</v>
      </c>
      <c r="G136" s="67">
        <v>45.5</v>
      </c>
    </row>
    <row r="137" spans="1:7" x14ac:dyDescent="0.3">
      <c r="A137" s="56">
        <v>29.509679999999999</v>
      </c>
      <c r="B137" s="57">
        <v>-81.946363000000005</v>
      </c>
      <c r="C137" s="46">
        <v>26789</v>
      </c>
      <c r="D137" s="1" t="s">
        <v>763</v>
      </c>
      <c r="E137" s="1" t="s">
        <v>768</v>
      </c>
      <c r="F137" s="23" t="s">
        <v>20</v>
      </c>
      <c r="G137" s="23">
        <v>49.89</v>
      </c>
    </row>
    <row r="138" spans="1:7" x14ac:dyDescent="0.3">
      <c r="A138" s="56">
        <v>29.733636000000001</v>
      </c>
      <c r="B138" s="57">
        <v>-81.827950000000001</v>
      </c>
      <c r="C138" s="46">
        <v>26804</v>
      </c>
      <c r="D138" s="1" t="s">
        <v>763</v>
      </c>
      <c r="E138" s="1" t="s">
        <v>769</v>
      </c>
      <c r="F138" s="23" t="s">
        <v>20</v>
      </c>
      <c r="G138" s="23">
        <v>49.03</v>
      </c>
    </row>
    <row r="139" spans="1:7" x14ac:dyDescent="0.3">
      <c r="A139" s="57">
        <v>30.700167</v>
      </c>
      <c r="B139" s="57">
        <v>-86.866889</v>
      </c>
      <c r="C139" s="46">
        <v>38088</v>
      </c>
      <c r="D139" s="1" t="s">
        <v>45</v>
      </c>
      <c r="E139" s="1" t="s">
        <v>709</v>
      </c>
      <c r="F139" s="23" t="s">
        <v>18</v>
      </c>
      <c r="G139" s="23">
        <v>46.31</v>
      </c>
    </row>
    <row r="140" spans="1:7" x14ac:dyDescent="0.3">
      <c r="A140" s="57">
        <v>30.727257000000002</v>
      </c>
      <c r="B140" s="57">
        <v>-86.899381000000005</v>
      </c>
      <c r="C140" s="46">
        <v>38089</v>
      </c>
      <c r="D140" s="1" t="s">
        <v>45</v>
      </c>
      <c r="E140" s="1" t="s">
        <v>710</v>
      </c>
      <c r="F140" s="23" t="s">
        <v>20</v>
      </c>
      <c r="G140" s="23">
        <v>45.79</v>
      </c>
    </row>
    <row r="141" spans="1:7" ht="14.4" customHeight="1" x14ac:dyDescent="0.3">
      <c r="A141" s="56">
        <v>30.724219000000002</v>
      </c>
      <c r="B141" s="57">
        <v>-86.793272999999999</v>
      </c>
      <c r="C141" s="46">
        <v>29792</v>
      </c>
      <c r="D141" s="1" t="s">
        <v>45</v>
      </c>
      <c r="E141" s="1" t="s">
        <v>712</v>
      </c>
      <c r="F141" s="23" t="s">
        <v>18</v>
      </c>
      <c r="G141" s="23">
        <v>51.27</v>
      </c>
    </row>
    <row r="142" spans="1:7" ht="14.4" customHeight="1" x14ac:dyDescent="0.3">
      <c r="A142" s="56">
        <v>30.680879999999998</v>
      </c>
      <c r="B142" s="57">
        <v>-87.132095000000007</v>
      </c>
      <c r="C142" s="49">
        <v>26800</v>
      </c>
      <c r="D142" s="1" t="s">
        <v>45</v>
      </c>
      <c r="E142" s="1" t="s">
        <v>722</v>
      </c>
      <c r="F142" s="23" t="s">
        <v>20</v>
      </c>
      <c r="G142" s="23">
        <v>45.68</v>
      </c>
    </row>
    <row r="143" spans="1:7" ht="14.4" customHeight="1" x14ac:dyDescent="0.3">
      <c r="A143" s="56">
        <v>30.680879999999998</v>
      </c>
      <c r="B143" s="57">
        <v>-87.132095000000007</v>
      </c>
      <c r="C143" s="49">
        <v>26800</v>
      </c>
      <c r="D143" s="1" t="s">
        <v>45</v>
      </c>
      <c r="E143" s="1" t="s">
        <v>722</v>
      </c>
      <c r="F143" s="23" t="s">
        <v>18</v>
      </c>
      <c r="G143" s="23">
        <v>47.19</v>
      </c>
    </row>
    <row r="144" spans="1:7" ht="14.4" customHeight="1" x14ac:dyDescent="0.3">
      <c r="A144" s="56">
        <v>30.680879999999998</v>
      </c>
      <c r="B144" s="57">
        <v>-87.132095000000007</v>
      </c>
      <c r="C144" s="49">
        <v>27554</v>
      </c>
      <c r="D144" s="1" t="s">
        <v>45</v>
      </c>
      <c r="E144" s="1" t="s">
        <v>722</v>
      </c>
      <c r="F144" s="30" t="s">
        <v>20</v>
      </c>
      <c r="G144" s="67">
        <v>47.52</v>
      </c>
    </row>
    <row r="145" spans="1:7" ht="14.4" customHeight="1" x14ac:dyDescent="0.3">
      <c r="A145" s="56">
        <v>30.680879999999998</v>
      </c>
      <c r="B145" s="57">
        <v>-87.132095000000007</v>
      </c>
      <c r="C145" s="49">
        <v>27554</v>
      </c>
      <c r="D145" s="1" t="s">
        <v>45</v>
      </c>
      <c r="E145" s="1" t="s">
        <v>722</v>
      </c>
      <c r="F145" s="23" t="s">
        <v>20</v>
      </c>
      <c r="G145" s="23">
        <v>48.04</v>
      </c>
    </row>
    <row r="146" spans="1:7" x14ac:dyDescent="0.3">
      <c r="A146" s="57">
        <v>29.943715000000001</v>
      </c>
      <c r="B146" s="57">
        <v>-82.507017000000005</v>
      </c>
      <c r="C146" s="49">
        <v>31200</v>
      </c>
      <c r="D146" s="1" t="s">
        <v>697</v>
      </c>
      <c r="E146" s="1" t="s">
        <v>701</v>
      </c>
      <c r="F146" s="23" t="s">
        <v>18</v>
      </c>
      <c r="G146" s="23">
        <v>47.66</v>
      </c>
    </row>
    <row r="147" spans="1:7" ht="14.4" customHeight="1" x14ac:dyDescent="0.3">
      <c r="A147" s="57">
        <v>29.943715000000001</v>
      </c>
      <c r="B147" s="57">
        <v>-82.507017000000005</v>
      </c>
      <c r="C147" s="46">
        <v>32639</v>
      </c>
      <c r="D147" s="1" t="s">
        <v>697</v>
      </c>
      <c r="E147" s="1" t="s">
        <v>740</v>
      </c>
      <c r="F147" s="23" t="s">
        <v>18</v>
      </c>
      <c r="G147" s="23">
        <v>48.5</v>
      </c>
    </row>
    <row r="148" spans="1:7" x14ac:dyDescent="0.3">
      <c r="A148" s="57">
        <v>29.943715000000001</v>
      </c>
      <c r="B148" s="57">
        <v>-82.507017000000005</v>
      </c>
      <c r="C148" s="46">
        <v>32639</v>
      </c>
      <c r="D148" s="1" t="s">
        <v>697</v>
      </c>
      <c r="E148" s="1" t="s">
        <v>740</v>
      </c>
      <c r="F148" s="23" t="s">
        <v>18</v>
      </c>
      <c r="G148" s="23">
        <v>48.9</v>
      </c>
    </row>
    <row r="149" spans="1:7" ht="14.4" customHeight="1" x14ac:dyDescent="0.3">
      <c r="A149" s="57">
        <v>29.943715000000001</v>
      </c>
      <c r="B149" s="57">
        <v>-82.507017000000005</v>
      </c>
      <c r="C149" s="46">
        <v>32639</v>
      </c>
      <c r="D149" s="1" t="s">
        <v>697</v>
      </c>
      <c r="E149" s="1" t="s">
        <v>740</v>
      </c>
      <c r="F149" s="23" t="s">
        <v>18</v>
      </c>
      <c r="G149" s="23">
        <v>49.83</v>
      </c>
    </row>
    <row r="150" spans="1:7" x14ac:dyDescent="0.3">
      <c r="A150" s="57">
        <v>29.943715000000001</v>
      </c>
      <c r="B150" s="57">
        <v>-82.507017000000005</v>
      </c>
      <c r="C150" s="46">
        <v>32639</v>
      </c>
      <c r="D150" s="73" t="s">
        <v>697</v>
      </c>
      <c r="E150" s="1" t="s">
        <v>740</v>
      </c>
      <c r="F150" s="23" t="s">
        <v>18</v>
      </c>
      <c r="G150" s="23">
        <v>49.3</v>
      </c>
    </row>
    <row r="151" spans="1:7" ht="14.4" customHeight="1" x14ac:dyDescent="0.3">
      <c r="A151" s="57">
        <v>29.943715000000001</v>
      </c>
      <c r="B151" s="57">
        <v>-82.507017000000005</v>
      </c>
      <c r="C151" s="46">
        <v>32639</v>
      </c>
      <c r="D151" s="73" t="s">
        <v>697</v>
      </c>
      <c r="E151" s="1" t="s">
        <v>740</v>
      </c>
      <c r="F151" s="23" t="s">
        <v>18</v>
      </c>
      <c r="G151" s="23">
        <v>48.5</v>
      </c>
    </row>
    <row r="152" spans="1:7" x14ac:dyDescent="0.3">
      <c r="A152" s="57">
        <v>29.943715000000001</v>
      </c>
      <c r="B152" s="57">
        <v>-82.507017000000005</v>
      </c>
      <c r="C152" s="46">
        <v>32639</v>
      </c>
      <c r="D152" s="73" t="s">
        <v>697</v>
      </c>
      <c r="E152" s="1" t="s">
        <v>740</v>
      </c>
      <c r="F152" s="23" t="s">
        <v>20</v>
      </c>
      <c r="G152" s="23">
        <v>50.06</v>
      </c>
    </row>
    <row r="153" spans="1:7" x14ac:dyDescent="0.3">
      <c r="A153" s="57">
        <v>29.943715000000001</v>
      </c>
      <c r="B153" s="57">
        <v>-82.507017000000005</v>
      </c>
      <c r="C153" s="46">
        <v>32639</v>
      </c>
      <c r="D153" s="73" t="s">
        <v>697</v>
      </c>
      <c r="E153" s="1" t="s">
        <v>740</v>
      </c>
      <c r="F153" s="23" t="s">
        <v>20</v>
      </c>
      <c r="G153" s="23">
        <v>48.15</v>
      </c>
    </row>
    <row r="154" spans="1:7" ht="14.4" customHeight="1" x14ac:dyDescent="0.3">
      <c r="A154" s="57">
        <v>30.058060999999999</v>
      </c>
      <c r="B154" s="57">
        <v>-82.419272000000007</v>
      </c>
      <c r="C154" s="46">
        <v>35589</v>
      </c>
      <c r="D154" s="1" t="s">
        <v>697</v>
      </c>
      <c r="E154" s="1" t="s">
        <v>765</v>
      </c>
      <c r="F154" s="23" t="s">
        <v>18</v>
      </c>
      <c r="G154" s="23">
        <v>48.93</v>
      </c>
    </row>
    <row r="155" spans="1:7" x14ac:dyDescent="0.3">
      <c r="A155" s="57">
        <v>30.058060999999999</v>
      </c>
      <c r="B155" s="57">
        <v>-82.419272000000007</v>
      </c>
      <c r="C155" s="46">
        <v>35589</v>
      </c>
      <c r="D155" s="1" t="s">
        <v>697</v>
      </c>
      <c r="E155" s="1" t="s">
        <v>765</v>
      </c>
      <c r="F155" s="23" t="s">
        <v>18</v>
      </c>
      <c r="G155" s="23">
        <v>49.94</v>
      </c>
    </row>
    <row r="156" spans="1:7" ht="14.4" customHeight="1" x14ac:dyDescent="0.3">
      <c r="A156" s="56">
        <v>30.791067000000002</v>
      </c>
      <c r="B156" s="57">
        <v>-86.420462000000001</v>
      </c>
      <c r="C156" s="46">
        <v>27555</v>
      </c>
      <c r="D156" s="1" t="s">
        <v>44</v>
      </c>
      <c r="E156" s="1" t="s">
        <v>718</v>
      </c>
      <c r="F156" s="23" t="s">
        <v>18</v>
      </c>
      <c r="G156" s="23">
        <v>53.47</v>
      </c>
    </row>
    <row r="157" spans="1:7" x14ac:dyDescent="0.3">
      <c r="A157" s="56">
        <v>30.791067000000002</v>
      </c>
      <c r="B157" s="57">
        <v>-86.420462000000001</v>
      </c>
      <c r="C157" s="46">
        <v>27555</v>
      </c>
      <c r="D157" s="1" t="s">
        <v>44</v>
      </c>
      <c r="E157" s="1" t="s">
        <v>718</v>
      </c>
      <c r="F157" s="23" t="s">
        <v>18</v>
      </c>
      <c r="G157" s="23">
        <v>49.85</v>
      </c>
    </row>
    <row r="158" spans="1:7" ht="14.4" customHeight="1" x14ac:dyDescent="0.3">
      <c r="A158" s="56">
        <v>30.791067000000002</v>
      </c>
      <c r="B158" s="57">
        <v>-86.420462000000001</v>
      </c>
      <c r="C158" s="46">
        <v>27555</v>
      </c>
      <c r="D158" s="1" t="s">
        <v>44</v>
      </c>
      <c r="E158" s="1" t="s">
        <v>718</v>
      </c>
      <c r="F158" s="23" t="s">
        <v>18</v>
      </c>
      <c r="G158" s="23">
        <v>51.93</v>
      </c>
    </row>
    <row r="159" spans="1:7" x14ac:dyDescent="0.3">
      <c r="A159" s="57">
        <v>30.757614</v>
      </c>
      <c r="B159" s="57">
        <v>-85.819337000000004</v>
      </c>
      <c r="C159" s="46">
        <v>38158</v>
      </c>
      <c r="D159" s="1" t="s">
        <v>144</v>
      </c>
      <c r="E159" s="1" t="s">
        <v>717</v>
      </c>
      <c r="F159" s="23" t="s">
        <v>20</v>
      </c>
      <c r="G159" s="23">
        <v>51.29</v>
      </c>
    </row>
    <row r="160" spans="1:7" ht="14.4" customHeight="1" x14ac:dyDescent="0.3">
      <c r="A160" s="57">
        <v>32.562199999999997</v>
      </c>
      <c r="B160" s="56">
        <v>-84.609999000000002</v>
      </c>
      <c r="C160" s="46">
        <v>33022</v>
      </c>
      <c r="D160" s="1" t="s">
        <v>730</v>
      </c>
      <c r="E160" s="1" t="s">
        <v>737</v>
      </c>
      <c r="F160" s="23" t="s">
        <v>18</v>
      </c>
      <c r="G160" s="23">
        <v>50.81</v>
      </c>
    </row>
    <row r="161" spans="1:7" x14ac:dyDescent="0.3">
      <c r="A161" s="56"/>
      <c r="B161" s="57"/>
      <c r="C161" s="46"/>
      <c r="D161" s="1"/>
      <c r="E161" s="1"/>
      <c r="F161" s="23"/>
      <c r="G161" s="23"/>
    </row>
    <row r="162" spans="1:7" x14ac:dyDescent="0.3">
      <c r="A162" s="56"/>
      <c r="B162" s="57"/>
      <c r="C162" s="46"/>
      <c r="D162" s="1"/>
      <c r="E162" s="1"/>
      <c r="F162" s="23"/>
      <c r="G162" s="23"/>
    </row>
    <row r="163" spans="1:7" x14ac:dyDescent="0.3">
      <c r="A163" s="56"/>
      <c r="B163" s="57"/>
      <c r="C163" s="46"/>
      <c r="D163" s="1"/>
      <c r="E163" s="1"/>
      <c r="F163" s="23"/>
      <c r="G163" s="23"/>
    </row>
    <row r="164" spans="1:7" x14ac:dyDescent="0.3">
      <c r="A164" s="56"/>
      <c r="B164" s="57"/>
      <c r="C164" s="46"/>
      <c r="D164" s="1"/>
      <c r="E164" s="1"/>
      <c r="F164" s="23"/>
      <c r="G164" s="23"/>
    </row>
    <row r="165" spans="1:7" x14ac:dyDescent="0.3">
      <c r="A165" s="56"/>
      <c r="B165" s="57"/>
      <c r="C165" s="46"/>
      <c r="D165" s="1"/>
      <c r="E165" s="1"/>
      <c r="F165" s="23"/>
      <c r="G165" s="23"/>
    </row>
    <row r="166" spans="1:7" ht="14.4" customHeight="1" x14ac:dyDescent="0.3">
      <c r="A166" s="56"/>
      <c r="B166" s="57"/>
      <c r="C166" s="46"/>
      <c r="D166" s="1"/>
      <c r="E166" s="1"/>
      <c r="F166" s="23"/>
      <c r="G166" s="23"/>
    </row>
    <row r="167" spans="1:7" x14ac:dyDescent="0.3">
      <c r="A167" s="57"/>
      <c r="B167" s="57"/>
      <c r="C167" s="46"/>
      <c r="D167" s="1"/>
      <c r="E167" s="1"/>
      <c r="F167" s="23"/>
      <c r="G167" s="23"/>
    </row>
    <row r="168" spans="1:7" ht="14.4" customHeight="1" x14ac:dyDescent="0.3">
      <c r="A168" s="57"/>
      <c r="B168" s="57"/>
      <c r="C168" s="46"/>
      <c r="D168" s="1"/>
      <c r="E168" s="1"/>
      <c r="F168" s="23"/>
      <c r="G168" s="23"/>
    </row>
    <row r="169" spans="1:7" x14ac:dyDescent="0.3">
      <c r="A169" s="57"/>
      <c r="B169" s="57"/>
      <c r="C169" s="46"/>
      <c r="D169" s="1"/>
      <c r="E169" s="1"/>
      <c r="F169" s="23"/>
      <c r="G169" s="23"/>
    </row>
    <row r="170" spans="1:7" ht="14.4" customHeight="1" x14ac:dyDescent="0.3">
      <c r="A170" s="57"/>
      <c r="B170" s="57"/>
      <c r="C170" s="46"/>
      <c r="D170" s="1"/>
      <c r="E170" s="1"/>
      <c r="F170" s="23"/>
      <c r="G170" s="23"/>
    </row>
    <row r="171" spans="1:7" x14ac:dyDescent="0.3">
      <c r="A171" s="57"/>
      <c r="B171" s="57"/>
      <c r="C171" s="46"/>
      <c r="D171" s="1"/>
      <c r="E171" s="1"/>
      <c r="F171" s="23"/>
      <c r="G171" s="23"/>
    </row>
    <row r="172" spans="1:7" ht="14.4" customHeight="1" x14ac:dyDescent="0.3">
      <c r="A172" s="57"/>
      <c r="B172" s="57"/>
      <c r="C172" s="46"/>
      <c r="D172" s="1"/>
      <c r="E172" s="1"/>
      <c r="F172" s="23"/>
      <c r="G172" s="23"/>
    </row>
    <row r="173" spans="1:7" x14ac:dyDescent="0.3">
      <c r="A173" s="57"/>
      <c r="B173" s="57"/>
      <c r="C173" s="46"/>
      <c r="D173" s="1"/>
      <c r="E173" s="1"/>
      <c r="F173" s="23"/>
      <c r="G173" s="23"/>
    </row>
    <row r="174" spans="1:7" ht="14.4" customHeight="1" x14ac:dyDescent="0.3">
      <c r="A174" s="57"/>
      <c r="B174" s="57"/>
      <c r="C174" s="46"/>
      <c r="D174" s="1"/>
      <c r="E174" s="1"/>
      <c r="F174" s="23"/>
      <c r="G174" s="23"/>
    </row>
    <row r="175" spans="1:7" x14ac:dyDescent="0.3">
      <c r="A175" s="57"/>
      <c r="B175" s="57"/>
      <c r="C175" s="46"/>
      <c r="D175" s="1"/>
      <c r="E175" s="1"/>
      <c r="F175" s="23"/>
      <c r="G175" s="23"/>
    </row>
    <row r="176" spans="1:7" ht="14.4" customHeight="1" x14ac:dyDescent="0.3">
      <c r="A176" s="57"/>
      <c r="B176" s="57"/>
      <c r="C176" s="46"/>
      <c r="D176" s="1"/>
      <c r="E176" s="1"/>
      <c r="F176" s="23"/>
      <c r="G176" s="23"/>
    </row>
    <row r="177" spans="1:7" x14ac:dyDescent="0.3">
      <c r="A177" s="57"/>
      <c r="B177" s="57"/>
      <c r="C177" s="46"/>
      <c r="D177" s="73"/>
      <c r="E177" s="1"/>
      <c r="F177" s="23"/>
      <c r="G177" s="23"/>
    </row>
    <row r="178" spans="1:7" x14ac:dyDescent="0.3">
      <c r="A178" s="57"/>
      <c r="B178" s="57"/>
      <c r="C178" s="46"/>
      <c r="D178" s="73"/>
      <c r="E178" s="1"/>
      <c r="F178" s="23"/>
      <c r="G178" s="23"/>
    </row>
    <row r="179" spans="1:7" x14ac:dyDescent="0.3">
      <c r="A179" s="57"/>
      <c r="B179" s="57"/>
      <c r="C179" s="46"/>
      <c r="D179" s="73"/>
      <c r="E179" s="1"/>
      <c r="F179" s="23"/>
      <c r="G179" s="23"/>
    </row>
    <row r="180" spans="1:7" x14ac:dyDescent="0.3">
      <c r="A180" s="57"/>
      <c r="B180" s="57"/>
      <c r="C180" s="46"/>
      <c r="D180" s="73"/>
      <c r="E180" s="1"/>
      <c r="F180" s="23"/>
      <c r="G180" s="23"/>
    </row>
    <row r="181" spans="1:7" x14ac:dyDescent="0.3">
      <c r="A181" s="57"/>
      <c r="B181" s="57"/>
      <c r="C181" s="46"/>
      <c r="D181" s="20"/>
      <c r="E181" s="1"/>
      <c r="F181" s="23"/>
      <c r="G181" s="23"/>
    </row>
    <row r="182" spans="1:7" ht="14.4" customHeight="1" x14ac:dyDescent="0.3">
      <c r="A182" s="57"/>
      <c r="B182" s="57"/>
      <c r="C182" s="46"/>
      <c r="D182" s="20"/>
      <c r="E182" s="1"/>
      <c r="F182" s="23"/>
      <c r="G182" s="23"/>
    </row>
    <row r="183" spans="1:7" x14ac:dyDescent="0.3">
      <c r="A183" s="57"/>
      <c r="B183" s="57"/>
      <c r="C183" s="46"/>
      <c r="D183" s="20"/>
      <c r="E183" s="1"/>
      <c r="F183" s="23"/>
      <c r="G183" s="23"/>
    </row>
    <row r="184" spans="1:7" ht="14.4" customHeight="1" x14ac:dyDescent="0.3">
      <c r="A184" s="57"/>
      <c r="B184" s="57"/>
      <c r="C184" s="46"/>
      <c r="D184" s="20"/>
      <c r="E184" s="1"/>
      <c r="F184" s="23"/>
      <c r="G184" s="23"/>
    </row>
    <row r="185" spans="1:7" x14ac:dyDescent="0.3">
      <c r="A185" s="57"/>
      <c r="B185" s="57"/>
      <c r="C185" s="46"/>
      <c r="D185" s="20"/>
      <c r="E185" s="1"/>
      <c r="F185" s="23"/>
      <c r="G185" s="23"/>
    </row>
    <row r="186" spans="1:7" x14ac:dyDescent="0.3">
      <c r="A186" s="57"/>
      <c r="B186" s="57"/>
      <c r="C186" s="46"/>
      <c r="D186" s="20"/>
      <c r="E186" s="1"/>
      <c r="F186" s="23"/>
      <c r="G186" s="23"/>
    </row>
    <row r="187" spans="1:7" x14ac:dyDescent="0.3">
      <c r="A187" s="57"/>
      <c r="B187" s="57"/>
      <c r="C187" s="46"/>
      <c r="D187" s="20"/>
      <c r="E187" s="1"/>
      <c r="F187" s="23"/>
      <c r="G187" s="23"/>
    </row>
    <row r="188" spans="1:7" x14ac:dyDescent="0.3">
      <c r="A188" s="57"/>
      <c r="B188" s="57"/>
      <c r="C188" s="46"/>
      <c r="D188" s="20"/>
      <c r="E188" s="1"/>
      <c r="F188" s="23"/>
      <c r="G188" s="23"/>
    </row>
    <row r="189" spans="1:7" x14ac:dyDescent="0.3">
      <c r="A189" s="57"/>
      <c r="B189" s="57"/>
      <c r="C189" s="46"/>
      <c r="D189" s="20"/>
      <c r="E189" s="1"/>
      <c r="F189" s="23"/>
      <c r="G189" s="23"/>
    </row>
    <row r="190" spans="1:7" x14ac:dyDescent="0.3">
      <c r="A190" s="57"/>
      <c r="B190" s="57"/>
      <c r="C190" s="46"/>
      <c r="D190" s="20"/>
      <c r="E190" s="1"/>
      <c r="F190" s="23"/>
      <c r="G190" s="23"/>
    </row>
    <row r="191" spans="1:7" x14ac:dyDescent="0.3">
      <c r="A191" s="57"/>
      <c r="B191" s="57"/>
      <c r="C191" s="46"/>
      <c r="D191" s="20"/>
      <c r="E191" s="1"/>
      <c r="F191" s="23"/>
      <c r="G191" s="23"/>
    </row>
    <row r="192" spans="1:7" x14ac:dyDescent="0.3">
      <c r="A192" s="57"/>
      <c r="B192" s="57"/>
      <c r="C192" s="46"/>
      <c r="D192" s="20"/>
      <c r="E192" s="1"/>
      <c r="F192" s="23"/>
      <c r="G192" s="23"/>
    </row>
    <row r="193" spans="1:7" x14ac:dyDescent="0.3">
      <c r="A193" s="57"/>
      <c r="B193" s="57"/>
      <c r="C193" s="46"/>
      <c r="D193" s="20"/>
      <c r="E193" s="1"/>
      <c r="F193" s="23"/>
      <c r="G193" s="23"/>
    </row>
    <row r="194" spans="1:7" x14ac:dyDescent="0.3">
      <c r="A194" s="57"/>
      <c r="B194" s="57"/>
      <c r="C194" s="46"/>
      <c r="D194" s="20"/>
      <c r="E194" s="1"/>
      <c r="F194" s="23"/>
      <c r="G194" s="23"/>
    </row>
    <row r="195" spans="1:7" x14ac:dyDescent="0.3">
      <c r="A195" s="57"/>
      <c r="B195" s="57"/>
      <c r="C195" s="46"/>
      <c r="D195" s="20"/>
      <c r="E195" s="1"/>
      <c r="F195" s="23"/>
      <c r="G195" s="23"/>
    </row>
    <row r="196" spans="1:7" ht="14.4" customHeight="1" x14ac:dyDescent="0.3">
      <c r="A196" s="57"/>
      <c r="B196" s="57"/>
      <c r="C196" s="46"/>
      <c r="D196" s="20"/>
      <c r="E196" s="1"/>
      <c r="F196" s="23"/>
      <c r="G196" s="23"/>
    </row>
    <row r="197" spans="1:7" x14ac:dyDescent="0.3">
      <c r="A197" s="57"/>
      <c r="B197" s="57"/>
      <c r="C197" s="46"/>
      <c r="D197" s="20"/>
      <c r="E197" s="1"/>
      <c r="F197" s="23"/>
      <c r="G197" s="23"/>
    </row>
    <row r="198" spans="1:7" x14ac:dyDescent="0.3">
      <c r="A198" s="57"/>
      <c r="B198" s="57"/>
      <c r="C198" s="46"/>
      <c r="D198" s="20"/>
      <c r="E198" s="1"/>
      <c r="F198" s="23"/>
      <c r="G198" s="23"/>
    </row>
    <row r="199" spans="1:7" x14ac:dyDescent="0.3">
      <c r="A199" s="57"/>
      <c r="B199" s="57"/>
      <c r="C199" s="46"/>
      <c r="D199" s="20"/>
      <c r="E199" s="1"/>
      <c r="F199" s="23"/>
      <c r="G199" s="23"/>
    </row>
    <row r="200" spans="1:7" x14ac:dyDescent="0.3">
      <c r="A200" s="57"/>
      <c r="B200" s="57"/>
      <c r="C200" s="46"/>
      <c r="D200" s="20"/>
      <c r="E200" s="1"/>
      <c r="F200" s="23"/>
      <c r="G200" s="23"/>
    </row>
    <row r="201" spans="1:7" x14ac:dyDescent="0.3">
      <c r="A201" s="57"/>
      <c r="B201" s="57"/>
      <c r="C201" s="46"/>
      <c r="D201" s="20"/>
      <c r="E201" s="1"/>
      <c r="F201" s="23"/>
      <c r="G201" s="23"/>
    </row>
    <row r="202" spans="1:7" ht="14.4" customHeight="1" x14ac:dyDescent="0.3">
      <c r="A202" s="57"/>
      <c r="B202" s="57"/>
      <c r="C202" s="46"/>
      <c r="D202" s="20"/>
      <c r="E202" s="1"/>
      <c r="F202" s="23"/>
      <c r="G202" s="23"/>
    </row>
    <row r="203" spans="1:7" x14ac:dyDescent="0.3">
      <c r="A203" s="62"/>
      <c r="B203" s="62"/>
    </row>
    <row r="204" spans="1:7" ht="14.4" customHeight="1" x14ac:dyDescent="0.3">
      <c r="A204" s="62"/>
      <c r="B204" s="62"/>
    </row>
    <row r="205" spans="1:7" x14ac:dyDescent="0.3">
      <c r="A205" s="62"/>
      <c r="B205" s="62"/>
    </row>
    <row r="206" spans="1:7" ht="14.4" customHeight="1" x14ac:dyDescent="0.3">
      <c r="A206" s="62"/>
      <c r="B206" s="62"/>
    </row>
    <row r="207" spans="1:7" x14ac:dyDescent="0.3">
      <c r="A207" s="62"/>
      <c r="B207" s="62"/>
    </row>
    <row r="208" spans="1:7" ht="14.4" customHeight="1" x14ac:dyDescent="0.3">
      <c r="A208" s="62"/>
      <c r="B208" s="62"/>
    </row>
    <row r="209" spans="1:2" ht="14.4" customHeight="1" x14ac:dyDescent="0.3">
      <c r="A209" s="62"/>
      <c r="B209" s="62"/>
    </row>
    <row r="210" spans="1:2" ht="14.4" customHeight="1" x14ac:dyDescent="0.3">
      <c r="A210" s="62"/>
      <c r="B210" s="62"/>
    </row>
    <row r="211" spans="1:2" x14ac:dyDescent="0.3">
      <c r="A211" s="62"/>
      <c r="B211" s="62"/>
    </row>
    <row r="212" spans="1:2" ht="14.4" customHeight="1" x14ac:dyDescent="0.3">
      <c r="A212" s="62"/>
      <c r="B212" s="62"/>
    </row>
    <row r="213" spans="1:2" x14ac:dyDescent="0.3">
      <c r="A213" s="62"/>
      <c r="B213" s="62"/>
    </row>
    <row r="214" spans="1:2" ht="14.4" customHeight="1" x14ac:dyDescent="0.3">
      <c r="A214" s="62"/>
      <c r="B214" s="62"/>
    </row>
    <row r="215" spans="1:2" x14ac:dyDescent="0.3">
      <c r="A215" s="62"/>
      <c r="B215" s="62"/>
    </row>
    <row r="216" spans="1:2" ht="14.4" customHeight="1" x14ac:dyDescent="0.3">
      <c r="A216" s="62"/>
    </row>
    <row r="217" spans="1:2" x14ac:dyDescent="0.3">
      <c r="A217" s="62"/>
    </row>
    <row r="218" spans="1:2" ht="14.4" customHeight="1" x14ac:dyDescent="0.3">
      <c r="A218" s="62"/>
    </row>
    <row r="219" spans="1:2" x14ac:dyDescent="0.3">
      <c r="A219" s="62"/>
    </row>
    <row r="220" spans="1:2" ht="14.4" customHeight="1" x14ac:dyDescent="0.3">
      <c r="A220" s="62"/>
    </row>
    <row r="221" spans="1:2" x14ac:dyDescent="0.3">
      <c r="A221" s="62"/>
    </row>
    <row r="222" spans="1:2" x14ac:dyDescent="0.3">
      <c r="A222" s="62"/>
    </row>
    <row r="223" spans="1:2" x14ac:dyDescent="0.3">
      <c r="A223" s="62"/>
    </row>
    <row r="224" spans="1:2" ht="14.4" customHeight="1" x14ac:dyDescent="0.3">
      <c r="A224" s="62"/>
    </row>
    <row r="225" spans="1:1" x14ac:dyDescent="0.3">
      <c r="A225" s="62"/>
    </row>
    <row r="226" spans="1:1" x14ac:dyDescent="0.3">
      <c r="A226" s="62"/>
    </row>
    <row r="227" spans="1:1" x14ac:dyDescent="0.3">
      <c r="A227" s="62"/>
    </row>
    <row r="228" spans="1:1" x14ac:dyDescent="0.3">
      <c r="A228" s="62"/>
    </row>
    <row r="229" spans="1:1" x14ac:dyDescent="0.3">
      <c r="A229" s="62"/>
    </row>
    <row r="230" spans="1:1" x14ac:dyDescent="0.3">
      <c r="A230" s="62"/>
    </row>
    <row r="231" spans="1:1" x14ac:dyDescent="0.3">
      <c r="A231" s="62"/>
    </row>
    <row r="232" spans="1:1" x14ac:dyDescent="0.3">
      <c r="A232" s="62"/>
    </row>
    <row r="233" spans="1:1" x14ac:dyDescent="0.3">
      <c r="A233" s="62"/>
    </row>
    <row r="234" spans="1:1" x14ac:dyDescent="0.3">
      <c r="A234" s="62"/>
    </row>
    <row r="235" spans="1:1" x14ac:dyDescent="0.3">
      <c r="A235" s="62"/>
    </row>
    <row r="236" spans="1:1" x14ac:dyDescent="0.3">
      <c r="A236" s="62"/>
    </row>
    <row r="237" spans="1:1" x14ac:dyDescent="0.3">
      <c r="A237" s="62"/>
    </row>
    <row r="238" spans="1:1" x14ac:dyDescent="0.3">
      <c r="A238" s="62"/>
    </row>
    <row r="239" spans="1:1" x14ac:dyDescent="0.3">
      <c r="A239" s="62"/>
    </row>
    <row r="240" spans="1:1" ht="14.4" customHeight="1" x14ac:dyDescent="0.3">
      <c r="A240" s="62"/>
    </row>
    <row r="241" spans="1:1" x14ac:dyDescent="0.3">
      <c r="A241" s="62"/>
    </row>
    <row r="242" spans="1:1" ht="14.4" customHeight="1" x14ac:dyDescent="0.3"/>
    <row r="244" spans="1:1" ht="14.4" customHeight="1" x14ac:dyDescent="0.3"/>
    <row r="246" spans="1:1" ht="14.4" customHeight="1" x14ac:dyDescent="0.3"/>
    <row r="248" spans="1:1" ht="14.4" customHeight="1" x14ac:dyDescent="0.3"/>
    <row r="250" spans="1:1" ht="14.4" customHeight="1" x14ac:dyDescent="0.3"/>
    <row r="252" spans="1:1" ht="14.4" customHeight="1" x14ac:dyDescent="0.3"/>
    <row r="266" ht="14.4" customHeight="1" x14ac:dyDescent="0.3"/>
    <row r="268" ht="14.4" customHeight="1" x14ac:dyDescent="0.3"/>
    <row r="270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2" ht="14.4" customHeight="1" x14ac:dyDescent="0.3"/>
    <row r="283" ht="14.4" customHeight="1" x14ac:dyDescent="0.3"/>
  </sheetData>
  <sortState xmlns:xlrd2="http://schemas.microsoft.com/office/spreadsheetml/2017/richdata2" ref="A2:G283">
    <sortCondition ref="D52:D2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Stream</vt:lpstr>
      <vt:lpstr>Online</vt:lpstr>
      <vt:lpstr>Measurements_N</vt:lpstr>
      <vt:lpstr>Measurements_A</vt:lpstr>
      <vt:lpstr>progomphus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Wojo</dc:creator>
  <cp:lastModifiedBy>Joseph Girgente</cp:lastModifiedBy>
  <cp:lastPrinted>2023-03-22T17:17:31Z</cp:lastPrinted>
  <dcterms:created xsi:type="dcterms:W3CDTF">2021-11-16T02:27:59Z</dcterms:created>
  <dcterms:modified xsi:type="dcterms:W3CDTF">2023-12-19T16:41:15Z</dcterms:modified>
</cp:coreProperties>
</file>