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Joe\Documents\Homework\CIS.250\"/>
    </mc:Choice>
  </mc:AlternateContent>
  <xr:revisionPtr revIDLastSave="0" documentId="13_ncr:1_{1B0E3733-8112-4915-85E6-9B44413C828D}" xr6:coauthVersionLast="43" xr6:coauthVersionMax="43" xr10:uidLastSave="{00000000-0000-0000-0000-000000000000}"/>
  <bookViews>
    <workbookView xWindow="21210" yWindow="420" windowWidth="27270" windowHeight="15345" tabRatio="500" xr2:uid="{00000000-000D-0000-FFFF-FFFF00000000}"/>
  </bookViews>
  <sheets>
    <sheet name="Economic Feasibility Analysis" sheetId="1" r:id="rId1"/>
    <sheet name="Cash Flow Projection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G30" i="1"/>
  <c r="G9" i="1"/>
  <c r="G10" i="1"/>
  <c r="G11" i="1"/>
  <c r="G12" i="1"/>
  <c r="G13" i="1"/>
  <c r="G14" i="1"/>
  <c r="G15" i="1"/>
  <c r="G16" i="1"/>
  <c r="G17" i="1"/>
  <c r="G18" i="1"/>
  <c r="G19" i="1"/>
  <c r="G20" i="1"/>
  <c r="G8" i="1"/>
  <c r="G28" i="1"/>
  <c r="B33" i="1"/>
  <c r="D27" i="1"/>
  <c r="E27" i="1"/>
  <c r="F27" i="1"/>
  <c r="C27" i="1"/>
  <c r="G4" i="1"/>
  <c r="G23" i="1"/>
  <c r="G24" i="1"/>
  <c r="G25" i="1"/>
  <c r="G26" i="1"/>
  <c r="G27" i="1"/>
  <c r="C29" i="1"/>
  <c r="C30" i="1"/>
  <c r="C31" i="1"/>
  <c r="D29" i="1"/>
  <c r="D30" i="1"/>
  <c r="D31" i="1"/>
  <c r="E29" i="1"/>
  <c r="E30" i="1"/>
  <c r="E31" i="1"/>
  <c r="F29" i="1"/>
  <c r="F30" i="1"/>
  <c r="F31" i="1"/>
  <c r="G31" i="1"/>
  <c r="G2" i="1"/>
  <c r="G3" i="1"/>
  <c r="C32" i="1"/>
  <c r="D32" i="1"/>
  <c r="E32" i="1"/>
  <c r="F32" i="1"/>
  <c r="G32" i="1"/>
  <c r="B36" i="1"/>
  <c r="B34" i="1"/>
  <c r="D4" i="2"/>
  <c r="D5" i="2"/>
  <c r="D6" i="2"/>
  <c r="E4" i="2"/>
  <c r="E5" i="2"/>
  <c r="E6" i="2"/>
  <c r="F4" i="2"/>
  <c r="F5" i="2"/>
  <c r="F6" i="2"/>
  <c r="G4" i="2"/>
  <c r="G5" i="2"/>
  <c r="G6" i="2"/>
  <c r="F11" i="2"/>
  <c r="H3" i="2"/>
  <c r="H4" i="2"/>
  <c r="F9" i="2"/>
  <c r="C6" i="2"/>
  <c r="H5" i="2"/>
  <c r="C5" i="2"/>
  <c r="B32" i="1"/>
  <c r="C5" i="1"/>
  <c r="B31" i="1"/>
  <c r="B30" i="1"/>
  <c r="D23" i="1"/>
  <c r="D24" i="1"/>
  <c r="D28" i="1"/>
  <c r="E23" i="1"/>
  <c r="E24" i="1"/>
  <c r="E28" i="1"/>
  <c r="F23" i="1"/>
  <c r="F24" i="1"/>
  <c r="F28" i="1"/>
  <c r="C28" i="1"/>
  <c r="E26" i="1"/>
  <c r="F26" i="1"/>
  <c r="D26" i="1"/>
  <c r="E25" i="1"/>
  <c r="F25" i="1"/>
  <c r="D25" i="1"/>
  <c r="B29" i="1"/>
  <c r="C24" i="1"/>
  <c r="C23" i="1"/>
  <c r="B19" i="1"/>
  <c r="B15" i="1"/>
  <c r="B14" i="1"/>
  <c r="B13" i="1"/>
  <c r="B12" i="1"/>
  <c r="B10" i="1"/>
  <c r="B9" i="1"/>
  <c r="B8" i="1"/>
  <c r="F5" i="1"/>
  <c r="E5" i="1"/>
  <c r="D5" i="1"/>
  <c r="E3" i="1"/>
  <c r="F3" i="1"/>
  <c r="D3" i="1"/>
  <c r="E2" i="1"/>
  <c r="F2" i="1"/>
  <c r="D2" i="1"/>
  <c r="E4" i="1"/>
  <c r="D4" i="1"/>
  <c r="F4" i="1"/>
  <c r="G5" i="1"/>
  <c r="C4" i="2"/>
  <c r="D3" i="2"/>
  <c r="E3" i="2"/>
  <c r="F3" i="2"/>
  <c r="G3" i="2"/>
  <c r="C3" i="2"/>
  <c r="B41" i="1"/>
  <c r="B20" i="1"/>
  <c r="C4" i="1"/>
</calcChain>
</file>

<file path=xl/sharedStrings.xml><?xml version="1.0" encoding="utf-8"?>
<sst xmlns="http://schemas.openxmlformats.org/spreadsheetml/2006/main" count="55" uniqueCount="51">
  <si>
    <t>Benefits</t>
  </si>
  <si>
    <t>Increased Sales</t>
  </si>
  <si>
    <t>Lower Inventory Sales</t>
  </si>
  <si>
    <t>Total Benefits</t>
  </si>
  <si>
    <t>Total</t>
  </si>
  <si>
    <t>Present Value Total Benefits</t>
  </si>
  <si>
    <t>Development Costs</t>
  </si>
  <si>
    <t>Total Development Costs</t>
  </si>
  <si>
    <t>Total Operational Costs</t>
  </si>
  <si>
    <t>Total Costs</t>
  </si>
  <si>
    <t>Total Benefits - Total Costs</t>
  </si>
  <si>
    <t>Cummulative Net Cash Flow</t>
  </si>
  <si>
    <t>Present Value Total Costs</t>
  </si>
  <si>
    <t>Return On Investment</t>
  </si>
  <si>
    <t>NPV (PV Total Benefits  - PV Total Cost)</t>
  </si>
  <si>
    <t>Systems Analysts</t>
  </si>
  <si>
    <t>Programmer Analyst</t>
  </si>
  <si>
    <t>GUI Designer</t>
  </si>
  <si>
    <t>Telecommunications Specialist</t>
  </si>
  <si>
    <t>System Architect</t>
  </si>
  <si>
    <t>Database Specialist</t>
  </si>
  <si>
    <t>System Librarian</t>
  </si>
  <si>
    <t>Oracle Training Registration</t>
  </si>
  <si>
    <t>Development Server</t>
  </si>
  <si>
    <t>Server Software (OS, misc.)</t>
  </si>
  <si>
    <t>DBMS Server Software</t>
  </si>
  <si>
    <t>DBMS Client Software</t>
  </si>
  <si>
    <t>Programmer Analysts</t>
  </si>
  <si>
    <t>Maintenance Agreement For Server</t>
  </si>
  <si>
    <t>Preprinted Forms</t>
  </si>
  <si>
    <t>Operational Costs</t>
  </si>
  <si>
    <t>Year 1</t>
  </si>
  <si>
    <t>Year 2</t>
  </si>
  <si>
    <t>Year 3</t>
  </si>
  <si>
    <t>Year 4</t>
  </si>
  <si>
    <t>Total Cost</t>
  </si>
  <si>
    <t>Year 0</t>
  </si>
  <si>
    <t>Net Benefits</t>
  </si>
  <si>
    <t>BEP</t>
  </si>
  <si>
    <t>ROI</t>
  </si>
  <si>
    <t>Cumulative Net Cash Flow</t>
  </si>
  <si>
    <t>Pre-Printed Forms per year</t>
  </si>
  <si>
    <t>Cost per form</t>
  </si>
  <si>
    <t>Annualized cost</t>
  </si>
  <si>
    <t>Annual Salary Increase</t>
  </si>
  <si>
    <t>Break-Even Point (in years)</t>
  </si>
  <si>
    <t>As the numbers indicate, this would not be an economically feasible project for a number of reasons. It would take more than the projected four year life span to breakeven on the initial investment, the return on investment is a very low number (-.87%), and the net present value is currently projected as a number less than zero.</t>
  </si>
  <si>
    <t>Not realized within this schedule.</t>
  </si>
  <si>
    <t xml:space="preserve">       Not realized within schedule</t>
  </si>
  <si>
    <t xml:space="preserve">  (160,212-189,885)</t>
  </si>
  <si>
    <t>((199,230-200,985)/200,985))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</si>
</sst>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vertical="top" wrapText="1"/>
    </xf>
    <xf numFmtId="9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  <xf numFmtId="3" fontId="0" fillId="0" borderId="0" xfId="0" applyNumberFormat="1"/>
    <xf numFmtId="3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3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3"/>
  <sheetViews>
    <sheetView tabSelected="1" showRuler="0" topLeftCell="A9" zoomScaleNormal="100" workbookViewId="0">
      <selection activeCell="B34" sqref="B34"/>
    </sheetView>
  </sheetViews>
  <sheetFormatPr defaultColWidth="11" defaultRowHeight="15.75" x14ac:dyDescent="0.25"/>
  <cols>
    <col min="1" max="1" width="34.125" style="1" customWidth="1"/>
    <col min="2" max="2" width="11.5" style="5" bestFit="1" customWidth="1"/>
    <col min="3" max="7" width="10.875" style="5"/>
  </cols>
  <sheetData>
    <row r="1" spans="1:15" x14ac:dyDescent="0.25">
      <c r="A1" s="1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 t="s">
        <v>4</v>
      </c>
    </row>
    <row r="2" spans="1:15" x14ac:dyDescent="0.25">
      <c r="A2" s="4" t="s">
        <v>1</v>
      </c>
      <c r="B2" s="6"/>
      <c r="C2" s="6">
        <v>30000</v>
      </c>
      <c r="D2" s="6">
        <f>C2*1.1</f>
        <v>33000</v>
      </c>
      <c r="E2" s="6">
        <f t="shared" ref="E2:F2" si="0">D2*1.1</f>
        <v>36300</v>
      </c>
      <c r="F2" s="6">
        <f t="shared" si="0"/>
        <v>39930</v>
      </c>
      <c r="G2" s="7">
        <f t="shared" ref="G2:G3" si="1">SUM(C2:F2)</f>
        <v>139230</v>
      </c>
    </row>
    <row r="3" spans="1:15" ht="15.95" customHeight="1" x14ac:dyDescent="0.25">
      <c r="A3" s="4" t="s">
        <v>2</v>
      </c>
      <c r="B3" s="6"/>
      <c r="C3" s="6">
        <v>15000</v>
      </c>
      <c r="D3" s="6">
        <f>C3</f>
        <v>15000</v>
      </c>
      <c r="E3" s="6">
        <f t="shared" ref="E3:F3" si="2">D3</f>
        <v>15000</v>
      </c>
      <c r="F3" s="6">
        <f t="shared" si="2"/>
        <v>15000</v>
      </c>
      <c r="G3" s="7">
        <f t="shared" si="1"/>
        <v>60000</v>
      </c>
      <c r="I3" s="17" t="s">
        <v>46</v>
      </c>
      <c r="J3" s="18"/>
      <c r="K3" s="18"/>
      <c r="L3" s="18"/>
      <c r="M3" s="18"/>
      <c r="N3" s="18"/>
      <c r="O3" s="11"/>
    </row>
    <row r="4" spans="1:15" s="1" customFormat="1" x14ac:dyDescent="0.25">
      <c r="A4" s="1" t="s">
        <v>3</v>
      </c>
      <c r="B4" s="6"/>
      <c r="C4" s="21">
        <f>SUM(C2:C3)</f>
        <v>45000</v>
      </c>
      <c r="D4" s="21">
        <f t="shared" ref="D4:F4" si="3">SUM(D2:D3)</f>
        <v>48000</v>
      </c>
      <c r="E4" s="21">
        <f>SUM(E2:E3)</f>
        <v>51300</v>
      </c>
      <c r="F4" s="21">
        <f t="shared" si="3"/>
        <v>54930</v>
      </c>
      <c r="G4" s="7">
        <f>SUM(G2:G3)</f>
        <v>199230</v>
      </c>
      <c r="I4" s="18"/>
      <c r="J4" s="18"/>
      <c r="K4" s="18"/>
      <c r="L4" s="18"/>
      <c r="M4" s="18"/>
      <c r="N4" s="18"/>
      <c r="O4" s="11"/>
    </row>
    <row r="5" spans="1:15" x14ac:dyDescent="0.25">
      <c r="A5" s="1" t="s">
        <v>5</v>
      </c>
      <c r="B5" s="6"/>
      <c r="C5" s="21">
        <f>C4/((1+0.09)^1)</f>
        <v>41284.403669724765</v>
      </c>
      <c r="D5" s="21">
        <f>D4/((1+0.09)^2)</f>
        <v>40400.639676794875</v>
      </c>
      <c r="E5" s="21">
        <f>E4/((1+0.09)^3)</f>
        <v>39613.012527132589</v>
      </c>
      <c r="F5" s="21">
        <f>F4/((1+0.09)^4)</f>
        <v>38913.796843811244</v>
      </c>
      <c r="G5" s="7">
        <f>SUM(C5:F5)</f>
        <v>160211.85271746345</v>
      </c>
      <c r="I5" s="18"/>
      <c r="J5" s="18"/>
      <c r="K5" s="18"/>
      <c r="L5" s="18"/>
      <c r="M5" s="18"/>
      <c r="N5" s="18"/>
      <c r="O5" s="11"/>
    </row>
    <row r="6" spans="1:15" x14ac:dyDescent="0.25">
      <c r="B6" s="6"/>
      <c r="C6" s="6"/>
      <c r="D6" s="6"/>
      <c r="E6" s="6"/>
      <c r="F6" s="6"/>
      <c r="G6" s="7"/>
      <c r="I6" s="18"/>
      <c r="J6" s="18"/>
      <c r="K6" s="18"/>
      <c r="L6" s="18"/>
      <c r="M6" s="18"/>
      <c r="N6" s="18"/>
      <c r="O6" s="11"/>
    </row>
    <row r="7" spans="1:15" x14ac:dyDescent="0.25">
      <c r="A7" s="1" t="s">
        <v>6</v>
      </c>
      <c r="B7" s="6"/>
      <c r="C7" s="6"/>
      <c r="D7" s="6"/>
      <c r="E7" s="6"/>
      <c r="F7" s="6"/>
      <c r="G7" s="7"/>
      <c r="I7" s="18"/>
      <c r="J7" s="18"/>
      <c r="K7" s="18"/>
      <c r="L7" s="18"/>
      <c r="M7" s="18"/>
      <c r="N7" s="18"/>
      <c r="O7" s="11"/>
    </row>
    <row r="8" spans="1:15" x14ac:dyDescent="0.25">
      <c r="A8" s="4" t="s">
        <v>15</v>
      </c>
      <c r="B8" s="6">
        <f>2*400*50</f>
        <v>40000</v>
      </c>
      <c r="C8" s="6">
        <v>0</v>
      </c>
      <c r="D8" s="6">
        <v>0</v>
      </c>
      <c r="E8" s="6">
        <v>0</v>
      </c>
      <c r="F8" s="6">
        <v>0</v>
      </c>
      <c r="G8" s="7">
        <f>SUM(B8:F8)</f>
        <v>40000</v>
      </c>
      <c r="I8" s="18"/>
      <c r="J8" s="18"/>
      <c r="K8" s="18"/>
      <c r="L8" s="18"/>
      <c r="M8" s="18"/>
      <c r="N8" s="18"/>
      <c r="O8" s="11"/>
    </row>
    <row r="9" spans="1:15" x14ac:dyDescent="0.25">
      <c r="A9" s="4" t="s">
        <v>16</v>
      </c>
      <c r="B9" s="6">
        <f>4*250*35</f>
        <v>35000</v>
      </c>
      <c r="C9" s="6">
        <v>0</v>
      </c>
      <c r="D9" s="6">
        <v>0</v>
      </c>
      <c r="E9" s="6">
        <v>0</v>
      </c>
      <c r="F9" s="6">
        <v>0</v>
      </c>
      <c r="G9" s="7">
        <f t="shared" ref="G9:G20" si="4">SUM(B9:F9)</f>
        <v>35000</v>
      </c>
      <c r="I9" s="18"/>
      <c r="J9" s="18"/>
      <c r="K9" s="18"/>
      <c r="L9" s="18"/>
      <c r="M9" s="18"/>
      <c r="N9" s="18"/>
      <c r="O9" s="11"/>
    </row>
    <row r="10" spans="1:15" x14ac:dyDescent="0.25">
      <c r="A10" s="4" t="s">
        <v>17</v>
      </c>
      <c r="B10" s="6">
        <f>200*40</f>
        <v>8000</v>
      </c>
      <c r="C10" s="6">
        <v>0</v>
      </c>
      <c r="D10" s="6">
        <v>0</v>
      </c>
      <c r="E10" s="6">
        <v>0</v>
      </c>
      <c r="F10" s="6">
        <v>0</v>
      </c>
      <c r="G10" s="7">
        <f t="shared" si="4"/>
        <v>8000</v>
      </c>
      <c r="I10" s="18"/>
      <c r="J10" s="18"/>
      <c r="K10" s="18"/>
      <c r="L10" s="18"/>
      <c r="M10" s="18"/>
      <c r="N10" s="18"/>
      <c r="O10" s="11"/>
    </row>
    <row r="11" spans="1:15" x14ac:dyDescent="0.25">
      <c r="A11" s="4" t="s">
        <v>18</v>
      </c>
      <c r="B11" s="6">
        <v>2500</v>
      </c>
      <c r="C11" s="6">
        <v>0</v>
      </c>
      <c r="D11" s="6">
        <v>0</v>
      </c>
      <c r="E11" s="6">
        <v>0</v>
      </c>
      <c r="F11" s="6">
        <v>0</v>
      </c>
      <c r="G11" s="7">
        <f t="shared" si="4"/>
        <v>2500</v>
      </c>
      <c r="I11" s="11"/>
      <c r="J11" s="11"/>
      <c r="K11" s="11"/>
      <c r="L11" s="11"/>
      <c r="M11" s="11"/>
      <c r="N11" s="11"/>
      <c r="O11" s="11"/>
    </row>
    <row r="12" spans="1:15" x14ac:dyDescent="0.25">
      <c r="A12" s="4" t="s">
        <v>19</v>
      </c>
      <c r="B12" s="6">
        <f>100*50</f>
        <v>5000</v>
      </c>
      <c r="C12" s="6">
        <v>0</v>
      </c>
      <c r="D12" s="6">
        <v>0</v>
      </c>
      <c r="E12" s="6">
        <v>0</v>
      </c>
      <c r="F12" s="6">
        <v>0</v>
      </c>
      <c r="G12" s="7">
        <f t="shared" si="4"/>
        <v>5000</v>
      </c>
      <c r="I12" s="11"/>
      <c r="J12" s="11"/>
      <c r="K12" s="11"/>
      <c r="L12" s="11"/>
      <c r="M12" s="11"/>
      <c r="N12" s="11"/>
      <c r="O12" s="11"/>
    </row>
    <row r="13" spans="1:15" x14ac:dyDescent="0.25">
      <c r="A13" s="4" t="s">
        <v>20</v>
      </c>
      <c r="B13" s="6">
        <f>15*45</f>
        <v>675</v>
      </c>
      <c r="C13" s="6">
        <v>0</v>
      </c>
      <c r="D13" s="6">
        <v>0</v>
      </c>
      <c r="E13" s="6">
        <v>0</v>
      </c>
      <c r="F13" s="6">
        <v>0</v>
      </c>
      <c r="G13" s="7">
        <f t="shared" si="4"/>
        <v>675</v>
      </c>
      <c r="I13" s="11"/>
      <c r="J13" s="11"/>
      <c r="K13" s="11"/>
      <c r="L13" s="11"/>
      <c r="M13" s="11"/>
      <c r="N13" s="11"/>
      <c r="O13" s="11"/>
    </row>
    <row r="14" spans="1:15" x14ac:dyDescent="0.25">
      <c r="A14" s="4" t="s">
        <v>21</v>
      </c>
      <c r="B14" s="6">
        <f>250*15</f>
        <v>3750</v>
      </c>
      <c r="C14" s="6">
        <v>0</v>
      </c>
      <c r="D14" s="6">
        <v>0</v>
      </c>
      <c r="E14" s="6">
        <v>0</v>
      </c>
      <c r="F14" s="6">
        <v>0</v>
      </c>
      <c r="G14" s="7">
        <f t="shared" si="4"/>
        <v>3750</v>
      </c>
      <c r="I14" s="11"/>
      <c r="J14" s="11"/>
      <c r="K14" s="11"/>
      <c r="L14" s="11"/>
      <c r="M14" s="11"/>
      <c r="N14" s="11"/>
      <c r="O14" s="11"/>
    </row>
    <row r="15" spans="1:15" x14ac:dyDescent="0.25">
      <c r="A15" s="4" t="s">
        <v>22</v>
      </c>
      <c r="B15" s="6">
        <f>3500*4</f>
        <v>14000</v>
      </c>
      <c r="C15" s="6">
        <v>0</v>
      </c>
      <c r="D15" s="6">
        <v>0</v>
      </c>
      <c r="E15" s="6">
        <v>0</v>
      </c>
      <c r="F15" s="6">
        <v>0</v>
      </c>
      <c r="G15" s="7">
        <f t="shared" si="4"/>
        <v>14000</v>
      </c>
      <c r="I15" s="11"/>
      <c r="J15" s="11"/>
      <c r="K15" s="11"/>
      <c r="L15" s="11"/>
      <c r="M15" s="11"/>
      <c r="N15" s="11"/>
      <c r="O15" s="11"/>
    </row>
    <row r="16" spans="1:15" x14ac:dyDescent="0.25">
      <c r="A16" s="4" t="s">
        <v>23</v>
      </c>
      <c r="B16" s="6">
        <v>18700</v>
      </c>
      <c r="C16" s="6">
        <v>0</v>
      </c>
      <c r="D16" s="6">
        <v>0</v>
      </c>
      <c r="E16" s="6">
        <v>0</v>
      </c>
      <c r="F16" s="6">
        <v>0</v>
      </c>
      <c r="G16" s="7">
        <f t="shared" si="4"/>
        <v>18700</v>
      </c>
      <c r="I16" s="11"/>
      <c r="J16" s="11"/>
      <c r="K16" s="11"/>
      <c r="L16" s="11"/>
      <c r="M16" s="11"/>
      <c r="N16" s="11"/>
      <c r="O16" s="11"/>
    </row>
    <row r="17" spans="1:15" x14ac:dyDescent="0.25">
      <c r="A17" s="4" t="s">
        <v>24</v>
      </c>
      <c r="B17" s="6">
        <v>1500</v>
      </c>
      <c r="C17" s="6">
        <v>0</v>
      </c>
      <c r="D17" s="6">
        <v>0</v>
      </c>
      <c r="E17" s="6">
        <v>0</v>
      </c>
      <c r="F17" s="6">
        <v>0</v>
      </c>
      <c r="G17" s="7">
        <f t="shared" si="4"/>
        <v>1500</v>
      </c>
      <c r="I17" s="11"/>
      <c r="J17" s="11"/>
      <c r="K17" s="11"/>
      <c r="L17" s="11"/>
      <c r="M17" s="11"/>
      <c r="N17" s="11"/>
      <c r="O17" s="11"/>
    </row>
    <row r="18" spans="1:15" x14ac:dyDescent="0.25">
      <c r="A18" s="4" t="s">
        <v>25</v>
      </c>
      <c r="B18" s="6">
        <v>7500</v>
      </c>
      <c r="C18" s="6">
        <v>0</v>
      </c>
      <c r="D18" s="6">
        <v>0</v>
      </c>
      <c r="E18" s="6">
        <v>0</v>
      </c>
      <c r="F18" s="6">
        <v>0</v>
      </c>
      <c r="G18" s="7">
        <f t="shared" si="4"/>
        <v>7500</v>
      </c>
      <c r="I18" s="11"/>
      <c r="J18" s="11"/>
      <c r="K18" s="11"/>
      <c r="L18" s="11"/>
      <c r="M18" s="11"/>
      <c r="N18" s="11"/>
      <c r="O18" s="11"/>
    </row>
    <row r="19" spans="1:15" x14ac:dyDescent="0.25">
      <c r="A19" s="4" t="s">
        <v>26</v>
      </c>
      <c r="B19" s="6">
        <f>7*950</f>
        <v>6650</v>
      </c>
      <c r="C19" s="6">
        <v>0</v>
      </c>
      <c r="D19" s="6">
        <v>0</v>
      </c>
      <c r="E19" s="6">
        <v>0</v>
      </c>
      <c r="F19" s="6">
        <v>0</v>
      </c>
      <c r="G19" s="7">
        <f t="shared" si="4"/>
        <v>6650</v>
      </c>
      <c r="I19" s="11"/>
      <c r="J19" s="11"/>
      <c r="K19" s="11"/>
      <c r="L19" s="11"/>
      <c r="M19" s="11"/>
      <c r="N19" s="11"/>
      <c r="O19" s="11"/>
    </row>
    <row r="20" spans="1:15" x14ac:dyDescent="0.25">
      <c r="A20" s="1" t="s">
        <v>7</v>
      </c>
      <c r="B20" s="21">
        <f>SUM(B8:B19)</f>
        <v>143275</v>
      </c>
      <c r="C20" s="6">
        <v>0</v>
      </c>
      <c r="D20" s="6">
        <v>0</v>
      </c>
      <c r="E20" s="6">
        <v>0</v>
      </c>
      <c r="F20" s="6">
        <v>0</v>
      </c>
      <c r="G20" s="7">
        <f t="shared" si="4"/>
        <v>143275</v>
      </c>
      <c r="I20" s="11"/>
      <c r="J20" s="11"/>
      <c r="K20" s="11"/>
      <c r="L20" s="11"/>
      <c r="M20" s="11"/>
      <c r="N20" s="11"/>
      <c r="O20" s="11"/>
    </row>
    <row r="21" spans="1:15" x14ac:dyDescent="0.25">
      <c r="B21" s="6"/>
      <c r="C21" s="6"/>
      <c r="D21" s="6"/>
      <c r="E21" s="6"/>
      <c r="F21" s="6"/>
      <c r="G21" s="7"/>
      <c r="I21" s="11"/>
      <c r="J21" s="11"/>
      <c r="K21" s="11"/>
      <c r="L21" s="11"/>
      <c r="M21" s="11"/>
      <c r="N21" s="11"/>
      <c r="O21" s="11"/>
    </row>
    <row r="22" spans="1:15" x14ac:dyDescent="0.25">
      <c r="A22" s="1" t="s">
        <v>30</v>
      </c>
      <c r="B22" s="6"/>
      <c r="C22" s="6"/>
      <c r="D22" s="6"/>
      <c r="E22" s="6"/>
      <c r="F22" s="6"/>
      <c r="G22" s="7"/>
      <c r="I22" s="11"/>
      <c r="J22" s="11"/>
      <c r="K22" s="11"/>
      <c r="L22" s="11"/>
      <c r="M22" s="11"/>
      <c r="N22" s="11"/>
      <c r="O22" s="11"/>
    </row>
    <row r="23" spans="1:15" x14ac:dyDescent="0.25">
      <c r="A23" s="4" t="s">
        <v>27</v>
      </c>
      <c r="B23" s="6"/>
      <c r="C23" s="6">
        <f>125*35*2</f>
        <v>8750</v>
      </c>
      <c r="D23" s="6">
        <f>C23*(1+$B$43)</f>
        <v>9100</v>
      </c>
      <c r="E23" s="6">
        <f t="shared" ref="E23:F23" si="5">D23*(1+$B$43)</f>
        <v>9464</v>
      </c>
      <c r="F23" s="6">
        <f t="shared" si="5"/>
        <v>9842.56</v>
      </c>
      <c r="G23" s="7">
        <f t="shared" ref="G23:G27" si="6">SUM(C23:F23)</f>
        <v>37156.559999999998</v>
      </c>
      <c r="I23" s="11"/>
      <c r="J23" s="11"/>
      <c r="K23" s="11"/>
      <c r="L23" s="11"/>
      <c r="M23" s="11"/>
      <c r="N23" s="11"/>
      <c r="O23" s="11"/>
    </row>
    <row r="24" spans="1:15" x14ac:dyDescent="0.25">
      <c r="A24" s="4" t="s">
        <v>21</v>
      </c>
      <c r="B24" s="6"/>
      <c r="C24" s="6">
        <f>20*15</f>
        <v>300</v>
      </c>
      <c r="D24" s="6">
        <f>C24*(1+$B$43)</f>
        <v>312</v>
      </c>
      <c r="E24" s="6">
        <f t="shared" ref="E24:F24" si="7">D24*(1+$B$43)</f>
        <v>324.48</v>
      </c>
      <c r="F24" s="6">
        <f t="shared" si="7"/>
        <v>337.45920000000001</v>
      </c>
      <c r="G24" s="7">
        <f t="shared" si="6"/>
        <v>1273.9392</v>
      </c>
      <c r="I24" s="11"/>
      <c r="J24" s="11"/>
      <c r="K24" s="11"/>
      <c r="L24" s="11"/>
      <c r="M24" s="11"/>
      <c r="N24" s="11"/>
      <c r="O24" s="11"/>
    </row>
    <row r="25" spans="1:15" x14ac:dyDescent="0.25">
      <c r="A25" s="4" t="s">
        <v>28</v>
      </c>
      <c r="B25" s="6"/>
      <c r="C25" s="6">
        <v>995</v>
      </c>
      <c r="D25" s="6">
        <f>$C25</f>
        <v>995</v>
      </c>
      <c r="E25" s="6">
        <f t="shared" ref="E25:F25" si="8">$C25</f>
        <v>995</v>
      </c>
      <c r="F25" s="6">
        <f t="shared" si="8"/>
        <v>995</v>
      </c>
      <c r="G25" s="7">
        <f t="shared" si="6"/>
        <v>3980</v>
      </c>
      <c r="I25" s="11"/>
      <c r="J25" s="11"/>
      <c r="K25" s="11"/>
      <c r="L25" s="11"/>
      <c r="M25" s="11"/>
      <c r="N25" s="11"/>
      <c r="O25" s="11"/>
    </row>
    <row r="26" spans="1:15" x14ac:dyDescent="0.25">
      <c r="A26" s="4" t="s">
        <v>28</v>
      </c>
      <c r="B26" s="6"/>
      <c r="C26" s="6">
        <v>525</v>
      </c>
      <c r="D26" s="6">
        <f>$C$26</f>
        <v>525</v>
      </c>
      <c r="E26" s="6">
        <f t="shared" ref="E26:F26" si="9">$C$26</f>
        <v>525</v>
      </c>
      <c r="F26" s="6">
        <f t="shared" si="9"/>
        <v>525</v>
      </c>
      <c r="G26" s="7">
        <f t="shared" si="6"/>
        <v>2100</v>
      </c>
      <c r="I26" s="11"/>
      <c r="J26" s="11"/>
      <c r="K26" s="11"/>
      <c r="L26" s="11"/>
      <c r="M26" s="11"/>
      <c r="N26" s="11"/>
      <c r="O26" s="11"/>
    </row>
    <row r="27" spans="1:15" x14ac:dyDescent="0.25">
      <c r="A27" s="4" t="s">
        <v>29</v>
      </c>
      <c r="B27" s="6"/>
      <c r="C27" s="6">
        <f>$B$39*$B$40</f>
        <v>3300</v>
      </c>
      <c r="D27" s="6">
        <f t="shared" ref="D27:F27" si="10">$B$39*$B$40</f>
        <v>3300</v>
      </c>
      <c r="E27" s="6">
        <f t="shared" si="10"/>
        <v>3300</v>
      </c>
      <c r="F27" s="6">
        <f t="shared" si="10"/>
        <v>3300</v>
      </c>
      <c r="G27" s="7">
        <f t="shared" si="6"/>
        <v>13200</v>
      </c>
      <c r="I27" s="11"/>
      <c r="J27" s="11"/>
      <c r="K27" s="11"/>
      <c r="L27" s="11"/>
      <c r="M27" s="11"/>
      <c r="N27" s="11"/>
      <c r="O27" s="11"/>
    </row>
    <row r="28" spans="1:15" x14ac:dyDescent="0.25">
      <c r="A28" s="1" t="s">
        <v>8</v>
      </c>
      <c r="B28" s="21"/>
      <c r="C28" s="21">
        <f>SUM(C23:C27)</f>
        <v>13870</v>
      </c>
      <c r="D28" s="21">
        <f t="shared" ref="D28:F28" si="11">SUM(D23:D27)</f>
        <v>14232</v>
      </c>
      <c r="E28" s="21">
        <f t="shared" si="11"/>
        <v>14608.48</v>
      </c>
      <c r="F28" s="21">
        <f t="shared" si="11"/>
        <v>15000.019199999999</v>
      </c>
      <c r="G28" s="7">
        <f>SUM(G23:G27)</f>
        <v>57710.499199999998</v>
      </c>
      <c r="I28" s="11"/>
      <c r="J28" s="11"/>
      <c r="K28" s="11"/>
      <c r="L28" s="11"/>
      <c r="M28" s="11"/>
      <c r="N28" s="11"/>
      <c r="O28" s="11"/>
    </row>
    <row r="29" spans="1:15" x14ac:dyDescent="0.25">
      <c r="A29" s="1" t="s">
        <v>9</v>
      </c>
      <c r="B29" s="21">
        <f>B20+B28</f>
        <v>143275</v>
      </c>
      <c r="C29" s="21">
        <f>SUM(C23:C27)</f>
        <v>13870</v>
      </c>
      <c r="D29" s="21">
        <f t="shared" ref="D29:F29" si="12">SUM(D23:D27)</f>
        <v>14232</v>
      </c>
      <c r="E29" s="21">
        <f t="shared" si="12"/>
        <v>14608.48</v>
      </c>
      <c r="F29" s="21">
        <f t="shared" si="12"/>
        <v>15000.019199999999</v>
      </c>
      <c r="G29" s="7">
        <f>G20+G28</f>
        <v>200985.49919999999</v>
      </c>
      <c r="I29" s="11"/>
      <c r="J29" s="11"/>
      <c r="K29" s="11"/>
      <c r="L29" s="11"/>
      <c r="M29" s="11"/>
      <c r="N29" s="11"/>
      <c r="O29" s="11"/>
    </row>
    <row r="30" spans="1:15" x14ac:dyDescent="0.25">
      <c r="A30" s="1" t="s">
        <v>10</v>
      </c>
      <c r="B30" s="21">
        <f>B4-B29</f>
        <v>-143275</v>
      </c>
      <c r="C30" s="21">
        <f t="shared" ref="C30:G30" si="13">C4-C29</f>
        <v>31130</v>
      </c>
      <c r="D30" s="21">
        <f t="shared" si="13"/>
        <v>33768</v>
      </c>
      <c r="E30" s="21">
        <f t="shared" si="13"/>
        <v>36691.520000000004</v>
      </c>
      <c r="F30" s="21">
        <f t="shared" si="13"/>
        <v>39929.980800000005</v>
      </c>
      <c r="G30" s="7">
        <f>G4-G29</f>
        <v>-1755.4991999999911</v>
      </c>
      <c r="I30" s="11"/>
      <c r="J30" s="11"/>
      <c r="K30" s="11"/>
      <c r="L30" s="11"/>
      <c r="M30" s="11"/>
      <c r="N30" s="11"/>
      <c r="O30" s="11"/>
    </row>
    <row r="31" spans="1:15" x14ac:dyDescent="0.25">
      <c r="A31" s="1" t="s">
        <v>40</v>
      </c>
      <c r="B31" s="21">
        <f>B30</f>
        <v>-143275</v>
      </c>
      <c r="C31" s="21">
        <f>B31+C30</f>
        <v>-112145</v>
      </c>
      <c r="D31" s="21">
        <f>C31+D30</f>
        <v>-78377</v>
      </c>
      <c r="E31" s="21">
        <f>D31+E30</f>
        <v>-41685.479999999996</v>
      </c>
      <c r="F31" s="21">
        <f>E31+F30</f>
        <v>-1755.4991999999911</v>
      </c>
      <c r="G31" s="7">
        <f>SUM(B31:F31)</f>
        <v>-377237.97919999994</v>
      </c>
      <c r="I31" s="11"/>
      <c r="J31" s="11"/>
      <c r="K31" s="11"/>
      <c r="L31" s="11"/>
      <c r="M31" s="11"/>
      <c r="N31" s="11"/>
      <c r="O31" s="11"/>
    </row>
    <row r="32" spans="1:15" x14ac:dyDescent="0.25">
      <c r="A32" s="1" t="s">
        <v>12</v>
      </c>
      <c r="B32" s="21">
        <f>B29</f>
        <v>143275</v>
      </c>
      <c r="C32" s="21">
        <f>C29/((1+0.09)^1)</f>
        <v>12724.770642201835</v>
      </c>
      <c r="D32" s="21">
        <f>D29/((1+0.09)^2)</f>
        <v>11978.789664169681</v>
      </c>
      <c r="E32" s="21">
        <f>E29/((1+0.09)^3)</f>
        <v>11280.426924802454</v>
      </c>
      <c r="F32" s="21">
        <f>F29/((1+0.09)^4)</f>
        <v>10626.391767741998</v>
      </c>
      <c r="G32" s="7">
        <f>SUM(B32:F32)</f>
        <v>189885.37899891596</v>
      </c>
      <c r="I32" s="11"/>
      <c r="J32" s="11"/>
      <c r="K32" s="11"/>
      <c r="L32" s="11"/>
      <c r="M32" s="11"/>
      <c r="N32" s="11"/>
      <c r="O32" s="11"/>
    </row>
    <row r="33" spans="1:15" x14ac:dyDescent="0.25">
      <c r="A33" s="1" t="s">
        <v>13</v>
      </c>
      <c r="B33" s="8">
        <f>(G4-G29)/G29</f>
        <v>-8.7344569980797454E-3</v>
      </c>
      <c r="C33" s="22" t="s">
        <v>50</v>
      </c>
      <c r="D33" s="22"/>
      <c r="E33" s="22"/>
      <c r="F33" s="7"/>
      <c r="G33" s="7"/>
      <c r="I33" s="11"/>
      <c r="J33" s="11"/>
      <c r="K33" s="11"/>
      <c r="L33" s="11"/>
      <c r="M33" s="11"/>
      <c r="N33" s="11"/>
      <c r="O33" s="11"/>
    </row>
    <row r="34" spans="1:15" x14ac:dyDescent="0.25">
      <c r="A34" s="1" t="s">
        <v>45</v>
      </c>
      <c r="B34" s="13">
        <f>4+((F30-F31)/F30)</f>
        <v>5.0439644388709546</v>
      </c>
      <c r="C34" s="19" t="s">
        <v>48</v>
      </c>
      <c r="D34" s="19"/>
      <c r="E34" s="19"/>
      <c r="F34" s="15"/>
      <c r="G34" s="7"/>
    </row>
    <row r="35" spans="1:15" x14ac:dyDescent="0.25">
      <c r="B35" s="13"/>
      <c r="C35" s="13"/>
      <c r="D35" s="13"/>
      <c r="E35" s="13"/>
      <c r="F35" s="13"/>
      <c r="G35" s="7"/>
    </row>
    <row r="36" spans="1:15" x14ac:dyDescent="0.25">
      <c r="A36" s="1" t="s">
        <v>14</v>
      </c>
      <c r="B36" s="7">
        <f>G5-G32</f>
        <v>-29673.526281452505</v>
      </c>
      <c r="C36" s="16" t="s">
        <v>49</v>
      </c>
      <c r="D36" s="16"/>
      <c r="E36" s="7"/>
      <c r="F36" s="7"/>
      <c r="G36" s="7"/>
    </row>
    <row r="39" spans="1:15" x14ac:dyDescent="0.25">
      <c r="A39" s="1" t="s">
        <v>41</v>
      </c>
      <c r="B39" s="5">
        <v>15000</v>
      </c>
    </row>
    <row r="40" spans="1:15" x14ac:dyDescent="0.25">
      <c r="A40" s="1" t="s">
        <v>42</v>
      </c>
      <c r="B40" s="5">
        <v>0.22</v>
      </c>
    </row>
    <row r="41" spans="1:15" x14ac:dyDescent="0.25">
      <c r="A41" s="1" t="s">
        <v>43</v>
      </c>
      <c r="B41" s="5">
        <f>PRODUCT(B39:B40)</f>
        <v>3300</v>
      </c>
    </row>
    <row r="43" spans="1:15" x14ac:dyDescent="0.25">
      <c r="A43" s="1" t="s">
        <v>44</v>
      </c>
      <c r="B43" s="12">
        <v>0.04</v>
      </c>
    </row>
  </sheetData>
  <mergeCells count="4">
    <mergeCell ref="C36:D36"/>
    <mergeCell ref="I3:N10"/>
    <mergeCell ref="C34:E34"/>
    <mergeCell ref="C33:E33"/>
  </mergeCells>
  <phoneticPr fontId="2" type="noConversion"/>
  <pageMargins left="0.7" right="0.7" top="0.75" bottom="0.75" header="0.3" footer="0.3"/>
  <pageSetup scale="66" orientation="landscape" r:id="rId1"/>
  <ignoredErrors>
    <ignoredError sqref="G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1"/>
  <sheetViews>
    <sheetView showRuler="0" workbookViewId="0">
      <selection activeCell="H4" sqref="H4"/>
    </sheetView>
  </sheetViews>
  <sheetFormatPr defaultColWidth="11" defaultRowHeight="15.75" x14ac:dyDescent="0.25"/>
  <cols>
    <col min="2" max="2" width="23.5" customWidth="1"/>
    <col min="5" max="5" width="12.375" customWidth="1"/>
    <col min="6" max="6" width="12.75" bestFit="1" customWidth="1"/>
    <col min="7" max="7" width="11" customWidth="1"/>
  </cols>
  <sheetData>
    <row r="2" spans="2:9" x14ac:dyDescent="0.25">
      <c r="C2" s="3" t="s">
        <v>36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4</v>
      </c>
    </row>
    <row r="3" spans="2:9" x14ac:dyDescent="0.25">
      <c r="B3" t="s">
        <v>3</v>
      </c>
      <c r="C3" s="14">
        <f>'Economic Feasibility Analysis'!B4</f>
        <v>0</v>
      </c>
      <c r="D3" s="14">
        <f>'Economic Feasibility Analysis'!C4</f>
        <v>45000</v>
      </c>
      <c r="E3" s="14">
        <f>'Economic Feasibility Analysis'!D4</f>
        <v>48000</v>
      </c>
      <c r="F3" s="14">
        <f>'Economic Feasibility Analysis'!E4</f>
        <v>51300</v>
      </c>
      <c r="G3" s="14">
        <f>'Economic Feasibility Analysis'!F4</f>
        <v>54930</v>
      </c>
      <c r="H3" s="14">
        <f>'Economic Feasibility Analysis'!G4</f>
        <v>199230</v>
      </c>
    </row>
    <row r="4" spans="2:9" x14ac:dyDescent="0.25">
      <c r="B4" t="s">
        <v>35</v>
      </c>
      <c r="C4" s="14">
        <f>'Economic Feasibility Analysis'!B29</f>
        <v>143275</v>
      </c>
      <c r="D4" s="14">
        <f>'Economic Feasibility Analysis'!C29</f>
        <v>13870</v>
      </c>
      <c r="E4" s="14">
        <f>'Economic Feasibility Analysis'!D29</f>
        <v>14232</v>
      </c>
      <c r="F4" s="14">
        <f>'Economic Feasibility Analysis'!E29</f>
        <v>14608.48</v>
      </c>
      <c r="G4" s="14">
        <f>'Economic Feasibility Analysis'!F29</f>
        <v>15000.019199999999</v>
      </c>
      <c r="H4" s="14">
        <f>'Economic Feasibility Analysis'!G29</f>
        <v>200985.49919999999</v>
      </c>
    </row>
    <row r="5" spans="2:9" x14ac:dyDescent="0.25">
      <c r="B5" t="s">
        <v>37</v>
      </c>
      <c r="C5" s="14">
        <f>C3-C4</f>
        <v>-143275</v>
      </c>
      <c r="D5" s="14">
        <f t="shared" ref="D5:G5" si="0">D3-D4</f>
        <v>31130</v>
      </c>
      <c r="E5" s="14">
        <f t="shared" si="0"/>
        <v>33768</v>
      </c>
      <c r="F5" s="14">
        <f t="shared" si="0"/>
        <v>36691.520000000004</v>
      </c>
      <c r="G5" s="14">
        <f t="shared" si="0"/>
        <v>39929.980800000005</v>
      </c>
      <c r="H5" s="14">
        <f>SUM(C5:G5)</f>
        <v>-1755.4991999999911</v>
      </c>
    </row>
    <row r="6" spans="2:9" x14ac:dyDescent="0.25">
      <c r="B6" t="s">
        <v>11</v>
      </c>
      <c r="C6" s="14">
        <f>C5</f>
        <v>-143275</v>
      </c>
      <c r="D6" s="14">
        <f>C6+D5</f>
        <v>-112145</v>
      </c>
      <c r="E6" s="14">
        <f t="shared" ref="E6:G6" si="1">D6+E5</f>
        <v>-78377</v>
      </c>
      <c r="F6" s="14">
        <f t="shared" si="1"/>
        <v>-41685.479999999996</v>
      </c>
      <c r="G6" s="14">
        <f t="shared" si="1"/>
        <v>-1755.4991999999911</v>
      </c>
    </row>
    <row r="9" spans="2:9" x14ac:dyDescent="0.25">
      <c r="E9" s="5" t="s">
        <v>39</v>
      </c>
      <c r="F9" s="9">
        <f>(H3-H4)/H4</f>
        <v>-8.7344569980797454E-3</v>
      </c>
      <c r="G9" s="9"/>
    </row>
    <row r="11" spans="2:9" x14ac:dyDescent="0.25">
      <c r="E11" s="5" t="s">
        <v>38</v>
      </c>
      <c r="F11" s="10">
        <f>4+((G5-G6)/G5)</f>
        <v>5.0439644388709546</v>
      </c>
      <c r="G11" s="20" t="s">
        <v>47</v>
      </c>
      <c r="H11" s="20"/>
      <c r="I11" s="20"/>
    </row>
  </sheetData>
  <mergeCells count="1">
    <mergeCell ref="G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Economic Feasibility Analysis</vt:lpstr>
      <vt:lpstr>Cash Flow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 Ermatinger</cp:lastModifiedBy>
  <dcterms:created xsi:type="dcterms:W3CDTF">2015-08-27T22:48:59Z</dcterms:created>
  <dcterms:modified xsi:type="dcterms:W3CDTF">2019-04-15T02:39:36Z</dcterms:modified>
</cp:coreProperties>
</file>