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MQ" sheetId="1" r:id="rId1"/>
    <sheet name="TEFI" sheetId="2" r:id="rId2"/>
  </sheets>
  <calcPr calcId="124519" fullCalcOnLoad="1"/>
</workbook>
</file>

<file path=xl/sharedStrings.xml><?xml version="1.0" encoding="utf-8"?>
<sst xmlns="http://schemas.openxmlformats.org/spreadsheetml/2006/main" count="1096" uniqueCount="255">
  <si>
    <t>Air Products and Chemicals, Inc.</t>
  </si>
  <si>
    <t>APD</t>
  </si>
  <si>
    <t>4 stocks</t>
  </si>
  <si>
    <t>2022-5-26</t>
  </si>
  <si>
    <t>2023-02-09</t>
  </si>
  <si>
    <t>Promedio</t>
  </si>
  <si>
    <t>$</t>
  </si>
  <si>
    <t>7%</t>
  </si>
  <si>
    <t>11%</t>
  </si>
  <si>
    <t>15%</t>
  </si>
  <si>
    <t>20%</t>
  </si>
  <si>
    <t>2023-02-05</t>
  </si>
  <si>
    <t>285.02</t>
  </si>
  <si>
    <t>Junior 0</t>
  </si>
  <si>
    <t>2023-02-06</t>
  </si>
  <si>
    <t>281.33</t>
  </si>
  <si>
    <t>2023-02-07</t>
  </si>
  <si>
    <t>284.77</t>
  </si>
  <si>
    <t>2023-02-08</t>
  </si>
  <si>
    <t>288.75</t>
  </si>
  <si>
    <t>287.24</t>
  </si>
  <si>
    <t>Se compro en: 2022-5-26</t>
  </si>
  <si>
    <t>Utilidad</t>
  </si>
  <si>
    <t>% util</t>
  </si>
  <si>
    <t>Total</t>
  </si>
  <si>
    <t>Valor</t>
  </si>
  <si>
    <t>Total perdida</t>
  </si>
  <si>
    <t>Amazon Com Inc Com</t>
  </si>
  <si>
    <t>AMZN</t>
  </si>
  <si>
    <t>20 stocks</t>
  </si>
  <si>
    <t>2022-5-24</t>
  </si>
  <si>
    <t>2022-6-6</t>
  </si>
  <si>
    <t>2022-6-13</t>
  </si>
  <si>
    <t>5 stocks</t>
  </si>
  <si>
    <t>2022-10-28</t>
  </si>
  <si>
    <t>37 stocks</t>
  </si>
  <si>
    <t>102.93</t>
  </si>
  <si>
    <t>Junior 1</t>
  </si>
  <si>
    <t>Junior 2</t>
  </si>
  <si>
    <t>Junior 3</t>
  </si>
  <si>
    <t>Junior 4</t>
  </si>
  <si>
    <t>101.17</t>
  </si>
  <si>
    <t>102.04</t>
  </si>
  <si>
    <t>Se compro en: 2022-5-24</t>
  </si>
  <si>
    <t>Se compro en: 2022-6-6</t>
  </si>
  <si>
    <t>Se compro en: 2022-6-13</t>
  </si>
  <si>
    <t>Se compro en: 2022-10-28</t>
  </si>
  <si>
    <t>Alphabet Inc.</t>
  </si>
  <si>
    <t>GOOGL</t>
  </si>
  <si>
    <t>1 stocks</t>
  </si>
  <si>
    <t>2022-13-6</t>
  </si>
  <si>
    <t>2022-26-5</t>
  </si>
  <si>
    <t>2 stocks</t>
  </si>
  <si>
    <t>102.82</t>
  </si>
  <si>
    <t>106.55</t>
  </si>
  <si>
    <t>98.35</t>
  </si>
  <si>
    <t>99.37</t>
  </si>
  <si>
    <t>Se compro en: 2022-13-6</t>
  </si>
  <si>
    <t>Se compro en: 2022-26-5</t>
  </si>
  <si>
    <t>Apple Inc.</t>
  </si>
  <si>
    <t>AAPL</t>
  </si>
  <si>
    <t>10 stocks</t>
  </si>
  <si>
    <t>2022-05-27</t>
  </si>
  <si>
    <t>3 stocks</t>
  </si>
  <si>
    <t>2022-06-13</t>
  </si>
  <si>
    <t>2022-06-17</t>
  </si>
  <si>
    <t>16 stocks</t>
  </si>
  <si>
    <t>149.64</t>
  </si>
  <si>
    <t>2022-06-03</t>
  </si>
  <si>
    <t>145.38</t>
  </si>
  <si>
    <t>2022-06-15</t>
  </si>
  <si>
    <t>132.26</t>
  </si>
  <si>
    <t>2022-06-22</t>
  </si>
  <si>
    <t>136.18</t>
  </si>
  <si>
    <t>2022-11-11</t>
  </si>
  <si>
    <t>149.70</t>
  </si>
  <si>
    <t>2022-09-01</t>
  </si>
  <si>
    <t>130.15</t>
  </si>
  <si>
    <t>154.5</t>
  </si>
  <si>
    <t>151.79</t>
  </si>
  <si>
    <t>154.99</t>
  </si>
  <si>
    <t>151.85</t>
  </si>
  <si>
    <t>151.92</t>
  </si>
  <si>
    <t>Se compro en: 2022-05-27</t>
  </si>
  <si>
    <t>Se compro en: 2022-06-13</t>
  </si>
  <si>
    <t>Se compro en: 2022-06-17</t>
  </si>
  <si>
    <t>Bank of America Corporation</t>
  </si>
  <si>
    <t>BAC</t>
  </si>
  <si>
    <t>15 stocks</t>
  </si>
  <si>
    <t>2022-09-22</t>
  </si>
  <si>
    <t>36.43</t>
  </si>
  <si>
    <t>36.355</t>
  </si>
  <si>
    <t>36.975</t>
  </si>
  <si>
    <t>36.565</t>
  </si>
  <si>
    <t>36.5</t>
  </si>
  <si>
    <t>Se compro en: 2022-09-22</t>
  </si>
  <si>
    <t>Carnival Corporation &amp; plc</t>
  </si>
  <si>
    <t>CCL</t>
  </si>
  <si>
    <t>2022-1-1</t>
  </si>
  <si>
    <t>50 stocks</t>
  </si>
  <si>
    <t>2022-6-17</t>
  </si>
  <si>
    <t>137 stocks</t>
  </si>
  <si>
    <t>11.8</t>
  </si>
  <si>
    <t>11.715</t>
  </si>
  <si>
    <t>12.1</t>
  </si>
  <si>
    <t>11.915</t>
  </si>
  <si>
    <t>11.87</t>
  </si>
  <si>
    <t>Se compro en: 2022-1-1</t>
  </si>
  <si>
    <t>Se compro en: 2022-6-17</t>
  </si>
  <si>
    <t>Citigroup Inc.</t>
  </si>
  <si>
    <t>C</t>
  </si>
  <si>
    <t>11 stocks</t>
  </si>
  <si>
    <t>2022-5-31</t>
  </si>
  <si>
    <t>50.95</t>
  </si>
  <si>
    <t>50.86</t>
  </si>
  <si>
    <t>51.72</t>
  </si>
  <si>
    <t>50.99</t>
  </si>
  <si>
    <t>51.15</t>
  </si>
  <si>
    <t>Se compro en: 2022-5-31</t>
  </si>
  <si>
    <t>Costco Wholesale Corporation</t>
  </si>
  <si>
    <t>COST</t>
  </si>
  <si>
    <t>2023-01-25</t>
  </si>
  <si>
    <t>489.12</t>
  </si>
  <si>
    <t>514.8</t>
  </si>
  <si>
    <t>514.74</t>
  </si>
  <si>
    <t>516.615</t>
  </si>
  <si>
    <t>505.99</t>
  </si>
  <si>
    <t>503.81</t>
  </si>
  <si>
    <t>FedEx Corporation</t>
  </si>
  <si>
    <t>FDX</t>
  </si>
  <si>
    <t>214.67</t>
  </si>
  <si>
    <t>210.04</t>
  </si>
  <si>
    <t>210.02</t>
  </si>
  <si>
    <t>208.4</t>
  </si>
  <si>
    <t>209.48</t>
  </si>
  <si>
    <t>Ford Motor Company</t>
  </si>
  <si>
    <t>F</t>
  </si>
  <si>
    <t>76 stocks</t>
  </si>
  <si>
    <t>13.045</t>
  </si>
  <si>
    <t>13.475</t>
  </si>
  <si>
    <t>13.425</t>
  </si>
  <si>
    <t>13.42</t>
  </si>
  <si>
    <t>General Electric Company</t>
  </si>
  <si>
    <t>GE</t>
  </si>
  <si>
    <t>7 stocks</t>
  </si>
  <si>
    <t>14 stocks</t>
  </si>
  <si>
    <t>82.17</t>
  </si>
  <si>
    <t>81.88</t>
  </si>
  <si>
    <t>81.57</t>
  </si>
  <si>
    <t>81.96</t>
  </si>
  <si>
    <t>Invesco QQQ Trust</t>
  </si>
  <si>
    <t>QQQ</t>
  </si>
  <si>
    <t>2022-9-14</t>
  </si>
  <si>
    <t>306.18</t>
  </si>
  <si>
    <t>303.04</t>
  </si>
  <si>
    <t>309.65</t>
  </si>
  <si>
    <t>303.97</t>
  </si>
  <si>
    <t>304.37</t>
  </si>
  <si>
    <t>Se compro en: 2022-9-14</t>
  </si>
  <si>
    <t>JPMorgan Chase &amp; Co.</t>
  </si>
  <si>
    <t>JPM</t>
  </si>
  <si>
    <t>141.09</t>
  </si>
  <si>
    <t>141.715</t>
  </si>
  <si>
    <t>144.225</t>
  </si>
  <si>
    <t>143.37</t>
  </si>
  <si>
    <t>142.64</t>
  </si>
  <si>
    <t>Johnson &amp; Johnson</t>
  </si>
  <si>
    <t>JNJ</t>
  </si>
  <si>
    <t>6 stocks</t>
  </si>
  <si>
    <t>164.61</t>
  </si>
  <si>
    <t>163.355</t>
  </si>
  <si>
    <t>162.78</t>
  </si>
  <si>
    <t>163.72</t>
  </si>
  <si>
    <t>163.61</t>
  </si>
  <si>
    <t>Meta Platforms, Inc.</t>
  </si>
  <si>
    <t>META</t>
  </si>
  <si>
    <t>2023-1-1</t>
  </si>
  <si>
    <t>186.53</t>
  </si>
  <si>
    <t>185.99</t>
  </si>
  <si>
    <t>193.52</t>
  </si>
  <si>
    <t>183.17</t>
  </si>
  <si>
    <t>183.43</t>
  </si>
  <si>
    <t>Se compro en: 2023-1-1</t>
  </si>
  <si>
    <t>Microsoft Corporation</t>
  </si>
  <si>
    <t>MSFT</t>
  </si>
  <si>
    <t>256.56</t>
  </si>
  <si>
    <t>268.06</t>
  </si>
  <si>
    <t>267.78</t>
  </si>
  <si>
    <t>266.73</t>
  </si>
  <si>
    <t>Morgan Stanley</t>
  </si>
  <si>
    <t>MS</t>
  </si>
  <si>
    <t>2022-09-16</t>
  </si>
  <si>
    <t>18 stocks</t>
  </si>
  <si>
    <t>99.43</t>
  </si>
  <si>
    <t>98.74</t>
  </si>
  <si>
    <t>99.775</t>
  </si>
  <si>
    <t>99.34</t>
  </si>
  <si>
    <t>98.96</t>
  </si>
  <si>
    <t>Se compro en: 2022-09-16</t>
  </si>
  <si>
    <t>PayPal Holdings, Inc.</t>
  </si>
  <si>
    <t>PYPL</t>
  </si>
  <si>
    <t>2022-6-21</t>
  </si>
  <si>
    <t>17 stocks</t>
  </si>
  <si>
    <t>85.52</t>
  </si>
  <si>
    <t>82.395</t>
  </si>
  <si>
    <t>83.27</t>
  </si>
  <si>
    <t>80.145</t>
  </si>
  <si>
    <t>79.72</t>
  </si>
  <si>
    <t>Se compro en: 2022-6-21</t>
  </si>
  <si>
    <t>SPDR S&amp;P 500 ETF Trust</t>
  </si>
  <si>
    <t>SPY</t>
  </si>
  <si>
    <t>400.28</t>
  </si>
  <si>
    <t>412.35</t>
  </si>
  <si>
    <t>409.25</t>
  </si>
  <si>
    <t>414.75</t>
  </si>
  <si>
    <t>410.59</t>
  </si>
  <si>
    <t>410.65</t>
  </si>
  <si>
    <t>Se compro en: 2023-01-25</t>
  </si>
  <si>
    <t>TT</t>
  </si>
  <si>
    <t>12 stocks</t>
  </si>
  <si>
    <t>2022-2-1</t>
  </si>
  <si>
    <t>24 stocks</t>
  </si>
  <si>
    <t>182.78</t>
  </si>
  <si>
    <t>Se compro en: 2022-2-1</t>
  </si>
  <si>
    <t>Tesla, Inc.</t>
  </si>
  <si>
    <t>TSLA</t>
  </si>
  <si>
    <t>2022-09-11</t>
  </si>
  <si>
    <t>2022-11-22</t>
  </si>
  <si>
    <t>189.98</t>
  </si>
  <si>
    <t>194.19</t>
  </si>
  <si>
    <t>196.61</t>
  </si>
  <si>
    <t>198.51</t>
  </si>
  <si>
    <t>201.29</t>
  </si>
  <si>
    <t>Se compro en: 2022-09-11</t>
  </si>
  <si>
    <t>Se compro en: 2022-11-22</t>
  </si>
  <si>
    <t>The Walt Disney Company</t>
  </si>
  <si>
    <t>DIS</t>
  </si>
  <si>
    <t>2022-5-25</t>
  </si>
  <si>
    <t>106.22</t>
  </si>
  <si>
    <t>110.71</t>
  </si>
  <si>
    <t>109.405</t>
  </si>
  <si>
    <t>111.77</t>
  </si>
  <si>
    <t>110.62</t>
  </si>
  <si>
    <t>111.78</t>
  </si>
  <si>
    <t>Se compro en: 2022-5-25</t>
  </si>
  <si>
    <t>Walmart Inc.</t>
  </si>
  <si>
    <t>WMT</t>
  </si>
  <si>
    <t>140.24</t>
  </si>
  <si>
    <t>140.64</t>
  </si>
  <si>
    <t>140.44</t>
  </si>
  <si>
    <t>140.22</t>
  </si>
  <si>
    <t>Nro. Acciones</t>
  </si>
  <si>
    <t>Costo</t>
  </si>
  <si>
    <t>% Cartera</t>
  </si>
  <si>
    <t>BOB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</si>
</sst>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6"/>
      <color rgb="FF123456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800080"/>
      <name val="Calibri"/>
      <family val="2"/>
      <scheme val="minor"/>
    </font>
    <font>
      <sz val="13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2"/>
      <color rgb="FF12345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2CA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8E4C9"/>
        <bgColor indexed="64"/>
      </patternFill>
    </fill>
    <fill>
      <patternFill patternType="solid">
        <fgColor rgb="FF43302E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0" fillId="0" borderId="0" xfId="0" applyAlignment="1">
      <alignment horizontal="centerContinuous" vertical="center"/>
    </xf>
    <xf numFmtId="0" fontId="2" fillId="0" borderId="1" xfId="0" applyFont="1" applyBorder="1" applyAlignment="1">
      <alignment horizontal="centerContinuous" vertical="center"/>
    </xf>
    <xf numFmtId="0" fontId="0" fillId="3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4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4" borderId="0" xfId="0" applyFill="1"/>
    <xf numFmtId="0" fontId="0" fillId="0" borderId="1" xfId="0" applyBorder="1" applyAlignment="1">
      <alignment horizontal="centerContinuous" vertical="center"/>
    </xf>
    <xf numFmtId="0" fontId="3" fillId="0" borderId="0" xfId="0" applyFont="1"/>
    <xf numFmtId="0" fontId="5" fillId="3" borderId="1" xfId="0" applyFont="1" applyFill="1" applyBorder="1" applyAlignment="1">
      <alignment horizontal="centerContinuous" wrapText="1"/>
    </xf>
    <xf numFmtId="0" fontId="4" fillId="0" borderId="5" xfId="0" applyFont="1" applyBorder="1" applyAlignment="1">
      <alignment horizontal="centerContinuous" wrapText="1"/>
    </xf>
    <xf numFmtId="0" fontId="4" fillId="0" borderId="6" xfId="0" applyFont="1" applyBorder="1" applyAlignment="1">
      <alignment horizontal="centerContinuous" wrapText="1"/>
    </xf>
    <xf numFmtId="0" fontId="4" fillId="0" borderId="7" xfId="0" applyFont="1" applyBorder="1" applyAlignment="1">
      <alignment horizontal="centerContinuous" wrapText="1"/>
    </xf>
    <xf numFmtId="0" fontId="4" fillId="0" borderId="8" xfId="0" applyFont="1" applyBorder="1" applyAlignment="1">
      <alignment horizontal="centerContinuous" wrapText="1"/>
    </xf>
    <xf numFmtId="0" fontId="4" fillId="0" borderId="9" xfId="0" applyFont="1" applyBorder="1" applyAlignment="1">
      <alignment horizontal="centerContinuous" wrapText="1"/>
    </xf>
    <xf numFmtId="0" fontId="3" fillId="0" borderId="10" xfId="0" applyFont="1" applyBorder="1"/>
    <xf numFmtId="0" fontId="0" fillId="5" borderId="0" xfId="0" applyFill="1"/>
    <xf numFmtId="0" fontId="6" fillId="0" borderId="3" xfId="0" applyFont="1" applyBorder="1" applyAlignment="1">
      <alignment horizontal="centerContinuous"/>
    </xf>
    <xf numFmtId="0" fontId="6" fillId="0" borderId="0" xfId="0" applyFont="1"/>
    <xf numFmtId="0" fontId="7" fillId="3" borderId="1" xfId="0" applyFont="1" applyFill="1" applyBorder="1" applyAlignment="1">
      <alignment horizontal="centerContinuous"/>
    </xf>
    <xf numFmtId="0" fontId="6" fillId="0" borderId="10" xfId="0" applyFont="1" applyBorder="1"/>
    <xf numFmtId="0" fontId="8" fillId="0" borderId="0" xfId="0" applyFont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Continuous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R604"/>
  <sheetViews>
    <sheetView tabSelected="1" workbookViewId="0"/>
  </sheetViews>
  <sheetFormatPr defaultRowHeight="15"/>
  <cols>
    <col min="2" max="2" width="10.7109375" customWidth="1"/>
    <col min="3" max="3" width="20.7109375" customWidth="1"/>
  </cols>
  <sheetData>
    <row r="3" spans="2:14">
      <c r="C3" s="1" t="s">
        <v>0</v>
      </c>
      <c r="D3" s="1" t="s">
        <v>1</v>
      </c>
    </row>
    <row r="4" spans="2:14">
      <c r="B4" s="2" t="s">
        <v>2</v>
      </c>
      <c r="C4" s="2" t="s">
        <v>3</v>
      </c>
      <c r="D4" s="3">
        <v>245.87</v>
      </c>
      <c r="J4" s="4" t="s">
        <v>21</v>
      </c>
      <c r="K4" s="4"/>
      <c r="L4" s="4"/>
      <c r="M4" s="5" t="s">
        <v>13</v>
      </c>
      <c r="N4" s="5">
        <v>983.48</v>
      </c>
    </row>
    <row r="5" spans="2:14">
      <c r="B5" s="6" t="s">
        <v>2</v>
      </c>
      <c r="C5" s="2" t="s">
        <v>4</v>
      </c>
      <c r="D5" s="3">
        <v>245.87</v>
      </c>
    </row>
    <row r="6" spans="2:14">
      <c r="J6" s="7" t="s">
        <v>22</v>
      </c>
      <c r="K6" s="8">
        <v>165.48</v>
      </c>
      <c r="L6" s="8">
        <v>16.83</v>
      </c>
      <c r="M6" s="9" t="s">
        <v>23</v>
      </c>
    </row>
    <row r="7" spans="2:14">
      <c r="E7" s="3" t="s">
        <v>5</v>
      </c>
      <c r="F7" s="3">
        <v>245.87</v>
      </c>
    </row>
    <row r="9" spans="2:14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10" t="s">
        <v>13</v>
      </c>
    </row>
    <row r="10" spans="2:14">
      <c r="B10" s="2" t="s">
        <v>11</v>
      </c>
      <c r="C10" s="2" t="s">
        <v>12</v>
      </c>
      <c r="D10" s="11">
        <f>(285.02*0.07)+285.02</f>
        <v>0</v>
      </c>
      <c r="E10" s="11">
        <f>(285.02*0.10)+285.02</f>
        <v>0</v>
      </c>
      <c r="F10" s="11">
        <f>(285.02*0.15)+285.02</f>
        <v>0</v>
      </c>
      <c r="G10" s="11">
        <f>(285.02*0.20)+285.02</f>
        <v>0</v>
      </c>
      <c r="H10" s="12">
        <v>15.92</v>
      </c>
      <c r="L10" s="7" t="s">
        <v>24</v>
      </c>
      <c r="M10" s="13">
        <v>165.48</v>
      </c>
    </row>
    <row r="11" spans="2:14">
      <c r="B11" s="2" t="s">
        <v>14</v>
      </c>
      <c r="C11" s="2" t="s">
        <v>15</v>
      </c>
      <c r="D11" s="11">
        <f>(281.33*0.07)+281.33</f>
        <v>0</v>
      </c>
      <c r="E11" s="11">
        <f>(281.33*0.10)+281.33</f>
        <v>0</v>
      </c>
      <c r="F11" s="11">
        <f>(281.33*0.15)+281.33</f>
        <v>0</v>
      </c>
      <c r="G11" s="11">
        <f>(281.33*0.20)+281.33</f>
        <v>0</v>
      </c>
      <c r="H11" s="12">
        <v>14.42</v>
      </c>
    </row>
    <row r="12" spans="2:14">
      <c r="B12" s="2" t="s">
        <v>16</v>
      </c>
      <c r="C12" s="2" t="s">
        <v>17</v>
      </c>
      <c r="D12" s="11">
        <f>(284.77*0.07)+284.77</f>
        <v>0</v>
      </c>
      <c r="E12" s="11">
        <f>(284.77*0.10)+284.77</f>
        <v>0</v>
      </c>
      <c r="F12" s="11">
        <f>(284.77*0.15)+284.77</f>
        <v>0</v>
      </c>
      <c r="G12" s="11">
        <f>(284.77*0.20)+284.77</f>
        <v>0</v>
      </c>
      <c r="H12" s="12">
        <v>15.82</v>
      </c>
    </row>
    <row r="13" spans="2:14">
      <c r="B13" s="2" t="s">
        <v>18</v>
      </c>
      <c r="C13" s="2" t="s">
        <v>19</v>
      </c>
      <c r="D13" s="11">
        <f>(288.75*0.07)+288.75</f>
        <v>0</v>
      </c>
      <c r="E13" s="11">
        <f>(288.75*0.10)+288.75</f>
        <v>0</v>
      </c>
      <c r="F13" s="11">
        <f>(288.75*0.15)+288.75</f>
        <v>0</v>
      </c>
      <c r="G13" s="11">
        <f>(288.75*0.20)+288.75</f>
        <v>0</v>
      </c>
      <c r="H13" s="12">
        <v>17.44</v>
      </c>
      <c r="M13" s="14" t="s">
        <v>25</v>
      </c>
      <c r="N13" s="15">
        <v>983.48</v>
      </c>
    </row>
    <row r="14" spans="2:14">
      <c r="B14" s="2" t="s">
        <v>4</v>
      </c>
      <c r="C14" s="2" t="s">
        <v>20</v>
      </c>
      <c r="D14" s="11">
        <f>(287.24*0.07)+287.24</f>
        <v>0</v>
      </c>
      <c r="E14" s="11">
        <f>(287.24*0.10)+287.24</f>
        <v>0</v>
      </c>
      <c r="F14" s="11">
        <f>(287.24*0.15)+287.24</f>
        <v>0</v>
      </c>
      <c r="G14" s="11">
        <f>(287.24*0.20)+287.24</f>
        <v>0</v>
      </c>
      <c r="H14" s="12">
        <v>16.83</v>
      </c>
      <c r="M14" s="16"/>
      <c r="N14" s="17"/>
    </row>
    <row r="15" spans="2:14">
      <c r="B15" s="2" t="s">
        <v>4</v>
      </c>
      <c r="C15" s="2" t="s">
        <v>20</v>
      </c>
      <c r="D15" s="11">
        <f>(287.24*0.07)+287.24</f>
        <v>0</v>
      </c>
      <c r="E15" s="11">
        <f>(287.24*0.10)+287.24</f>
        <v>0</v>
      </c>
      <c r="F15" s="11">
        <f>(287.24*0.15)+287.24</f>
        <v>0</v>
      </c>
      <c r="G15" s="11">
        <f>(287.24*0.20)+287.24</f>
        <v>0</v>
      </c>
      <c r="H15" s="12">
        <v>16.83</v>
      </c>
      <c r="M15" s="18" t="s">
        <v>26</v>
      </c>
      <c r="N15" s="19">
        <v>165.48</v>
      </c>
    </row>
    <row r="16" spans="2:14">
      <c r="B16" s="2" t="s">
        <v>4</v>
      </c>
      <c r="C16" s="2" t="s">
        <v>20</v>
      </c>
      <c r="D16" s="11">
        <f>(287.24*0.07)+287.24</f>
        <v>0</v>
      </c>
      <c r="E16" s="11">
        <f>(287.24*0.10)+287.24</f>
        <v>0</v>
      </c>
      <c r="F16" s="11">
        <f>(287.24*0.15)+287.24</f>
        <v>0</v>
      </c>
      <c r="G16" s="11">
        <f>(287.24*0.20)+287.24</f>
        <v>0</v>
      </c>
      <c r="H16" s="12">
        <v>16.83</v>
      </c>
    </row>
    <row r="17" spans="1:18">
      <c r="B17" s="2" t="s">
        <v>4</v>
      </c>
      <c r="C17" s="2" t="s">
        <v>20</v>
      </c>
      <c r="D17" s="11">
        <f>(287.24*0.07)+287.24</f>
        <v>0</v>
      </c>
      <c r="E17" s="11">
        <f>(287.24*0.10)+287.24</f>
        <v>0</v>
      </c>
      <c r="F17" s="11">
        <f>(287.24*0.15)+287.24</f>
        <v>0</v>
      </c>
      <c r="G17" s="11">
        <f>(287.24*0.20)+287.24</f>
        <v>0</v>
      </c>
      <c r="H17" s="12">
        <v>16.83</v>
      </c>
    </row>
    <row r="20" spans="1:18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8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4" spans="1:18">
      <c r="C24" s="1" t="s">
        <v>27</v>
      </c>
      <c r="D24" s="1" t="s">
        <v>28</v>
      </c>
    </row>
    <row r="25" spans="1:18">
      <c r="B25" s="2" t="s">
        <v>29</v>
      </c>
      <c r="C25" s="2" t="s">
        <v>30</v>
      </c>
      <c r="D25" s="3">
        <v>104.99</v>
      </c>
    </row>
    <row r="26" spans="1:18">
      <c r="B26" s="2" t="s">
        <v>2</v>
      </c>
      <c r="C26" s="2" t="s">
        <v>31</v>
      </c>
      <c r="D26" s="3">
        <v>131.71</v>
      </c>
    </row>
    <row r="27" spans="1:18">
      <c r="B27" s="2" t="s">
        <v>2</v>
      </c>
      <c r="C27" s="2" t="s">
        <v>32</v>
      </c>
      <c r="D27" s="3">
        <v>108.92</v>
      </c>
    </row>
    <row r="28" spans="1:18">
      <c r="B28" s="2" t="s">
        <v>2</v>
      </c>
      <c r="C28" s="2" t="s">
        <v>32</v>
      </c>
      <c r="D28" s="3">
        <v>110.89</v>
      </c>
    </row>
    <row r="29" spans="1:18">
      <c r="B29" s="2" t="s">
        <v>33</v>
      </c>
      <c r="C29" s="2" t="s">
        <v>34</v>
      </c>
      <c r="D29" s="3">
        <v>101.88</v>
      </c>
      <c r="N29" s="4" t="s">
        <v>43</v>
      </c>
      <c r="O29" s="4"/>
      <c r="P29" s="4"/>
      <c r="Q29" s="5" t="s">
        <v>13</v>
      </c>
      <c r="R29" s="5">
        <v>2099.84</v>
      </c>
    </row>
    <row r="30" spans="1:18">
      <c r="B30" s="6" t="s">
        <v>35</v>
      </c>
      <c r="C30" s="2" t="s">
        <v>4</v>
      </c>
      <c r="D30" s="3">
        <v>558.39</v>
      </c>
    </row>
    <row r="31" spans="1:18">
      <c r="N31" s="7" t="s">
        <v>22</v>
      </c>
      <c r="O31" s="21">
        <v>-59.04</v>
      </c>
      <c r="P31" s="21">
        <v>-2.81</v>
      </c>
      <c r="Q31" s="9" t="s">
        <v>23</v>
      </c>
    </row>
    <row r="32" spans="1:18">
      <c r="E32" s="3" t="s">
        <v>5</v>
      </c>
      <c r="F32" s="3">
        <v>108.52</v>
      </c>
    </row>
    <row r="33" spans="2:18">
      <c r="N33" s="4" t="s">
        <v>44</v>
      </c>
      <c r="O33" s="4"/>
      <c r="P33" s="4"/>
      <c r="Q33" s="5" t="s">
        <v>37</v>
      </c>
      <c r="R33" s="5">
        <v>526.8200000000001</v>
      </c>
    </row>
    <row r="34" spans="2:18">
      <c r="C34" s="2" t="s">
        <v>6</v>
      </c>
      <c r="D34" s="2" t="s">
        <v>7</v>
      </c>
      <c r="E34" s="2" t="s">
        <v>8</v>
      </c>
      <c r="F34" s="2" t="s">
        <v>9</v>
      </c>
      <c r="G34" s="2" t="s">
        <v>10</v>
      </c>
      <c r="H34" s="10" t="s">
        <v>13</v>
      </c>
      <c r="I34" s="10" t="s">
        <v>37</v>
      </c>
      <c r="J34" s="10" t="s">
        <v>38</v>
      </c>
      <c r="K34" s="10" t="s">
        <v>39</v>
      </c>
      <c r="L34" s="10" t="s">
        <v>40</v>
      </c>
    </row>
    <row r="35" spans="2:18">
      <c r="B35" s="2" t="s">
        <v>14</v>
      </c>
      <c r="C35" s="2" t="s">
        <v>36</v>
      </c>
      <c r="D35" s="11">
        <f>(102.93*0.07)+102.93</f>
        <v>0</v>
      </c>
      <c r="E35" s="11">
        <f>(102.93*0.10)+102.93</f>
        <v>0</v>
      </c>
      <c r="F35" s="11">
        <f>(102.93*0.15)+102.93</f>
        <v>0</v>
      </c>
      <c r="G35" s="11">
        <f>(102.93*0.20)+102.93</f>
        <v>0</v>
      </c>
      <c r="H35" s="22">
        <v>-1.96</v>
      </c>
      <c r="I35" s="22">
        <v>-21.85</v>
      </c>
      <c r="J35" s="22">
        <v>-5.5</v>
      </c>
      <c r="K35" s="22">
        <v>-7.17</v>
      </c>
      <c r="L35" s="12">
        <v>1.03</v>
      </c>
      <c r="N35" s="7" t="s">
        <v>22</v>
      </c>
      <c r="O35" s="21">
        <v>-118.66</v>
      </c>
      <c r="P35" s="21">
        <v>-22.52</v>
      </c>
      <c r="Q35" s="9" t="s">
        <v>23</v>
      </c>
    </row>
    <row r="36" spans="2:18">
      <c r="B36" s="2" t="s">
        <v>16</v>
      </c>
      <c r="C36" s="2" t="s">
        <v>41</v>
      </c>
      <c r="D36" s="11">
        <f>(101.17*0.07)+101.17</f>
        <v>0</v>
      </c>
      <c r="E36" s="11">
        <f>(101.17*0.10)+101.17</f>
        <v>0</v>
      </c>
      <c r="F36" s="11">
        <f>(101.17*0.15)+101.17</f>
        <v>0</v>
      </c>
      <c r="G36" s="11">
        <f>(101.17*0.20)+101.17</f>
        <v>0</v>
      </c>
      <c r="H36" s="22">
        <v>-3.64</v>
      </c>
      <c r="I36" s="22">
        <v>-23.18</v>
      </c>
      <c r="J36" s="22">
        <v>-7.12</v>
      </c>
      <c r="K36" s="22">
        <v>-8.76</v>
      </c>
      <c r="L36" s="22">
        <v>-0.7</v>
      </c>
    </row>
    <row r="37" spans="2:18">
      <c r="B37" s="2" t="s">
        <v>18</v>
      </c>
      <c r="C37" s="2" t="s">
        <v>42</v>
      </c>
      <c r="D37" s="11">
        <f>(102.04*0.07)+102.04</f>
        <v>0</v>
      </c>
      <c r="E37" s="11">
        <f>(102.04*0.10)+102.04</f>
        <v>0</v>
      </c>
      <c r="F37" s="11">
        <f>(102.04*0.15)+102.04</f>
        <v>0</v>
      </c>
      <c r="G37" s="11">
        <f>(102.04*0.20)+102.04</f>
        <v>0</v>
      </c>
      <c r="H37" s="22">
        <v>-2.81</v>
      </c>
      <c r="I37" s="22">
        <v>-22.52</v>
      </c>
      <c r="J37" s="22">
        <v>-6.32</v>
      </c>
      <c r="K37" s="22">
        <v>-7.98</v>
      </c>
      <c r="L37" s="12">
        <v>0.16</v>
      </c>
      <c r="N37" s="4" t="s">
        <v>45</v>
      </c>
      <c r="O37" s="4"/>
      <c r="P37" s="4"/>
      <c r="Q37" s="5" t="s">
        <v>38</v>
      </c>
      <c r="R37" s="5">
        <v>435.7</v>
      </c>
    </row>
    <row r="39" spans="2:18">
      <c r="N39" s="7" t="s">
        <v>22</v>
      </c>
      <c r="O39" s="21">
        <v>-27.54</v>
      </c>
      <c r="P39" s="21">
        <v>-6.32</v>
      </c>
      <c r="Q39" s="9" t="s">
        <v>23</v>
      </c>
    </row>
    <row r="41" spans="2:18">
      <c r="N41" s="4" t="s">
        <v>45</v>
      </c>
      <c r="O41" s="4"/>
      <c r="P41" s="4"/>
      <c r="Q41" s="5" t="s">
        <v>39</v>
      </c>
      <c r="R41" s="5">
        <v>443.54</v>
      </c>
    </row>
    <row r="43" spans="2:18">
      <c r="N43" s="7" t="s">
        <v>22</v>
      </c>
      <c r="O43" s="21">
        <v>-35.38</v>
      </c>
      <c r="P43" s="21">
        <v>-7.98</v>
      </c>
      <c r="Q43" s="9" t="s">
        <v>23</v>
      </c>
    </row>
    <row r="45" spans="2:18">
      <c r="N45" s="4" t="s">
        <v>46</v>
      </c>
      <c r="O45" s="4"/>
      <c r="P45" s="4"/>
      <c r="Q45" s="5" t="s">
        <v>40</v>
      </c>
      <c r="R45" s="5">
        <v>509.4</v>
      </c>
    </row>
    <row r="47" spans="2:18">
      <c r="N47" s="7" t="s">
        <v>22</v>
      </c>
      <c r="O47" s="8">
        <v>0.79</v>
      </c>
      <c r="P47" s="8">
        <v>0.16</v>
      </c>
      <c r="Q47" s="9" t="s">
        <v>23</v>
      </c>
    </row>
    <row r="51" spans="1:18">
      <c r="P51" s="7" t="s">
        <v>24</v>
      </c>
      <c r="Q51" s="23">
        <v>-239.83</v>
      </c>
    </row>
    <row r="54" spans="1:18">
      <c r="Q54" s="14" t="s">
        <v>25</v>
      </c>
      <c r="R54" s="15">
        <v>4015.31</v>
      </c>
    </row>
    <row r="55" spans="1:18">
      <c r="Q55" s="16"/>
      <c r="R55" s="17"/>
    </row>
    <row r="56" spans="1:18">
      <c r="Q56" s="18" t="s">
        <v>26</v>
      </c>
      <c r="R56" s="24">
        <v>-239.83</v>
      </c>
    </row>
    <row r="58" spans="1:1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2" spans="1:18">
      <c r="C62" s="1" t="s">
        <v>47</v>
      </c>
      <c r="D62" s="1" t="s">
        <v>48</v>
      </c>
    </row>
    <row r="63" spans="1:18">
      <c r="B63" s="2" t="s">
        <v>49</v>
      </c>
      <c r="C63" s="2" t="s">
        <v>50</v>
      </c>
      <c r="D63" s="3">
        <v>108.27</v>
      </c>
    </row>
    <row r="64" spans="1:18">
      <c r="B64" s="2" t="s">
        <v>49</v>
      </c>
      <c r="C64" s="2" t="s">
        <v>51</v>
      </c>
      <c r="D64" s="3">
        <v>108.4</v>
      </c>
      <c r="K64" s="4" t="s">
        <v>57</v>
      </c>
      <c r="L64" s="4"/>
      <c r="M64" s="4"/>
      <c r="N64" s="5" t="s">
        <v>13</v>
      </c>
      <c r="O64" s="5">
        <v>108.27</v>
      </c>
    </row>
    <row r="65" spans="2:15">
      <c r="B65" s="6" t="s">
        <v>52</v>
      </c>
      <c r="C65" s="2" t="s">
        <v>4</v>
      </c>
      <c r="D65" s="3">
        <v>216.67</v>
      </c>
    </row>
    <row r="66" spans="2:15">
      <c r="K66" s="7" t="s">
        <v>22</v>
      </c>
      <c r="L66" s="21">
        <v>-8.9</v>
      </c>
      <c r="M66" s="21">
        <v>-8.220000000000001</v>
      </c>
      <c r="N66" s="9" t="s">
        <v>23</v>
      </c>
    </row>
    <row r="67" spans="2:15">
      <c r="E67" s="3" t="s">
        <v>5</v>
      </c>
      <c r="F67" s="3">
        <v>108.34</v>
      </c>
    </row>
    <row r="68" spans="2:15">
      <c r="K68" s="4" t="s">
        <v>58</v>
      </c>
      <c r="L68" s="4"/>
      <c r="M68" s="4"/>
      <c r="N68" s="5" t="s">
        <v>37</v>
      </c>
      <c r="O68" s="5">
        <v>108.4</v>
      </c>
    </row>
    <row r="69" spans="2:15">
      <c r="C69" s="2" t="s">
        <v>6</v>
      </c>
      <c r="D69" s="2" t="s">
        <v>7</v>
      </c>
      <c r="E69" s="2" t="s">
        <v>8</v>
      </c>
      <c r="F69" s="2" t="s">
        <v>9</v>
      </c>
      <c r="G69" s="2" t="s">
        <v>10</v>
      </c>
      <c r="H69" s="10" t="s">
        <v>13</v>
      </c>
      <c r="I69" s="10" t="s">
        <v>37</v>
      </c>
    </row>
    <row r="70" spans="2:15">
      <c r="B70" s="2" t="s">
        <v>14</v>
      </c>
      <c r="C70" s="2" t="s">
        <v>53</v>
      </c>
      <c r="D70" s="11">
        <f>(102.82*0.07)+102.82</f>
        <v>0</v>
      </c>
      <c r="E70" s="11">
        <f>(102.82*0.10)+102.82</f>
        <v>0</v>
      </c>
      <c r="F70" s="11">
        <f>(102.82*0.15)+102.82</f>
        <v>0</v>
      </c>
      <c r="G70" s="11">
        <f>(102.82*0.20)+102.82</f>
        <v>0</v>
      </c>
      <c r="H70" s="22">
        <v>-5.04</v>
      </c>
      <c r="I70" s="22">
        <v>-5.15</v>
      </c>
      <c r="K70" s="7" t="s">
        <v>22</v>
      </c>
      <c r="L70" s="21">
        <v>-9.029999999999999</v>
      </c>
      <c r="M70" s="21">
        <v>-8.33</v>
      </c>
      <c r="N70" s="9" t="s">
        <v>23</v>
      </c>
    </row>
    <row r="71" spans="2:15">
      <c r="B71" s="2" t="s">
        <v>16</v>
      </c>
      <c r="C71" s="2" t="s">
        <v>54</v>
      </c>
      <c r="D71" s="11">
        <f>(106.55*0.07)+106.55</f>
        <v>0</v>
      </c>
      <c r="E71" s="11">
        <f>(106.55*0.10)+106.55</f>
        <v>0</v>
      </c>
      <c r="F71" s="11">
        <f>(106.55*0.15)+106.55</f>
        <v>0</v>
      </c>
      <c r="G71" s="11">
        <f>(106.55*0.20)+106.55</f>
        <v>0</v>
      </c>
      <c r="H71" s="22">
        <v>-1.59</v>
      </c>
      <c r="I71" s="22">
        <v>-1.71</v>
      </c>
    </row>
    <row r="72" spans="2:15">
      <c r="B72" s="2" t="s">
        <v>18</v>
      </c>
      <c r="C72" s="2" t="s">
        <v>55</v>
      </c>
      <c r="D72" s="11">
        <f>(98.35*0.07)+98.35</f>
        <v>0</v>
      </c>
      <c r="E72" s="11">
        <f>(98.35*0.10)+98.35</f>
        <v>0</v>
      </c>
      <c r="F72" s="11">
        <f>(98.35*0.15)+98.35</f>
        <v>0</v>
      </c>
      <c r="G72" s="11">
        <f>(98.35*0.20)+98.35</f>
        <v>0</v>
      </c>
      <c r="H72" s="22">
        <v>-9.16</v>
      </c>
      <c r="I72" s="22">
        <v>-9.27</v>
      </c>
    </row>
    <row r="73" spans="2:15">
      <c r="B73" s="2" t="s">
        <v>4</v>
      </c>
      <c r="C73" s="2" t="s">
        <v>56</v>
      </c>
      <c r="D73" s="11">
        <f>(99.37*0.07)+99.37</f>
        <v>0</v>
      </c>
      <c r="E73" s="11">
        <f>(99.37*0.10)+99.37</f>
        <v>0</v>
      </c>
      <c r="F73" s="11">
        <f>(99.37*0.15)+99.37</f>
        <v>0</v>
      </c>
      <c r="G73" s="11">
        <f>(99.37*0.20)+99.37</f>
        <v>0</v>
      </c>
      <c r="H73" s="22">
        <v>-8.220000000000001</v>
      </c>
      <c r="I73" s="22">
        <v>-8.33</v>
      </c>
    </row>
    <row r="74" spans="2:15">
      <c r="B74" s="2" t="s">
        <v>4</v>
      </c>
      <c r="C74" s="2" t="s">
        <v>56</v>
      </c>
      <c r="D74" s="11">
        <f>(99.37*0.07)+99.37</f>
        <v>0</v>
      </c>
      <c r="E74" s="11">
        <f>(99.37*0.10)+99.37</f>
        <v>0</v>
      </c>
      <c r="F74" s="11">
        <f>(99.37*0.15)+99.37</f>
        <v>0</v>
      </c>
      <c r="G74" s="11">
        <f>(99.37*0.20)+99.37</f>
        <v>0</v>
      </c>
      <c r="H74" s="22">
        <v>-8.220000000000001</v>
      </c>
      <c r="I74" s="22">
        <v>-8.33</v>
      </c>
      <c r="M74" s="7" t="s">
        <v>24</v>
      </c>
      <c r="N74" s="23">
        <v>-17.93</v>
      </c>
    </row>
    <row r="75" spans="2:15">
      <c r="B75" s="2" t="s">
        <v>4</v>
      </c>
      <c r="C75" s="2" t="s">
        <v>56</v>
      </c>
      <c r="D75" s="11">
        <f>(99.37*0.07)+99.37</f>
        <v>0</v>
      </c>
      <c r="E75" s="11">
        <f>(99.37*0.10)+99.37</f>
        <v>0</v>
      </c>
      <c r="F75" s="11">
        <f>(99.37*0.15)+99.37</f>
        <v>0</v>
      </c>
      <c r="G75" s="11">
        <f>(99.37*0.20)+99.37</f>
        <v>0</v>
      </c>
      <c r="H75" s="22">
        <v>-8.220000000000001</v>
      </c>
      <c r="I75" s="22">
        <v>-8.33</v>
      </c>
    </row>
    <row r="76" spans="2:15">
      <c r="B76" s="2" t="s">
        <v>4</v>
      </c>
      <c r="C76" s="2" t="s">
        <v>56</v>
      </c>
      <c r="D76" s="11">
        <f>(99.37*0.07)+99.37</f>
        <v>0</v>
      </c>
      <c r="E76" s="11">
        <f>(99.37*0.10)+99.37</f>
        <v>0</v>
      </c>
      <c r="F76" s="11">
        <f>(99.37*0.15)+99.37</f>
        <v>0</v>
      </c>
      <c r="G76" s="11">
        <f>(99.37*0.20)+99.37</f>
        <v>0</v>
      </c>
      <c r="H76" s="22">
        <v>-8.220000000000001</v>
      </c>
      <c r="I76" s="22">
        <v>-8.33</v>
      </c>
    </row>
    <row r="77" spans="2:15">
      <c r="N77" s="14" t="s">
        <v>25</v>
      </c>
      <c r="O77" s="15">
        <v>216.67</v>
      </c>
    </row>
    <row r="78" spans="2:15">
      <c r="N78" s="16"/>
      <c r="O78" s="17"/>
    </row>
    <row r="79" spans="2:15">
      <c r="N79" s="18" t="s">
        <v>26</v>
      </c>
      <c r="O79" s="24">
        <v>-17.93</v>
      </c>
    </row>
    <row r="81" spans="1:1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5" spans="1:16">
      <c r="C85" s="1" t="s">
        <v>59</v>
      </c>
      <c r="D85" s="1" t="s">
        <v>60</v>
      </c>
    </row>
    <row r="86" spans="1:16">
      <c r="B86" s="2" t="s">
        <v>61</v>
      </c>
      <c r="C86" s="2" t="s">
        <v>62</v>
      </c>
      <c r="D86" s="3">
        <v>141.43</v>
      </c>
    </row>
    <row r="87" spans="1:16">
      <c r="B87" s="2" t="s">
        <v>63</v>
      </c>
      <c r="C87" s="2" t="s">
        <v>64</v>
      </c>
      <c r="D87" s="3">
        <v>140.95</v>
      </c>
    </row>
    <row r="88" spans="1:16">
      <c r="B88" s="2" t="s">
        <v>63</v>
      </c>
      <c r="C88" s="2" t="s">
        <v>65</v>
      </c>
      <c r="D88" s="3">
        <v>138.5</v>
      </c>
      <c r="L88" s="4" t="s">
        <v>83</v>
      </c>
      <c r="M88" s="4"/>
      <c r="N88" s="4"/>
      <c r="O88" s="5" t="s">
        <v>13</v>
      </c>
      <c r="P88" s="5">
        <v>1414.3</v>
      </c>
    </row>
    <row r="89" spans="1:16">
      <c r="B89" s="6" t="s">
        <v>66</v>
      </c>
      <c r="C89" s="2" t="s">
        <v>4</v>
      </c>
      <c r="D89" s="3">
        <v>420.88</v>
      </c>
    </row>
    <row r="90" spans="1:16">
      <c r="L90" s="7" t="s">
        <v>22</v>
      </c>
      <c r="M90" s="8">
        <v>104.9</v>
      </c>
      <c r="N90" s="8">
        <v>7.42</v>
      </c>
      <c r="O90" s="9" t="s">
        <v>23</v>
      </c>
    </row>
    <row r="91" spans="1:16">
      <c r="E91" s="3" t="s">
        <v>5</v>
      </c>
      <c r="F91" s="3">
        <v>140.79</v>
      </c>
    </row>
    <row r="92" spans="1:16">
      <c r="L92" s="4" t="s">
        <v>84</v>
      </c>
      <c r="M92" s="4"/>
      <c r="N92" s="4"/>
      <c r="O92" s="5" t="s">
        <v>37</v>
      </c>
      <c r="P92" s="5">
        <v>422.85</v>
      </c>
    </row>
    <row r="93" spans="1:16">
      <c r="C93" s="2" t="s">
        <v>6</v>
      </c>
      <c r="D93" s="2" t="s">
        <v>7</v>
      </c>
      <c r="E93" s="2" t="s">
        <v>8</v>
      </c>
      <c r="F93" s="2" t="s">
        <v>9</v>
      </c>
      <c r="G93" s="2" t="s">
        <v>10</v>
      </c>
      <c r="H93" s="10" t="s">
        <v>13</v>
      </c>
    </row>
    <row r="94" spans="1:16">
      <c r="B94" s="2" t="s">
        <v>62</v>
      </c>
      <c r="C94" s="2" t="s">
        <v>67</v>
      </c>
      <c r="D94" s="11">
        <f>(149.64*0.07)+149.64</f>
        <v>0</v>
      </c>
      <c r="E94" s="11">
        <f>(149.64*0.10)+149.64</f>
        <v>0</v>
      </c>
      <c r="F94" s="11">
        <f>(149.64*0.15)+149.64</f>
        <v>0</v>
      </c>
      <c r="G94" s="11">
        <f>(149.64*0.20)+149.64</f>
        <v>0</v>
      </c>
      <c r="H94" s="12">
        <v>5.8</v>
      </c>
      <c r="L94" s="7" t="s">
        <v>22</v>
      </c>
      <c r="M94" s="8">
        <v>32.91</v>
      </c>
      <c r="N94" s="8">
        <v>7.78</v>
      </c>
      <c r="O94" s="9" t="s">
        <v>23</v>
      </c>
    </row>
    <row r="95" spans="1:16">
      <c r="B95" s="2" t="s">
        <v>68</v>
      </c>
      <c r="C95" s="2" t="s">
        <v>69</v>
      </c>
      <c r="D95" s="11">
        <f>(145.38*0.07)+145.38</f>
        <v>0</v>
      </c>
      <c r="E95" s="11">
        <f>(145.38*0.10)+145.38</f>
        <v>0</v>
      </c>
      <c r="F95" s="11">
        <f>(145.38*0.15)+145.38</f>
        <v>0</v>
      </c>
      <c r="G95" s="11">
        <f>(145.38*0.20)+145.38</f>
        <v>0</v>
      </c>
      <c r="H95" s="12">
        <v>2.79</v>
      </c>
      <c r="I95" s="10" t="s">
        <v>37</v>
      </c>
    </row>
    <row r="96" spans="1:16">
      <c r="B96" s="2" t="s">
        <v>70</v>
      </c>
      <c r="C96" s="2" t="s">
        <v>71</v>
      </c>
      <c r="D96" s="11">
        <f>(132.26*0.07)+132.26</f>
        <v>0</v>
      </c>
      <c r="E96" s="11">
        <f>(132.26*0.10)+132.26</f>
        <v>0</v>
      </c>
      <c r="F96" s="11">
        <f>(132.26*0.15)+132.26</f>
        <v>0</v>
      </c>
      <c r="G96" s="11">
        <f>(132.26*0.20)+132.26</f>
        <v>0</v>
      </c>
      <c r="H96" s="22">
        <v>-6.48</v>
      </c>
      <c r="I96" s="22">
        <v>-6.17</v>
      </c>
      <c r="J96" s="10" t="s">
        <v>38</v>
      </c>
      <c r="L96" s="4" t="s">
        <v>85</v>
      </c>
      <c r="M96" s="4"/>
      <c r="N96" s="4"/>
      <c r="O96" s="5" t="s">
        <v>38</v>
      </c>
      <c r="P96" s="5">
        <v>415.5</v>
      </c>
    </row>
    <row r="97" spans="1:16">
      <c r="B97" s="2" t="s">
        <v>72</v>
      </c>
      <c r="C97" s="2" t="s">
        <v>73</v>
      </c>
      <c r="D97" s="11">
        <f>(136.18*0.07)+136.18</f>
        <v>0</v>
      </c>
      <c r="E97" s="11">
        <f>(136.18*0.10)+136.18</f>
        <v>0</v>
      </c>
      <c r="F97" s="11">
        <f>(136.18*0.15)+136.18</f>
        <v>0</v>
      </c>
      <c r="G97" s="11">
        <f>(136.18*0.20)+136.18</f>
        <v>0</v>
      </c>
      <c r="H97" s="22">
        <v>-3.71</v>
      </c>
      <c r="I97" s="22">
        <v>-3.38</v>
      </c>
      <c r="J97" s="22">
        <v>-1.68</v>
      </c>
    </row>
    <row r="98" spans="1:16">
      <c r="B98" s="2" t="s">
        <v>74</v>
      </c>
      <c r="C98" s="2" t="s">
        <v>75</v>
      </c>
      <c r="D98" s="11">
        <f>(149.70*0.07)+149.70</f>
        <v>0</v>
      </c>
      <c r="E98" s="11">
        <f>(149.70*0.10)+149.70</f>
        <v>0</v>
      </c>
      <c r="F98" s="11">
        <f>(149.70*0.15)+149.70</f>
        <v>0</v>
      </c>
      <c r="G98" s="11">
        <f>(149.70*0.20)+149.70</f>
        <v>0</v>
      </c>
      <c r="H98" s="12">
        <v>5.85</v>
      </c>
      <c r="I98" s="12">
        <v>6.21</v>
      </c>
      <c r="J98" s="12">
        <v>8.09</v>
      </c>
      <c r="L98" s="7" t="s">
        <v>22</v>
      </c>
      <c r="M98" s="8">
        <v>40.26</v>
      </c>
      <c r="N98" s="8">
        <v>9.69</v>
      </c>
      <c r="O98" s="9" t="s">
        <v>23</v>
      </c>
    </row>
    <row r="99" spans="1:16">
      <c r="B99" s="2" t="s">
        <v>76</v>
      </c>
      <c r="C99" s="2" t="s">
        <v>77</v>
      </c>
      <c r="D99" s="11">
        <f>(130.15*0.07)+130.15</f>
        <v>0</v>
      </c>
      <c r="E99" s="11">
        <f>(130.15*0.10)+130.15</f>
        <v>0</v>
      </c>
      <c r="F99" s="11">
        <f>(130.15*0.15)+130.15</f>
        <v>0</v>
      </c>
      <c r="G99" s="11">
        <f>(130.15*0.20)+130.15</f>
        <v>0</v>
      </c>
      <c r="H99" s="22">
        <v>-7.98</v>
      </c>
      <c r="I99" s="22">
        <v>-7.66</v>
      </c>
      <c r="J99" s="22">
        <v>-6.03</v>
      </c>
    </row>
    <row r="100" spans="1:16">
      <c r="B100" s="2" t="s">
        <v>11</v>
      </c>
      <c r="C100" s="2" t="s">
        <v>78</v>
      </c>
      <c r="D100" s="11">
        <f>(154.5*0.07)+154.5</f>
        <v>0</v>
      </c>
      <c r="E100" s="11">
        <f>(154.5*0.10)+154.5</f>
        <v>0</v>
      </c>
      <c r="F100" s="11">
        <f>(154.5*0.15)+154.5</f>
        <v>0</v>
      </c>
      <c r="G100" s="11">
        <f>(154.5*0.20)+154.5</f>
        <v>0</v>
      </c>
      <c r="H100" s="12">
        <v>9.24</v>
      </c>
      <c r="I100" s="12">
        <v>9.609999999999999</v>
      </c>
      <c r="J100" s="12">
        <v>11.55</v>
      </c>
    </row>
    <row r="101" spans="1:16">
      <c r="B101" s="2" t="s">
        <v>14</v>
      </c>
      <c r="C101" s="2" t="s">
        <v>79</v>
      </c>
      <c r="D101" s="11">
        <f>(151.79*0.07)+151.79</f>
        <v>0</v>
      </c>
      <c r="E101" s="11">
        <f>(151.79*0.10)+151.79</f>
        <v>0</v>
      </c>
      <c r="F101" s="11">
        <f>(151.79*0.15)+151.79</f>
        <v>0</v>
      </c>
      <c r="G101" s="11">
        <f>(151.79*0.20)+151.79</f>
        <v>0</v>
      </c>
      <c r="H101" s="12">
        <v>7.33</v>
      </c>
      <c r="I101" s="12">
        <v>7.69</v>
      </c>
      <c r="J101" s="12">
        <v>9.6</v>
      </c>
    </row>
    <row r="102" spans="1:16">
      <c r="B102" s="2" t="s">
        <v>16</v>
      </c>
      <c r="C102" s="2" t="s">
        <v>80</v>
      </c>
      <c r="D102" s="11">
        <f>(154.99*0.07)+154.99</f>
        <v>0</v>
      </c>
      <c r="E102" s="11">
        <f>(154.99*0.10)+154.99</f>
        <v>0</v>
      </c>
      <c r="F102" s="11">
        <f>(154.99*0.15)+154.99</f>
        <v>0</v>
      </c>
      <c r="G102" s="11">
        <f>(154.99*0.20)+154.99</f>
        <v>0</v>
      </c>
      <c r="H102" s="12">
        <v>9.59</v>
      </c>
      <c r="I102" s="12">
        <v>9.960000000000001</v>
      </c>
      <c r="J102" s="12">
        <v>11.91</v>
      </c>
      <c r="N102" s="7" t="s">
        <v>24</v>
      </c>
      <c r="O102" s="13">
        <v>178.07</v>
      </c>
    </row>
    <row r="103" spans="1:16">
      <c r="B103" s="2" t="s">
        <v>18</v>
      </c>
      <c r="C103" s="2" t="s">
        <v>81</v>
      </c>
      <c r="D103" s="11">
        <f>(151.85*0.07)+151.85</f>
        <v>0</v>
      </c>
      <c r="E103" s="11">
        <f>(151.85*0.10)+151.85</f>
        <v>0</v>
      </c>
      <c r="F103" s="11">
        <f>(151.85*0.15)+151.85</f>
        <v>0</v>
      </c>
      <c r="G103" s="11">
        <f>(151.85*0.20)+151.85</f>
        <v>0</v>
      </c>
      <c r="H103" s="12">
        <v>7.37</v>
      </c>
      <c r="I103" s="12">
        <v>7.73</v>
      </c>
      <c r="J103" s="12">
        <v>9.640000000000001</v>
      </c>
    </row>
    <row r="104" spans="1:16">
      <c r="B104" s="2" t="s">
        <v>4</v>
      </c>
      <c r="C104" s="2" t="s">
        <v>82</v>
      </c>
      <c r="D104" s="11">
        <f>(151.92*0.07)+151.92</f>
        <v>0</v>
      </c>
      <c r="E104" s="11">
        <f>(151.92*0.10)+151.92</f>
        <v>0</v>
      </c>
      <c r="F104" s="11">
        <f>(151.92*0.15)+151.92</f>
        <v>0</v>
      </c>
      <c r="G104" s="11">
        <f>(151.92*0.20)+151.92</f>
        <v>0</v>
      </c>
      <c r="H104" s="12">
        <v>7.42</v>
      </c>
      <c r="I104" s="12">
        <v>7.78</v>
      </c>
      <c r="J104" s="12">
        <v>9.69</v>
      </c>
    </row>
    <row r="105" spans="1:16">
      <c r="B105" s="2" t="s">
        <v>4</v>
      </c>
      <c r="C105" s="2" t="s">
        <v>82</v>
      </c>
      <c r="D105" s="11">
        <f>(151.92*0.07)+151.92</f>
        <v>0</v>
      </c>
      <c r="E105" s="11">
        <f>(151.92*0.10)+151.92</f>
        <v>0</v>
      </c>
      <c r="F105" s="11">
        <f>(151.92*0.15)+151.92</f>
        <v>0</v>
      </c>
      <c r="G105" s="11">
        <f>(151.92*0.20)+151.92</f>
        <v>0</v>
      </c>
      <c r="H105" s="12">
        <v>7.42</v>
      </c>
      <c r="I105" s="12">
        <v>7.78</v>
      </c>
      <c r="J105" s="12">
        <v>9.69</v>
      </c>
      <c r="O105" s="14" t="s">
        <v>25</v>
      </c>
      <c r="P105" s="15">
        <v>2252.65</v>
      </c>
    </row>
    <row r="106" spans="1:16">
      <c r="B106" s="2" t="s">
        <v>4</v>
      </c>
      <c r="C106" s="2" t="s">
        <v>82</v>
      </c>
      <c r="D106" s="11">
        <f>(151.92*0.07)+151.92</f>
        <v>0</v>
      </c>
      <c r="E106" s="11">
        <f>(151.92*0.10)+151.92</f>
        <v>0</v>
      </c>
      <c r="F106" s="11">
        <f>(151.92*0.15)+151.92</f>
        <v>0</v>
      </c>
      <c r="G106" s="11">
        <f>(151.92*0.20)+151.92</f>
        <v>0</v>
      </c>
      <c r="H106" s="12">
        <v>7.42</v>
      </c>
      <c r="I106" s="12">
        <v>7.78</v>
      </c>
      <c r="J106" s="12">
        <v>9.69</v>
      </c>
      <c r="O106" s="16"/>
      <c r="P106" s="17"/>
    </row>
    <row r="107" spans="1:16">
      <c r="B107" s="2" t="s">
        <v>4</v>
      </c>
      <c r="C107" s="2" t="s">
        <v>82</v>
      </c>
      <c r="D107" s="11">
        <f>(151.92*0.07)+151.92</f>
        <v>0</v>
      </c>
      <c r="E107" s="11">
        <f>(151.92*0.10)+151.92</f>
        <v>0</v>
      </c>
      <c r="F107" s="11">
        <f>(151.92*0.15)+151.92</f>
        <v>0</v>
      </c>
      <c r="G107" s="11">
        <f>(151.92*0.20)+151.92</f>
        <v>0</v>
      </c>
      <c r="H107" s="12">
        <v>7.42</v>
      </c>
      <c r="I107" s="12">
        <v>7.78</v>
      </c>
      <c r="J107" s="12">
        <v>9.69</v>
      </c>
      <c r="O107" s="18" t="s">
        <v>26</v>
      </c>
      <c r="P107" s="19">
        <v>178.07</v>
      </c>
    </row>
    <row r="110" spans="1:1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4" spans="2:14">
      <c r="C114" s="1" t="s">
        <v>86</v>
      </c>
      <c r="D114" s="1" t="s">
        <v>87</v>
      </c>
    </row>
    <row r="115" spans="2:14">
      <c r="B115" s="2" t="s">
        <v>88</v>
      </c>
      <c r="C115" s="2" t="s">
        <v>89</v>
      </c>
      <c r="D115" s="3">
        <v>35.25</v>
      </c>
      <c r="J115" s="4" t="s">
        <v>95</v>
      </c>
      <c r="K115" s="4"/>
      <c r="L115" s="4"/>
      <c r="M115" s="5" t="s">
        <v>13</v>
      </c>
      <c r="N115" s="5">
        <v>528.72</v>
      </c>
    </row>
    <row r="116" spans="2:14">
      <c r="B116" s="6" t="s">
        <v>88</v>
      </c>
      <c r="C116" s="2" t="s">
        <v>4</v>
      </c>
      <c r="D116" s="3">
        <v>35.25</v>
      </c>
    </row>
    <row r="117" spans="2:14">
      <c r="J117" s="7" t="s">
        <v>22</v>
      </c>
      <c r="K117" s="8">
        <v>18.78</v>
      </c>
      <c r="L117" s="8">
        <v>3.55</v>
      </c>
      <c r="M117" s="9" t="s">
        <v>23</v>
      </c>
    </row>
    <row r="118" spans="2:14">
      <c r="E118" s="3" t="s">
        <v>5</v>
      </c>
      <c r="F118" s="3">
        <v>35.25</v>
      </c>
    </row>
    <row r="120" spans="2:14">
      <c r="C120" s="2" t="s">
        <v>6</v>
      </c>
      <c r="D120" s="2" t="s">
        <v>7</v>
      </c>
      <c r="E120" s="2" t="s">
        <v>8</v>
      </c>
      <c r="F120" s="2" t="s">
        <v>9</v>
      </c>
      <c r="G120" s="2" t="s">
        <v>10</v>
      </c>
      <c r="H120" s="10" t="s">
        <v>13</v>
      </c>
    </row>
    <row r="121" spans="2:14">
      <c r="B121" s="2" t="s">
        <v>11</v>
      </c>
      <c r="C121" s="2" t="s">
        <v>90</v>
      </c>
      <c r="D121" s="11">
        <f>(36.43*0.07)+36.43</f>
        <v>0</v>
      </c>
      <c r="E121" s="11">
        <f>(36.43*0.10)+36.43</f>
        <v>0</v>
      </c>
      <c r="F121" s="11">
        <f>(36.43*0.15)+36.43</f>
        <v>0</v>
      </c>
      <c r="G121" s="11">
        <f>(36.43*0.20)+36.43</f>
        <v>0</v>
      </c>
      <c r="H121" s="12">
        <v>3.35</v>
      </c>
      <c r="L121" s="7" t="s">
        <v>24</v>
      </c>
      <c r="M121" s="13">
        <v>18.78</v>
      </c>
    </row>
    <row r="122" spans="2:14">
      <c r="B122" s="2" t="s">
        <v>14</v>
      </c>
      <c r="C122" s="2" t="s">
        <v>91</v>
      </c>
      <c r="D122" s="11">
        <f>(36.355*0.07)+36.355</f>
        <v>0</v>
      </c>
      <c r="E122" s="11">
        <f>(36.355*0.10)+36.355</f>
        <v>0</v>
      </c>
      <c r="F122" s="11">
        <f>(36.355*0.15)+36.355</f>
        <v>0</v>
      </c>
      <c r="G122" s="11">
        <f>(36.355*0.20)+36.355</f>
        <v>0</v>
      </c>
      <c r="H122" s="12">
        <v>3.14</v>
      </c>
    </row>
    <row r="123" spans="2:14">
      <c r="B123" s="2" t="s">
        <v>16</v>
      </c>
      <c r="C123" s="2" t="s">
        <v>92</v>
      </c>
      <c r="D123" s="11">
        <f>(36.975*0.07)+36.975</f>
        <v>0</v>
      </c>
      <c r="E123" s="11">
        <f>(36.975*0.10)+36.975</f>
        <v>0</v>
      </c>
      <c r="F123" s="11">
        <f>(36.975*0.15)+36.975</f>
        <v>0</v>
      </c>
      <c r="G123" s="11">
        <f>(36.975*0.20)+36.975</f>
        <v>0</v>
      </c>
      <c r="H123" s="12">
        <v>4.9</v>
      </c>
    </row>
    <row r="124" spans="2:14">
      <c r="B124" s="2" t="s">
        <v>18</v>
      </c>
      <c r="C124" s="2" t="s">
        <v>93</v>
      </c>
      <c r="D124" s="11">
        <f>(36.565*0.07)+36.565</f>
        <v>0</v>
      </c>
      <c r="E124" s="11">
        <f>(36.565*0.10)+36.565</f>
        <v>0</v>
      </c>
      <c r="F124" s="11">
        <f>(36.565*0.15)+36.565</f>
        <v>0</v>
      </c>
      <c r="G124" s="11">
        <f>(36.565*0.20)+36.565</f>
        <v>0</v>
      </c>
      <c r="H124" s="12">
        <v>3.74</v>
      </c>
      <c r="M124" s="14" t="s">
        <v>25</v>
      </c>
      <c r="N124" s="15">
        <v>528.72</v>
      </c>
    </row>
    <row r="125" spans="2:14">
      <c r="B125" s="2" t="s">
        <v>4</v>
      </c>
      <c r="C125" s="2" t="s">
        <v>94</v>
      </c>
      <c r="D125" s="11">
        <f>(36.5*0.07)+36.5</f>
        <v>0</v>
      </c>
      <c r="E125" s="11">
        <f>(36.5*0.10)+36.5</f>
        <v>0</v>
      </c>
      <c r="F125" s="11">
        <f>(36.5*0.15)+36.5</f>
        <v>0</v>
      </c>
      <c r="G125" s="11">
        <f>(36.5*0.20)+36.5</f>
        <v>0</v>
      </c>
      <c r="H125" s="12">
        <v>3.55</v>
      </c>
      <c r="M125" s="16"/>
      <c r="N125" s="17"/>
    </row>
    <row r="126" spans="2:14">
      <c r="B126" s="2" t="s">
        <v>4</v>
      </c>
      <c r="C126" s="2" t="s">
        <v>94</v>
      </c>
      <c r="D126" s="11">
        <f>(36.5*0.07)+36.5</f>
        <v>0</v>
      </c>
      <c r="E126" s="11">
        <f>(36.5*0.10)+36.5</f>
        <v>0</v>
      </c>
      <c r="F126" s="11">
        <f>(36.5*0.15)+36.5</f>
        <v>0</v>
      </c>
      <c r="G126" s="11">
        <f>(36.5*0.20)+36.5</f>
        <v>0</v>
      </c>
      <c r="H126" s="12">
        <v>3.55</v>
      </c>
      <c r="M126" s="18" t="s">
        <v>26</v>
      </c>
      <c r="N126" s="19">
        <v>18.78</v>
      </c>
    </row>
    <row r="127" spans="2:14">
      <c r="B127" s="2" t="s">
        <v>4</v>
      </c>
      <c r="C127" s="2" t="s">
        <v>94</v>
      </c>
      <c r="D127" s="11">
        <f>(36.5*0.07)+36.5</f>
        <v>0</v>
      </c>
      <c r="E127" s="11">
        <f>(36.5*0.10)+36.5</f>
        <v>0</v>
      </c>
      <c r="F127" s="11">
        <f>(36.5*0.15)+36.5</f>
        <v>0</v>
      </c>
      <c r="G127" s="11">
        <f>(36.5*0.20)+36.5</f>
        <v>0</v>
      </c>
      <c r="H127" s="12">
        <v>3.55</v>
      </c>
    </row>
    <row r="128" spans="2:14">
      <c r="B128" s="2" t="s">
        <v>4</v>
      </c>
      <c r="C128" s="2" t="s">
        <v>94</v>
      </c>
      <c r="D128" s="11">
        <f>(36.5*0.07)+36.5</f>
        <v>0</v>
      </c>
      <c r="E128" s="11">
        <f>(36.5*0.10)+36.5</f>
        <v>0</v>
      </c>
      <c r="F128" s="11">
        <f>(36.5*0.15)+36.5</f>
        <v>0</v>
      </c>
      <c r="G128" s="11">
        <f>(36.5*0.20)+36.5</f>
        <v>0</v>
      </c>
      <c r="H128" s="12">
        <v>3.55</v>
      </c>
    </row>
    <row r="131" spans="1:1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spans="1:1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5" spans="1:16">
      <c r="C135" s="1" t="s">
        <v>96</v>
      </c>
      <c r="D135" s="1" t="s">
        <v>97</v>
      </c>
    </row>
    <row r="136" spans="1:16">
      <c r="B136" s="2" t="s">
        <v>35</v>
      </c>
      <c r="C136" s="2" t="s">
        <v>98</v>
      </c>
      <c r="D136" s="3">
        <v>13.43</v>
      </c>
    </row>
    <row r="137" spans="1:16">
      <c r="B137" s="2" t="s">
        <v>99</v>
      </c>
      <c r="C137" s="2" t="s">
        <v>100</v>
      </c>
      <c r="D137" s="3">
        <v>10.42</v>
      </c>
    </row>
    <row r="138" spans="1:16">
      <c r="B138" s="2" t="s">
        <v>99</v>
      </c>
      <c r="C138" s="2" t="s">
        <v>32</v>
      </c>
      <c r="D138" s="3">
        <v>9.73</v>
      </c>
      <c r="L138" s="4" t="s">
        <v>107</v>
      </c>
      <c r="M138" s="4"/>
      <c r="N138" s="4"/>
      <c r="O138" s="5" t="s">
        <v>13</v>
      </c>
      <c r="P138" s="5">
        <v>496.91</v>
      </c>
    </row>
    <row r="139" spans="1:16">
      <c r="B139" s="6" t="s">
        <v>101</v>
      </c>
      <c r="C139" s="2" t="s">
        <v>4</v>
      </c>
      <c r="D139" s="3">
        <v>33.58</v>
      </c>
    </row>
    <row r="140" spans="1:16">
      <c r="L140" s="7" t="s">
        <v>22</v>
      </c>
      <c r="M140" s="21">
        <v>-57.72</v>
      </c>
      <c r="N140" s="21">
        <v>-11.62</v>
      </c>
      <c r="O140" s="9" t="s">
        <v>23</v>
      </c>
    </row>
    <row r="141" spans="1:16">
      <c r="E141" s="3" t="s">
        <v>5</v>
      </c>
      <c r="F141" s="3">
        <v>10.98</v>
      </c>
    </row>
    <row r="142" spans="1:16">
      <c r="L142" s="4" t="s">
        <v>108</v>
      </c>
      <c r="M142" s="4"/>
      <c r="N142" s="4"/>
      <c r="O142" s="5" t="s">
        <v>37</v>
      </c>
      <c r="P142" s="5">
        <v>521</v>
      </c>
    </row>
    <row r="143" spans="1:16">
      <c r="C143" s="2" t="s">
        <v>6</v>
      </c>
      <c r="D143" s="2" t="s">
        <v>7</v>
      </c>
      <c r="E143" s="2" t="s">
        <v>8</v>
      </c>
      <c r="F143" s="2" t="s">
        <v>9</v>
      </c>
      <c r="G143" s="2" t="s">
        <v>10</v>
      </c>
      <c r="H143" s="10" t="s">
        <v>13</v>
      </c>
      <c r="I143" s="10" t="s">
        <v>37</v>
      </c>
      <c r="J143" s="10" t="s">
        <v>38</v>
      </c>
    </row>
    <row r="144" spans="1:16">
      <c r="B144" s="2" t="s">
        <v>11</v>
      </c>
      <c r="C144" s="2" t="s">
        <v>102</v>
      </c>
      <c r="D144" s="11">
        <f>(11.8*0.07)+11.8</f>
        <v>0</v>
      </c>
      <c r="E144" s="11">
        <f>(11.8*0.10)+11.8</f>
        <v>0</v>
      </c>
      <c r="F144" s="11">
        <f>(11.8*0.15)+11.8</f>
        <v>0</v>
      </c>
      <c r="G144" s="11">
        <f>(11.8*0.20)+11.8</f>
        <v>0</v>
      </c>
      <c r="H144" s="22">
        <v>-12.14</v>
      </c>
      <c r="I144" s="12">
        <v>13.24</v>
      </c>
      <c r="J144" s="12">
        <v>21.26</v>
      </c>
      <c r="L144" s="7" t="s">
        <v>22</v>
      </c>
      <c r="M144" s="8">
        <v>72.5</v>
      </c>
      <c r="N144" s="8">
        <v>13.92</v>
      </c>
      <c r="O144" s="9" t="s">
        <v>23</v>
      </c>
    </row>
    <row r="145" spans="1:16">
      <c r="B145" s="2" t="s">
        <v>14</v>
      </c>
      <c r="C145" s="2" t="s">
        <v>103</v>
      </c>
      <c r="D145" s="11">
        <f>(11.715*0.07)+11.715</f>
        <v>0</v>
      </c>
      <c r="E145" s="11">
        <f>(11.715*0.10)+11.715</f>
        <v>0</v>
      </c>
      <c r="F145" s="11">
        <f>(11.715*0.15)+11.715</f>
        <v>0</v>
      </c>
      <c r="G145" s="11">
        <f>(11.715*0.20)+11.715</f>
        <v>0</v>
      </c>
      <c r="H145" s="22">
        <v>-12.77</v>
      </c>
      <c r="I145" s="12">
        <v>12.43</v>
      </c>
      <c r="J145" s="12">
        <v>20.39</v>
      </c>
    </row>
    <row r="146" spans="1:16">
      <c r="B146" s="2" t="s">
        <v>16</v>
      </c>
      <c r="C146" s="2" t="s">
        <v>104</v>
      </c>
      <c r="D146" s="11">
        <f>(12.1*0.07)+12.1</f>
        <v>0</v>
      </c>
      <c r="E146" s="11">
        <f>(12.1*0.10)+12.1</f>
        <v>0</v>
      </c>
      <c r="F146" s="11">
        <f>(12.1*0.15)+12.1</f>
        <v>0</v>
      </c>
      <c r="G146" s="11">
        <f>(12.1*0.20)+12.1</f>
        <v>0</v>
      </c>
      <c r="H146" s="22">
        <v>-9.9</v>
      </c>
      <c r="I146" s="12">
        <v>16.12</v>
      </c>
      <c r="J146" s="12">
        <v>24.34</v>
      </c>
      <c r="L146" s="4" t="s">
        <v>45</v>
      </c>
      <c r="M146" s="4"/>
      <c r="N146" s="4"/>
      <c r="O146" s="5" t="s">
        <v>38</v>
      </c>
      <c r="P146" s="5">
        <v>486.55</v>
      </c>
    </row>
    <row r="147" spans="1:16">
      <c r="B147" s="2" t="s">
        <v>18</v>
      </c>
      <c r="C147" s="2" t="s">
        <v>105</v>
      </c>
      <c r="D147" s="11">
        <f>(11.915*0.07)+11.915</f>
        <v>0</v>
      </c>
      <c r="E147" s="11">
        <f>(11.915*0.10)+11.915</f>
        <v>0</v>
      </c>
      <c r="F147" s="11">
        <f>(11.915*0.15)+11.915</f>
        <v>0</v>
      </c>
      <c r="G147" s="11">
        <f>(11.915*0.20)+11.915</f>
        <v>0</v>
      </c>
      <c r="H147" s="22">
        <v>-11.28</v>
      </c>
      <c r="I147" s="12">
        <v>14.35</v>
      </c>
      <c r="J147" s="12">
        <v>22.44</v>
      </c>
    </row>
    <row r="148" spans="1:16">
      <c r="B148" s="2" t="s">
        <v>4</v>
      </c>
      <c r="C148" s="2" t="s">
        <v>106</v>
      </c>
      <c r="D148" s="11">
        <f>(11.87*0.07)+11.87</f>
        <v>0</v>
      </c>
      <c r="E148" s="11">
        <f>(11.87*0.10)+11.87</f>
        <v>0</v>
      </c>
      <c r="F148" s="11">
        <f>(11.87*0.15)+11.87</f>
        <v>0</v>
      </c>
      <c r="G148" s="11">
        <f>(11.87*0.20)+11.87</f>
        <v>0</v>
      </c>
      <c r="H148" s="22">
        <v>-11.62</v>
      </c>
      <c r="I148" s="12">
        <v>13.92</v>
      </c>
      <c r="J148" s="12">
        <v>21.98</v>
      </c>
      <c r="L148" s="7" t="s">
        <v>22</v>
      </c>
      <c r="M148" s="8">
        <v>106.95</v>
      </c>
      <c r="N148" s="8">
        <v>21.98</v>
      </c>
      <c r="O148" s="9" t="s">
        <v>23</v>
      </c>
    </row>
    <row r="149" spans="1:16">
      <c r="B149" s="2" t="s">
        <v>4</v>
      </c>
      <c r="C149" s="2" t="s">
        <v>106</v>
      </c>
      <c r="D149" s="11">
        <f>(11.87*0.07)+11.87</f>
        <v>0</v>
      </c>
      <c r="E149" s="11">
        <f>(11.87*0.10)+11.87</f>
        <v>0</v>
      </c>
      <c r="F149" s="11">
        <f>(11.87*0.15)+11.87</f>
        <v>0</v>
      </c>
      <c r="G149" s="11">
        <f>(11.87*0.20)+11.87</f>
        <v>0</v>
      </c>
      <c r="H149" s="22">
        <v>-11.62</v>
      </c>
      <c r="I149" s="12">
        <v>13.92</v>
      </c>
      <c r="J149" s="12">
        <v>21.98</v>
      </c>
    </row>
    <row r="150" spans="1:16">
      <c r="B150" s="2" t="s">
        <v>4</v>
      </c>
      <c r="C150" s="2" t="s">
        <v>106</v>
      </c>
      <c r="D150" s="11">
        <f>(11.87*0.07)+11.87</f>
        <v>0</v>
      </c>
      <c r="E150" s="11">
        <f>(11.87*0.10)+11.87</f>
        <v>0</v>
      </c>
      <c r="F150" s="11">
        <f>(11.87*0.15)+11.87</f>
        <v>0</v>
      </c>
      <c r="G150" s="11">
        <f>(11.87*0.20)+11.87</f>
        <v>0</v>
      </c>
      <c r="H150" s="22">
        <v>-11.62</v>
      </c>
      <c r="I150" s="12">
        <v>13.92</v>
      </c>
      <c r="J150" s="12">
        <v>21.98</v>
      </c>
    </row>
    <row r="151" spans="1:16">
      <c r="B151" s="2" t="s">
        <v>4</v>
      </c>
      <c r="C151" s="2" t="s">
        <v>106</v>
      </c>
      <c r="D151" s="11">
        <f>(11.87*0.07)+11.87</f>
        <v>0</v>
      </c>
      <c r="E151" s="11">
        <f>(11.87*0.10)+11.87</f>
        <v>0</v>
      </c>
      <c r="F151" s="11">
        <f>(11.87*0.15)+11.87</f>
        <v>0</v>
      </c>
      <c r="G151" s="11">
        <f>(11.87*0.20)+11.87</f>
        <v>0</v>
      </c>
      <c r="H151" s="22">
        <v>-11.62</v>
      </c>
      <c r="I151" s="12">
        <v>13.92</v>
      </c>
      <c r="J151" s="12">
        <v>21.98</v>
      </c>
    </row>
    <row r="152" spans="1:16">
      <c r="N152" s="7" t="s">
        <v>24</v>
      </c>
      <c r="O152" s="13">
        <v>121.73</v>
      </c>
    </row>
    <row r="155" spans="1:16">
      <c r="O155" s="14" t="s">
        <v>25</v>
      </c>
      <c r="P155" s="15">
        <v>1504.46</v>
      </c>
    </row>
    <row r="156" spans="1:16">
      <c r="O156" s="16"/>
      <c r="P156" s="17"/>
    </row>
    <row r="157" spans="1:16">
      <c r="O157" s="18" t="s">
        <v>26</v>
      </c>
      <c r="P157" s="19">
        <v>121.73</v>
      </c>
    </row>
    <row r="159" spans="1:1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3" spans="2:17">
      <c r="C163" s="1" t="s">
        <v>109</v>
      </c>
      <c r="D163" s="1" t="s">
        <v>110</v>
      </c>
    </row>
    <row r="164" spans="2:17">
      <c r="B164" s="2" t="s">
        <v>111</v>
      </c>
      <c r="C164" s="2" t="s">
        <v>100</v>
      </c>
      <c r="D164" s="3">
        <v>48.05</v>
      </c>
    </row>
    <row r="165" spans="2:17">
      <c r="B165" s="2" t="s">
        <v>111</v>
      </c>
      <c r="C165" s="2" t="s">
        <v>32</v>
      </c>
      <c r="D165" s="3">
        <v>47.81</v>
      </c>
    </row>
    <row r="166" spans="2:17">
      <c r="B166" s="2" t="s">
        <v>33</v>
      </c>
      <c r="C166" s="2" t="s">
        <v>31</v>
      </c>
      <c r="D166" s="3">
        <v>55.6</v>
      </c>
    </row>
    <row r="167" spans="2:17">
      <c r="B167" s="2" t="s">
        <v>61</v>
      </c>
      <c r="C167" s="2" t="s">
        <v>112</v>
      </c>
      <c r="D167" s="3">
        <v>55.27</v>
      </c>
      <c r="M167" s="4" t="s">
        <v>108</v>
      </c>
      <c r="N167" s="4"/>
      <c r="O167" s="4"/>
      <c r="P167" s="5" t="s">
        <v>13</v>
      </c>
      <c r="Q167" s="5">
        <v>528.58</v>
      </c>
    </row>
    <row r="168" spans="2:17">
      <c r="B168" s="6" t="s">
        <v>35</v>
      </c>
      <c r="C168" s="2" t="s">
        <v>4</v>
      </c>
      <c r="D168" s="3">
        <v>206.74</v>
      </c>
    </row>
    <row r="169" spans="2:17">
      <c r="M169" s="7" t="s">
        <v>22</v>
      </c>
      <c r="N169" s="8">
        <v>34.07</v>
      </c>
      <c r="O169" s="8">
        <v>6.44</v>
      </c>
      <c r="P169" s="9" t="s">
        <v>23</v>
      </c>
    </row>
    <row r="170" spans="2:17">
      <c r="E170" s="3" t="s">
        <v>5</v>
      </c>
      <c r="F170" s="3">
        <v>50.95</v>
      </c>
    </row>
    <row r="171" spans="2:17">
      <c r="M171" s="4" t="s">
        <v>45</v>
      </c>
      <c r="N171" s="4"/>
      <c r="O171" s="4"/>
      <c r="P171" s="5" t="s">
        <v>37</v>
      </c>
      <c r="Q171" s="5">
        <v>525.9400000000001</v>
      </c>
    </row>
    <row r="172" spans="2:17">
      <c r="C172" s="2" t="s">
        <v>6</v>
      </c>
      <c r="D172" s="2" t="s">
        <v>7</v>
      </c>
      <c r="E172" s="2" t="s">
        <v>8</v>
      </c>
      <c r="F172" s="2" t="s">
        <v>9</v>
      </c>
      <c r="G172" s="2" t="s">
        <v>10</v>
      </c>
      <c r="H172" s="10" t="s">
        <v>13</v>
      </c>
      <c r="I172" s="10" t="s">
        <v>37</v>
      </c>
      <c r="J172" s="10" t="s">
        <v>38</v>
      </c>
      <c r="K172" s="10" t="s">
        <v>39</v>
      </c>
    </row>
    <row r="173" spans="2:17">
      <c r="B173" s="2" t="s">
        <v>11</v>
      </c>
      <c r="C173" s="2" t="s">
        <v>113</v>
      </c>
      <c r="D173" s="11">
        <f>(50.95*0.07)+50.95</f>
        <v>0</v>
      </c>
      <c r="E173" s="11">
        <f>(50.95*0.10)+50.95</f>
        <v>0</v>
      </c>
      <c r="F173" s="11">
        <f>(50.95*0.15)+50.95</f>
        <v>0</v>
      </c>
      <c r="G173" s="11">
        <f>(50.95*0.20)+50.95</f>
        <v>0</v>
      </c>
      <c r="H173" s="12">
        <v>6.03</v>
      </c>
      <c r="I173" s="12">
        <v>6.56</v>
      </c>
      <c r="J173" s="22">
        <v>-8.369999999999999</v>
      </c>
      <c r="K173" s="22">
        <v>-7.81</v>
      </c>
      <c r="M173" s="7" t="s">
        <v>22</v>
      </c>
      <c r="N173" s="8">
        <v>36.71</v>
      </c>
      <c r="O173" s="8">
        <v>6.98</v>
      </c>
      <c r="P173" s="9" t="s">
        <v>23</v>
      </c>
    </row>
    <row r="174" spans="2:17">
      <c r="B174" s="2" t="s">
        <v>14</v>
      </c>
      <c r="C174" s="2" t="s">
        <v>114</v>
      </c>
      <c r="D174" s="11">
        <f>(50.86*0.07)+50.86</f>
        <v>0</v>
      </c>
      <c r="E174" s="11">
        <f>(50.86*0.10)+50.86</f>
        <v>0</v>
      </c>
      <c r="F174" s="11">
        <f>(50.86*0.15)+50.86</f>
        <v>0</v>
      </c>
      <c r="G174" s="11">
        <f>(50.86*0.20)+50.86</f>
        <v>0</v>
      </c>
      <c r="H174" s="12">
        <v>5.84</v>
      </c>
      <c r="I174" s="12">
        <v>6.37</v>
      </c>
      <c r="J174" s="22">
        <v>-8.529999999999999</v>
      </c>
      <c r="K174" s="22">
        <v>-7.97</v>
      </c>
    </row>
    <row r="175" spans="2:17">
      <c r="B175" s="2" t="s">
        <v>16</v>
      </c>
      <c r="C175" s="2" t="s">
        <v>115</v>
      </c>
      <c r="D175" s="11">
        <f>(51.72*0.07)+51.72</f>
        <v>0</v>
      </c>
      <c r="E175" s="11">
        <f>(51.72*0.10)+51.72</f>
        <v>0</v>
      </c>
      <c r="F175" s="11">
        <f>(51.72*0.15)+51.72</f>
        <v>0</v>
      </c>
      <c r="G175" s="11">
        <f>(51.72*0.20)+51.72</f>
        <v>0</v>
      </c>
      <c r="H175" s="12">
        <v>7.63</v>
      </c>
      <c r="I175" s="12">
        <v>8.17</v>
      </c>
      <c r="J175" s="22">
        <v>-6.99</v>
      </c>
      <c r="K175" s="22">
        <v>-6.41</v>
      </c>
      <c r="M175" s="4" t="s">
        <v>44</v>
      </c>
      <c r="N175" s="4"/>
      <c r="O175" s="4"/>
      <c r="P175" s="5" t="s">
        <v>38</v>
      </c>
      <c r="Q175" s="5">
        <v>278.02</v>
      </c>
    </row>
    <row r="176" spans="2:17">
      <c r="B176" s="2" t="s">
        <v>18</v>
      </c>
      <c r="C176" s="2" t="s">
        <v>116</v>
      </c>
      <c r="D176" s="11">
        <f>(50.99*0.07)+50.99</f>
        <v>0</v>
      </c>
      <c r="E176" s="11">
        <f>(50.99*0.10)+50.99</f>
        <v>0</v>
      </c>
      <c r="F176" s="11">
        <f>(50.99*0.15)+50.99</f>
        <v>0</v>
      </c>
      <c r="G176" s="11">
        <f>(50.99*0.20)+50.99</f>
        <v>0</v>
      </c>
      <c r="H176" s="12">
        <v>6.11</v>
      </c>
      <c r="I176" s="12">
        <v>6.64</v>
      </c>
      <c r="J176" s="22">
        <v>-8.300000000000001</v>
      </c>
      <c r="K176" s="22">
        <v>-7.74</v>
      </c>
    </row>
    <row r="177" spans="1:17">
      <c r="B177" s="2" t="s">
        <v>4</v>
      </c>
      <c r="C177" s="2" t="s">
        <v>117</v>
      </c>
      <c r="D177" s="11">
        <f>(51.15*0.07)+51.15</f>
        <v>0</v>
      </c>
      <c r="E177" s="11">
        <f>(51.15*0.10)+51.15</f>
        <v>0</v>
      </c>
      <c r="F177" s="11">
        <f>(51.15*0.15)+51.15</f>
        <v>0</v>
      </c>
      <c r="G177" s="11">
        <f>(51.15*0.20)+51.15</f>
        <v>0</v>
      </c>
      <c r="H177" s="12">
        <v>6.44</v>
      </c>
      <c r="I177" s="12">
        <v>6.98</v>
      </c>
      <c r="J177" s="22">
        <v>-8.01</v>
      </c>
      <c r="K177" s="22">
        <v>-7.45</v>
      </c>
      <c r="M177" s="7" t="s">
        <v>22</v>
      </c>
      <c r="N177" s="21">
        <v>-22.27</v>
      </c>
      <c r="O177" s="21">
        <v>-8.01</v>
      </c>
      <c r="P177" s="9" t="s">
        <v>23</v>
      </c>
    </row>
    <row r="178" spans="1:17">
      <c r="B178" s="2" t="s">
        <v>4</v>
      </c>
      <c r="C178" s="2" t="s">
        <v>117</v>
      </c>
      <c r="D178" s="11">
        <f>(51.15*0.07)+51.15</f>
        <v>0</v>
      </c>
      <c r="E178" s="11">
        <f>(51.15*0.10)+51.15</f>
        <v>0</v>
      </c>
      <c r="F178" s="11">
        <f>(51.15*0.15)+51.15</f>
        <v>0</v>
      </c>
      <c r="G178" s="11">
        <f>(51.15*0.20)+51.15</f>
        <v>0</v>
      </c>
      <c r="H178" s="12">
        <v>6.44</v>
      </c>
      <c r="I178" s="12">
        <v>6.98</v>
      </c>
      <c r="J178" s="22">
        <v>-8.01</v>
      </c>
      <c r="K178" s="22">
        <v>-7.45</v>
      </c>
    </row>
    <row r="179" spans="1:17">
      <c r="B179" s="2" t="s">
        <v>4</v>
      </c>
      <c r="C179" s="2" t="s">
        <v>117</v>
      </c>
      <c r="D179" s="11">
        <f>(51.15*0.07)+51.15</f>
        <v>0</v>
      </c>
      <c r="E179" s="11">
        <f>(51.15*0.10)+51.15</f>
        <v>0</v>
      </c>
      <c r="F179" s="11">
        <f>(51.15*0.15)+51.15</f>
        <v>0</v>
      </c>
      <c r="G179" s="11">
        <f>(51.15*0.20)+51.15</f>
        <v>0</v>
      </c>
      <c r="H179" s="12">
        <v>6.44</v>
      </c>
      <c r="I179" s="12">
        <v>6.98</v>
      </c>
      <c r="J179" s="22">
        <v>-8.01</v>
      </c>
      <c r="K179" s="22">
        <v>-7.45</v>
      </c>
      <c r="M179" s="4" t="s">
        <v>118</v>
      </c>
      <c r="N179" s="4"/>
      <c r="O179" s="4"/>
      <c r="P179" s="5" t="s">
        <v>39</v>
      </c>
      <c r="Q179" s="5">
        <v>552.65</v>
      </c>
    </row>
    <row r="180" spans="1:17">
      <c r="B180" s="2" t="s">
        <v>4</v>
      </c>
      <c r="C180" s="2" t="s">
        <v>117</v>
      </c>
      <c r="D180" s="11">
        <f>(51.15*0.07)+51.15</f>
        <v>0</v>
      </c>
      <c r="E180" s="11">
        <f>(51.15*0.10)+51.15</f>
        <v>0</v>
      </c>
      <c r="F180" s="11">
        <f>(51.15*0.15)+51.15</f>
        <v>0</v>
      </c>
      <c r="G180" s="11">
        <f>(51.15*0.20)+51.15</f>
        <v>0</v>
      </c>
      <c r="H180" s="12">
        <v>6.44</v>
      </c>
      <c r="I180" s="12">
        <v>6.98</v>
      </c>
      <c r="J180" s="22">
        <v>-8.01</v>
      </c>
      <c r="K180" s="22">
        <v>-7.45</v>
      </c>
    </row>
    <row r="181" spans="1:17">
      <c r="M181" s="7" t="s">
        <v>22</v>
      </c>
      <c r="N181" s="21">
        <v>-41.15</v>
      </c>
      <c r="O181" s="21">
        <v>-7.45</v>
      </c>
      <c r="P181" s="9" t="s">
        <v>23</v>
      </c>
    </row>
    <row r="185" spans="1:17">
      <c r="O185" s="7" t="s">
        <v>24</v>
      </c>
      <c r="P185" s="13">
        <v>7.35</v>
      </c>
    </row>
    <row r="188" spans="1:17">
      <c r="P188" s="14" t="s">
        <v>25</v>
      </c>
      <c r="Q188" s="15">
        <v>1885.2</v>
      </c>
    </row>
    <row r="189" spans="1:17">
      <c r="P189" s="16"/>
      <c r="Q189" s="17"/>
    </row>
    <row r="190" spans="1:17">
      <c r="P190" s="18" t="s">
        <v>26</v>
      </c>
      <c r="Q190" s="19">
        <v>7.35</v>
      </c>
    </row>
    <row r="192" spans="1:17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6" spans="1:17">
      <c r="C196" s="1" t="s">
        <v>119</v>
      </c>
      <c r="D196" s="1" t="s">
        <v>120</v>
      </c>
    </row>
    <row r="197" spans="1:17">
      <c r="B197" s="2" t="s">
        <v>49</v>
      </c>
      <c r="C197" s="2" t="s">
        <v>100</v>
      </c>
      <c r="D197" s="3">
        <v>474.29</v>
      </c>
    </row>
    <row r="198" spans="1:17">
      <c r="B198" s="2" t="s">
        <v>49</v>
      </c>
      <c r="C198" s="2" t="s">
        <v>32</v>
      </c>
      <c r="D198" s="3">
        <v>467.48</v>
      </c>
    </row>
    <row r="199" spans="1:17">
      <c r="B199" s="2" t="s">
        <v>52</v>
      </c>
      <c r="C199" s="2" t="s">
        <v>3</v>
      </c>
      <c r="D199" s="3">
        <v>463.62</v>
      </c>
      <c r="L199" s="4" t="s">
        <v>108</v>
      </c>
      <c r="M199" s="4"/>
      <c r="N199" s="4"/>
      <c r="O199" s="5" t="s">
        <v>13</v>
      </c>
      <c r="P199" s="5">
        <v>474.29</v>
      </c>
    </row>
    <row r="200" spans="1:17">
      <c r="B200" s="6" t="s">
        <v>2</v>
      </c>
      <c r="C200" s="2" t="s">
        <v>4</v>
      </c>
      <c r="D200" s="3">
        <v>1405.38</v>
      </c>
    </row>
    <row r="201" spans="1:17">
      <c r="L201" s="7" t="s">
        <v>22</v>
      </c>
      <c r="M201" s="8">
        <v>29.52</v>
      </c>
      <c r="N201" s="8">
        <v>6.22</v>
      </c>
      <c r="O201" s="9" t="s">
        <v>23</v>
      </c>
    </row>
    <row r="202" spans="1:17">
      <c r="E202" s="3" t="s">
        <v>5</v>
      </c>
      <c r="F202" s="3">
        <v>467.25</v>
      </c>
    </row>
    <row r="203" spans="1:17">
      <c r="L203" s="4" t="s">
        <v>45</v>
      </c>
      <c r="M203" s="4"/>
      <c r="N203" s="4"/>
      <c r="O203" s="5" t="s">
        <v>37</v>
      </c>
      <c r="P203" s="5">
        <v>467.48</v>
      </c>
    </row>
    <row r="204" spans="1:17">
      <c r="C204" s="2" t="s">
        <v>6</v>
      </c>
      <c r="D204" s="2" t="s">
        <v>7</v>
      </c>
      <c r="E204" s="2" t="s">
        <v>8</v>
      </c>
      <c r="F204" s="2" t="s">
        <v>9</v>
      </c>
      <c r="G204" s="2" t="s">
        <v>10</v>
      </c>
      <c r="H204" s="10" t="s">
        <v>13</v>
      </c>
      <c r="I204" s="10" t="s">
        <v>37</v>
      </c>
      <c r="J204" s="10" t="s">
        <v>38</v>
      </c>
    </row>
    <row r="205" spans="1:17">
      <c r="B205" s="2" t="s">
        <v>121</v>
      </c>
      <c r="C205" s="2" t="s">
        <v>122</v>
      </c>
      <c r="D205" s="11">
        <f>(489.12*0.07)+489.12</f>
        <v>0</v>
      </c>
      <c r="E205" s="11">
        <f>(489.12*0.10)+489.12</f>
        <v>0</v>
      </c>
      <c r="F205" s="11">
        <f>(489.12*0.15)+489.12</f>
        <v>0</v>
      </c>
      <c r="G205" s="11">
        <f>(489.12*0.20)+489.12</f>
        <v>0</v>
      </c>
      <c r="H205" s="12">
        <v>3.13</v>
      </c>
      <c r="I205" s="12">
        <v>4.63</v>
      </c>
      <c r="J205" s="12">
        <v>5.5</v>
      </c>
      <c r="L205" s="7" t="s">
        <v>22</v>
      </c>
      <c r="M205" s="8">
        <v>36.33</v>
      </c>
      <c r="N205" s="8">
        <v>7.77</v>
      </c>
      <c r="O205" s="9" t="s">
        <v>23</v>
      </c>
    </row>
    <row r="206" spans="1:17">
      <c r="B206" s="2" t="s">
        <v>11</v>
      </c>
      <c r="C206" s="2" t="s">
        <v>123</v>
      </c>
      <c r="D206" s="11">
        <f>(514.8*0.07)+514.8</f>
        <v>0</v>
      </c>
      <c r="E206" s="11">
        <f>(514.8*0.10)+514.8</f>
        <v>0</v>
      </c>
      <c r="F206" s="11">
        <f>(514.8*0.15)+514.8</f>
        <v>0</v>
      </c>
      <c r="G206" s="11">
        <f>(514.8*0.20)+514.8</f>
        <v>0</v>
      </c>
      <c r="H206" s="12">
        <v>8.539999999999999</v>
      </c>
      <c r="I206" s="12">
        <v>10.12</v>
      </c>
      <c r="J206" s="12">
        <v>11.04</v>
      </c>
    </row>
    <row r="207" spans="1:17">
      <c r="B207" s="2" t="s">
        <v>14</v>
      </c>
      <c r="C207" s="2" t="s">
        <v>124</v>
      </c>
      <c r="D207" s="11">
        <f>(514.74*0.07)+514.74</f>
        <v>0</v>
      </c>
      <c r="E207" s="11">
        <f>(514.74*0.10)+514.74</f>
        <v>0</v>
      </c>
      <c r="F207" s="11">
        <f>(514.74*0.15)+514.74</f>
        <v>0</v>
      </c>
      <c r="G207" s="11">
        <f>(514.74*0.20)+514.74</f>
        <v>0</v>
      </c>
      <c r="H207" s="12">
        <v>8.529999999999999</v>
      </c>
      <c r="I207" s="12">
        <v>10.11</v>
      </c>
      <c r="J207" s="12">
        <v>11.03</v>
      </c>
      <c r="L207" s="4" t="s">
        <v>21</v>
      </c>
      <c r="M207" s="4"/>
      <c r="N207" s="4"/>
      <c r="O207" s="5" t="s">
        <v>38</v>
      </c>
      <c r="P207" s="5">
        <v>927.23</v>
      </c>
    </row>
    <row r="208" spans="1:17">
      <c r="B208" s="2" t="s">
        <v>16</v>
      </c>
      <c r="C208" s="2" t="s">
        <v>125</v>
      </c>
      <c r="D208" s="11">
        <f>(516.615*0.07)+516.615</f>
        <v>0</v>
      </c>
      <c r="E208" s="11">
        <f>(516.615*0.10)+516.615</f>
        <v>0</v>
      </c>
      <c r="F208" s="11">
        <f>(516.615*0.15)+516.615</f>
        <v>0</v>
      </c>
      <c r="G208" s="11">
        <f>(516.615*0.20)+516.615</f>
        <v>0</v>
      </c>
      <c r="H208" s="12">
        <v>8.92</v>
      </c>
      <c r="I208" s="12">
        <v>10.51</v>
      </c>
      <c r="J208" s="12">
        <v>11.43</v>
      </c>
    </row>
    <row r="209" spans="1:16">
      <c r="B209" s="2" t="s">
        <v>18</v>
      </c>
      <c r="C209" s="2" t="s">
        <v>126</v>
      </c>
      <c r="D209" s="11">
        <f>(505.99*0.07)+505.99</f>
        <v>0</v>
      </c>
      <c r="E209" s="11">
        <f>(505.99*0.10)+505.99</f>
        <v>0</v>
      </c>
      <c r="F209" s="11">
        <f>(505.99*0.15)+505.99</f>
        <v>0</v>
      </c>
      <c r="G209" s="11">
        <f>(505.99*0.20)+505.99</f>
        <v>0</v>
      </c>
      <c r="H209" s="12">
        <v>6.68</v>
      </c>
      <c r="I209" s="12">
        <v>8.24</v>
      </c>
      <c r="J209" s="12">
        <v>9.140000000000001</v>
      </c>
      <c r="L209" s="7" t="s">
        <v>22</v>
      </c>
      <c r="M209" s="8">
        <v>80.39</v>
      </c>
      <c r="N209" s="8">
        <v>8.67</v>
      </c>
      <c r="O209" s="9" t="s">
        <v>23</v>
      </c>
    </row>
    <row r="210" spans="1:16">
      <c r="B210" s="2" t="s">
        <v>4</v>
      </c>
      <c r="C210" s="2" t="s">
        <v>127</v>
      </c>
      <c r="D210" s="11">
        <f>(503.81*0.07)+503.81</f>
        <v>0</v>
      </c>
      <c r="E210" s="11">
        <f>(503.81*0.10)+503.81</f>
        <v>0</v>
      </c>
      <c r="F210" s="11">
        <f>(503.81*0.15)+503.81</f>
        <v>0</v>
      </c>
      <c r="G210" s="11">
        <f>(503.81*0.20)+503.81</f>
        <v>0</v>
      </c>
      <c r="H210" s="12">
        <v>6.22</v>
      </c>
      <c r="I210" s="12">
        <v>7.77</v>
      </c>
      <c r="J210" s="12">
        <v>8.67</v>
      </c>
    </row>
    <row r="211" spans="1:16">
      <c r="B211" s="2" t="s">
        <v>4</v>
      </c>
      <c r="C211" s="2" t="s">
        <v>127</v>
      </c>
      <c r="D211" s="11">
        <f>(503.81*0.07)+503.81</f>
        <v>0</v>
      </c>
      <c r="E211" s="11">
        <f>(503.81*0.10)+503.81</f>
        <v>0</v>
      </c>
      <c r="F211" s="11">
        <f>(503.81*0.15)+503.81</f>
        <v>0</v>
      </c>
      <c r="G211" s="11">
        <f>(503.81*0.20)+503.81</f>
        <v>0</v>
      </c>
      <c r="H211" s="12">
        <v>6.22</v>
      </c>
      <c r="I211" s="12">
        <v>7.77</v>
      </c>
      <c r="J211" s="12">
        <v>8.67</v>
      </c>
    </row>
    <row r="212" spans="1:16">
      <c r="B212" s="2" t="s">
        <v>4</v>
      </c>
      <c r="C212" s="2" t="s">
        <v>127</v>
      </c>
      <c r="D212" s="11">
        <f>(503.81*0.07)+503.81</f>
        <v>0</v>
      </c>
      <c r="E212" s="11">
        <f>(503.81*0.10)+503.81</f>
        <v>0</v>
      </c>
      <c r="F212" s="11">
        <f>(503.81*0.15)+503.81</f>
        <v>0</v>
      </c>
      <c r="G212" s="11">
        <f>(503.81*0.20)+503.81</f>
        <v>0</v>
      </c>
      <c r="H212" s="12">
        <v>6.22</v>
      </c>
      <c r="I212" s="12">
        <v>7.77</v>
      </c>
      <c r="J212" s="12">
        <v>8.67</v>
      </c>
    </row>
    <row r="213" spans="1:16">
      <c r="B213" s="2" t="s">
        <v>4</v>
      </c>
      <c r="C213" s="2" t="s">
        <v>127</v>
      </c>
      <c r="D213" s="11">
        <f>(503.81*0.07)+503.81</f>
        <v>0</v>
      </c>
      <c r="E213" s="11">
        <f>(503.81*0.10)+503.81</f>
        <v>0</v>
      </c>
      <c r="F213" s="11">
        <f>(503.81*0.15)+503.81</f>
        <v>0</v>
      </c>
      <c r="G213" s="11">
        <f>(503.81*0.20)+503.81</f>
        <v>0</v>
      </c>
      <c r="H213" s="12">
        <v>6.22</v>
      </c>
      <c r="I213" s="12">
        <v>7.77</v>
      </c>
      <c r="J213" s="12">
        <v>8.67</v>
      </c>
      <c r="N213" s="7" t="s">
        <v>24</v>
      </c>
      <c r="O213" s="13">
        <v>146.24</v>
      </c>
    </row>
    <row r="216" spans="1:16">
      <c r="O216" s="14" t="s">
        <v>25</v>
      </c>
      <c r="P216" s="15">
        <v>1869</v>
      </c>
    </row>
    <row r="217" spans="1:16">
      <c r="O217" s="16"/>
      <c r="P217" s="17"/>
    </row>
    <row r="218" spans="1:16">
      <c r="O218" s="18" t="s">
        <v>26</v>
      </c>
      <c r="P218" s="19">
        <v>146.24</v>
      </c>
    </row>
    <row r="220" spans="1:1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4" spans="1:16">
      <c r="C224" s="1" t="s">
        <v>128</v>
      </c>
      <c r="D224" s="1" t="s">
        <v>129</v>
      </c>
    </row>
    <row r="225" spans="2:14">
      <c r="B225" s="2" t="s">
        <v>33</v>
      </c>
      <c r="C225" s="2" t="s">
        <v>98</v>
      </c>
      <c r="D225" s="3">
        <v>215.33</v>
      </c>
      <c r="J225" s="4" t="s">
        <v>107</v>
      </c>
      <c r="K225" s="4"/>
      <c r="L225" s="4"/>
      <c r="M225" s="5" t="s">
        <v>13</v>
      </c>
      <c r="N225" s="5">
        <v>1076.65</v>
      </c>
    </row>
    <row r="226" spans="2:14">
      <c r="B226" s="6" t="s">
        <v>33</v>
      </c>
      <c r="C226" s="2" t="s">
        <v>4</v>
      </c>
      <c r="D226" s="3">
        <v>215.33</v>
      </c>
    </row>
    <row r="227" spans="2:14">
      <c r="J227" s="7" t="s">
        <v>22</v>
      </c>
      <c r="K227" s="21">
        <v>-29.25</v>
      </c>
      <c r="L227" s="21">
        <v>-2.72</v>
      </c>
      <c r="M227" s="9" t="s">
        <v>23</v>
      </c>
    </row>
    <row r="228" spans="2:14">
      <c r="E228" s="3" t="s">
        <v>5</v>
      </c>
      <c r="F228" s="3">
        <v>215.33</v>
      </c>
    </row>
    <row r="230" spans="2:14">
      <c r="C230" s="2" t="s">
        <v>6</v>
      </c>
      <c r="D230" s="2" t="s">
        <v>7</v>
      </c>
      <c r="E230" s="2" t="s">
        <v>8</v>
      </c>
      <c r="F230" s="2" t="s">
        <v>9</v>
      </c>
      <c r="G230" s="2" t="s">
        <v>10</v>
      </c>
      <c r="H230" s="10" t="s">
        <v>13</v>
      </c>
    </row>
    <row r="231" spans="2:14">
      <c r="B231" s="2" t="s">
        <v>11</v>
      </c>
      <c r="C231" s="2" t="s">
        <v>130</v>
      </c>
      <c r="D231" s="11">
        <f>(214.67*0.07)+214.67</f>
        <v>0</v>
      </c>
      <c r="E231" s="11">
        <f>(214.67*0.10)+214.67</f>
        <v>0</v>
      </c>
      <c r="F231" s="11">
        <f>(214.67*0.15)+214.67</f>
        <v>0</v>
      </c>
      <c r="G231" s="11">
        <f>(214.67*0.20)+214.67</f>
        <v>0</v>
      </c>
      <c r="H231" s="22">
        <v>-0.31</v>
      </c>
      <c r="L231" s="7" t="s">
        <v>24</v>
      </c>
      <c r="M231" s="23">
        <v>-29.25</v>
      </c>
    </row>
    <row r="232" spans="2:14">
      <c r="B232" s="2" t="s">
        <v>14</v>
      </c>
      <c r="C232" s="2" t="s">
        <v>131</v>
      </c>
      <c r="D232" s="11">
        <f>(210.04*0.07)+210.04</f>
        <v>0</v>
      </c>
      <c r="E232" s="11">
        <f>(210.04*0.10)+210.04</f>
        <v>0</v>
      </c>
      <c r="F232" s="11">
        <f>(210.04*0.15)+210.04</f>
        <v>0</v>
      </c>
      <c r="G232" s="11">
        <f>(210.04*0.20)+210.04</f>
        <v>0</v>
      </c>
      <c r="H232" s="22">
        <v>-2.46</v>
      </c>
    </row>
    <row r="233" spans="2:14">
      <c r="B233" s="2" t="s">
        <v>16</v>
      </c>
      <c r="C233" s="2" t="s">
        <v>132</v>
      </c>
      <c r="D233" s="11">
        <f>(210.02*0.07)+210.02</f>
        <v>0</v>
      </c>
      <c r="E233" s="11">
        <f>(210.02*0.10)+210.02</f>
        <v>0</v>
      </c>
      <c r="F233" s="11">
        <f>(210.02*0.15)+210.02</f>
        <v>0</v>
      </c>
      <c r="G233" s="11">
        <f>(210.02*0.20)+210.02</f>
        <v>0</v>
      </c>
      <c r="H233" s="22">
        <v>-2.47</v>
      </c>
    </row>
    <row r="234" spans="2:14">
      <c r="B234" s="2" t="s">
        <v>18</v>
      </c>
      <c r="C234" s="2" t="s">
        <v>133</v>
      </c>
      <c r="D234" s="11">
        <f>(208.4*0.07)+208.4</f>
        <v>0</v>
      </c>
      <c r="E234" s="11">
        <f>(208.4*0.10)+208.4</f>
        <v>0</v>
      </c>
      <c r="F234" s="11">
        <f>(208.4*0.15)+208.4</f>
        <v>0</v>
      </c>
      <c r="G234" s="11">
        <f>(208.4*0.20)+208.4</f>
        <v>0</v>
      </c>
      <c r="H234" s="22">
        <v>-3.22</v>
      </c>
      <c r="M234" s="14" t="s">
        <v>25</v>
      </c>
      <c r="N234" s="15">
        <v>1076.65</v>
      </c>
    </row>
    <row r="235" spans="2:14">
      <c r="B235" s="2" t="s">
        <v>4</v>
      </c>
      <c r="C235" s="2" t="s">
        <v>134</v>
      </c>
      <c r="D235" s="11">
        <f>(209.48*0.07)+209.48</f>
        <v>0</v>
      </c>
      <c r="E235" s="11">
        <f>(209.48*0.10)+209.48</f>
        <v>0</v>
      </c>
      <c r="F235" s="11">
        <f>(209.48*0.15)+209.48</f>
        <v>0</v>
      </c>
      <c r="G235" s="11">
        <f>(209.48*0.20)+209.48</f>
        <v>0</v>
      </c>
      <c r="H235" s="22">
        <v>-2.72</v>
      </c>
      <c r="M235" s="16"/>
      <c r="N235" s="17"/>
    </row>
    <row r="236" spans="2:14">
      <c r="B236" s="2" t="s">
        <v>4</v>
      </c>
      <c r="C236" s="2" t="s">
        <v>134</v>
      </c>
      <c r="D236" s="11">
        <f>(209.48*0.07)+209.48</f>
        <v>0</v>
      </c>
      <c r="E236" s="11">
        <f>(209.48*0.10)+209.48</f>
        <v>0</v>
      </c>
      <c r="F236" s="11">
        <f>(209.48*0.15)+209.48</f>
        <v>0</v>
      </c>
      <c r="G236" s="11">
        <f>(209.48*0.20)+209.48</f>
        <v>0</v>
      </c>
      <c r="H236" s="22">
        <v>-2.72</v>
      </c>
      <c r="M236" s="18" t="s">
        <v>26</v>
      </c>
      <c r="N236" s="24">
        <v>-29.25</v>
      </c>
    </row>
    <row r="237" spans="2:14">
      <c r="B237" s="2" t="s">
        <v>4</v>
      </c>
      <c r="C237" s="2" t="s">
        <v>134</v>
      </c>
      <c r="D237" s="11">
        <f>(209.48*0.07)+209.48</f>
        <v>0</v>
      </c>
      <c r="E237" s="11">
        <f>(209.48*0.10)+209.48</f>
        <v>0</v>
      </c>
      <c r="F237" s="11">
        <f>(209.48*0.15)+209.48</f>
        <v>0</v>
      </c>
      <c r="G237" s="11">
        <f>(209.48*0.20)+209.48</f>
        <v>0</v>
      </c>
      <c r="H237" s="22">
        <v>-2.72</v>
      </c>
    </row>
    <row r="238" spans="2:14">
      <c r="B238" s="2" t="s">
        <v>4</v>
      </c>
      <c r="C238" s="2" t="s">
        <v>134</v>
      </c>
      <c r="D238" s="11">
        <f>(209.48*0.07)+209.48</f>
        <v>0</v>
      </c>
      <c r="E238" s="11">
        <f>(209.48*0.10)+209.48</f>
        <v>0</v>
      </c>
      <c r="F238" s="11">
        <f>(209.48*0.15)+209.48</f>
        <v>0</v>
      </c>
      <c r="G238" s="11">
        <f>(209.48*0.20)+209.48</f>
        <v>0</v>
      </c>
      <c r="H238" s="22">
        <v>-2.72</v>
      </c>
    </row>
    <row r="241" spans="1:14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</row>
    <row r="242" spans="1:14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</row>
    <row r="245" spans="1:14">
      <c r="C245" s="1" t="s">
        <v>135</v>
      </c>
      <c r="D245" s="1" t="s">
        <v>136</v>
      </c>
    </row>
    <row r="246" spans="1:14">
      <c r="B246" s="2" t="s">
        <v>137</v>
      </c>
      <c r="C246" s="2" t="s">
        <v>3</v>
      </c>
      <c r="D246" s="3">
        <v>13.38</v>
      </c>
      <c r="J246" s="4" t="s">
        <v>21</v>
      </c>
      <c r="K246" s="4"/>
      <c r="L246" s="4"/>
      <c r="M246" s="5" t="s">
        <v>13</v>
      </c>
      <c r="N246" s="5">
        <v>1016.73</v>
      </c>
    </row>
    <row r="247" spans="1:14">
      <c r="B247" s="6" t="s">
        <v>137</v>
      </c>
      <c r="C247" s="2" t="s">
        <v>4</v>
      </c>
      <c r="D247" s="3">
        <v>13.38</v>
      </c>
    </row>
    <row r="248" spans="1:14">
      <c r="J248" s="7" t="s">
        <v>22</v>
      </c>
      <c r="K248" s="8">
        <v>3.19</v>
      </c>
      <c r="L248" s="8">
        <v>0.31</v>
      </c>
      <c r="M248" s="9" t="s">
        <v>23</v>
      </c>
    </row>
    <row r="249" spans="1:14">
      <c r="E249" s="3" t="s">
        <v>5</v>
      </c>
      <c r="F249" s="3">
        <v>13.38</v>
      </c>
    </row>
    <row r="251" spans="1:14">
      <c r="C251" s="2" t="s">
        <v>6</v>
      </c>
      <c r="D251" s="2" t="s">
        <v>7</v>
      </c>
      <c r="E251" s="2" t="s">
        <v>8</v>
      </c>
      <c r="F251" s="2" t="s">
        <v>9</v>
      </c>
      <c r="G251" s="2" t="s">
        <v>10</v>
      </c>
      <c r="H251" s="10" t="s">
        <v>13</v>
      </c>
    </row>
    <row r="252" spans="1:14">
      <c r="B252" s="2" t="s">
        <v>14</v>
      </c>
      <c r="C252" s="2" t="s">
        <v>138</v>
      </c>
      <c r="D252" s="11">
        <f>(13.045*0.07)+13.045</f>
        <v>0</v>
      </c>
      <c r="E252" s="11">
        <f>(13.045*0.10)+13.045</f>
        <v>0</v>
      </c>
      <c r="F252" s="11">
        <f>(13.045*0.15)+13.045</f>
        <v>0</v>
      </c>
      <c r="G252" s="11">
        <f>(13.045*0.20)+13.045</f>
        <v>0</v>
      </c>
      <c r="H252" s="22">
        <v>-2.49</v>
      </c>
      <c r="L252" s="7" t="s">
        <v>24</v>
      </c>
      <c r="M252" s="13">
        <v>3.19</v>
      </c>
    </row>
    <row r="253" spans="1:14">
      <c r="B253" s="2" t="s">
        <v>16</v>
      </c>
      <c r="C253" s="2" t="s">
        <v>139</v>
      </c>
      <c r="D253" s="11">
        <f>(13.475*0.07)+13.475</f>
        <v>0</v>
      </c>
      <c r="E253" s="11">
        <f>(13.475*0.10)+13.475</f>
        <v>0</v>
      </c>
      <c r="F253" s="11">
        <f>(13.475*0.15)+13.475</f>
        <v>0</v>
      </c>
      <c r="G253" s="11">
        <f>(13.475*0.20)+13.475</f>
        <v>0</v>
      </c>
      <c r="H253" s="12">
        <v>0.73</v>
      </c>
    </row>
    <row r="254" spans="1:14">
      <c r="B254" s="2" t="s">
        <v>18</v>
      </c>
      <c r="C254" s="2" t="s">
        <v>140</v>
      </c>
      <c r="D254" s="11">
        <f>(13.425*0.07)+13.425</f>
        <v>0</v>
      </c>
      <c r="E254" s="11">
        <f>(13.425*0.10)+13.425</f>
        <v>0</v>
      </c>
      <c r="F254" s="11">
        <f>(13.425*0.15)+13.425</f>
        <v>0</v>
      </c>
      <c r="G254" s="11">
        <f>(13.425*0.20)+13.425</f>
        <v>0</v>
      </c>
      <c r="H254" s="12">
        <v>0.35</v>
      </c>
    </row>
    <row r="255" spans="1:14">
      <c r="B255" s="2" t="s">
        <v>4</v>
      </c>
      <c r="C255" s="2" t="s">
        <v>141</v>
      </c>
      <c r="D255" s="11">
        <f>(13.42*0.07)+13.42</f>
        <v>0</v>
      </c>
      <c r="E255" s="11">
        <f>(13.42*0.10)+13.42</f>
        <v>0</v>
      </c>
      <c r="F255" s="11">
        <f>(13.42*0.15)+13.42</f>
        <v>0</v>
      </c>
      <c r="G255" s="11">
        <f>(13.42*0.20)+13.42</f>
        <v>0</v>
      </c>
      <c r="H255" s="12">
        <v>0.31</v>
      </c>
      <c r="M255" s="14" t="s">
        <v>25</v>
      </c>
      <c r="N255" s="15">
        <v>1016.73</v>
      </c>
    </row>
    <row r="256" spans="1:14">
      <c r="B256" s="2" t="s">
        <v>4</v>
      </c>
      <c r="C256" s="2" t="s">
        <v>141</v>
      </c>
      <c r="D256" s="11">
        <f>(13.42*0.07)+13.42</f>
        <v>0</v>
      </c>
      <c r="E256" s="11">
        <f>(13.42*0.10)+13.42</f>
        <v>0</v>
      </c>
      <c r="F256" s="11">
        <f>(13.42*0.15)+13.42</f>
        <v>0</v>
      </c>
      <c r="G256" s="11">
        <f>(13.42*0.20)+13.42</f>
        <v>0</v>
      </c>
      <c r="H256" s="12">
        <v>0.31</v>
      </c>
      <c r="M256" s="16"/>
      <c r="N256" s="17"/>
    </row>
    <row r="257" spans="1:15">
      <c r="B257" s="2" t="s">
        <v>4</v>
      </c>
      <c r="C257" s="2" t="s">
        <v>141</v>
      </c>
      <c r="D257" s="11">
        <f>(13.42*0.07)+13.42</f>
        <v>0</v>
      </c>
      <c r="E257" s="11">
        <f>(13.42*0.10)+13.42</f>
        <v>0</v>
      </c>
      <c r="F257" s="11">
        <f>(13.42*0.15)+13.42</f>
        <v>0</v>
      </c>
      <c r="G257" s="11">
        <f>(13.42*0.20)+13.42</f>
        <v>0</v>
      </c>
      <c r="H257" s="12">
        <v>0.31</v>
      </c>
      <c r="M257" s="18" t="s">
        <v>26</v>
      </c>
      <c r="N257" s="19">
        <v>3.19</v>
      </c>
    </row>
    <row r="258" spans="1:15">
      <c r="B258" s="2" t="s">
        <v>4</v>
      </c>
      <c r="C258" s="2" t="s">
        <v>141</v>
      </c>
      <c r="D258" s="11">
        <f>(13.42*0.07)+13.42</f>
        <v>0</v>
      </c>
      <c r="E258" s="11">
        <f>(13.42*0.10)+13.42</f>
        <v>0</v>
      </c>
      <c r="F258" s="11">
        <f>(13.42*0.15)+13.42</f>
        <v>0</v>
      </c>
      <c r="G258" s="11">
        <f>(13.42*0.20)+13.42</f>
        <v>0</v>
      </c>
      <c r="H258" s="12">
        <v>0.31</v>
      </c>
    </row>
    <row r="261" spans="1: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</row>
    <row r="262" spans="1: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</row>
    <row r="265" spans="1:15">
      <c r="C265" s="1" t="s">
        <v>142</v>
      </c>
      <c r="D265" s="1" t="s">
        <v>143</v>
      </c>
    </row>
    <row r="266" spans="1:15">
      <c r="B266" s="2" t="s">
        <v>144</v>
      </c>
      <c r="C266" s="2" t="s">
        <v>32</v>
      </c>
      <c r="D266" s="3">
        <v>55.9</v>
      </c>
    </row>
    <row r="267" spans="1:15">
      <c r="B267" s="2" t="s">
        <v>144</v>
      </c>
      <c r="C267" s="2" t="s">
        <v>3</v>
      </c>
      <c r="D267" s="3">
        <v>63.54</v>
      </c>
      <c r="K267" s="4" t="s">
        <v>45</v>
      </c>
      <c r="L267" s="4"/>
      <c r="M267" s="4"/>
      <c r="N267" s="5" t="s">
        <v>13</v>
      </c>
      <c r="O267" s="5">
        <v>391.33</v>
      </c>
    </row>
    <row r="268" spans="1:15">
      <c r="B268" s="6" t="s">
        <v>145</v>
      </c>
      <c r="C268" s="2" t="s">
        <v>4</v>
      </c>
      <c r="D268" s="3">
        <v>119.44</v>
      </c>
    </row>
    <row r="269" spans="1:15">
      <c r="K269" s="7" t="s">
        <v>22</v>
      </c>
      <c r="L269" s="8">
        <v>182.39</v>
      </c>
      <c r="M269" s="8">
        <v>46.61</v>
      </c>
      <c r="N269" s="9" t="s">
        <v>23</v>
      </c>
    </row>
    <row r="270" spans="1:15">
      <c r="E270" s="3" t="s">
        <v>5</v>
      </c>
      <c r="F270" s="3">
        <v>59.72</v>
      </c>
    </row>
    <row r="271" spans="1:15">
      <c r="K271" s="4" t="s">
        <v>21</v>
      </c>
      <c r="L271" s="4"/>
      <c r="M271" s="4"/>
      <c r="N271" s="5" t="s">
        <v>37</v>
      </c>
      <c r="O271" s="5">
        <v>444.77</v>
      </c>
    </row>
    <row r="272" spans="1:15">
      <c r="C272" s="2" t="s">
        <v>6</v>
      </c>
      <c r="D272" s="2" t="s">
        <v>7</v>
      </c>
      <c r="E272" s="2" t="s">
        <v>8</v>
      </c>
      <c r="F272" s="2" t="s">
        <v>9</v>
      </c>
      <c r="G272" s="2" t="s">
        <v>10</v>
      </c>
      <c r="H272" s="10" t="s">
        <v>13</v>
      </c>
      <c r="I272" s="10" t="s">
        <v>37</v>
      </c>
    </row>
    <row r="273" spans="1:15">
      <c r="B273" s="2" t="s">
        <v>14</v>
      </c>
      <c r="C273" s="2" t="s">
        <v>146</v>
      </c>
      <c r="D273" s="11">
        <f>(82.17*0.07)+82.17</f>
        <v>0</v>
      </c>
      <c r="E273" s="11">
        <f>(82.17*0.10)+82.17</f>
        <v>0</v>
      </c>
      <c r="F273" s="11">
        <f>(82.17*0.15)+82.17</f>
        <v>0</v>
      </c>
      <c r="G273" s="11">
        <f>(82.17*0.20)+82.17</f>
        <v>0</v>
      </c>
      <c r="H273" s="12">
        <v>46.98</v>
      </c>
      <c r="I273" s="12">
        <v>29.32</v>
      </c>
      <c r="K273" s="7" t="s">
        <v>22</v>
      </c>
      <c r="L273" s="8">
        <v>128.95</v>
      </c>
      <c r="M273" s="8">
        <v>28.99</v>
      </c>
      <c r="N273" s="9" t="s">
        <v>23</v>
      </c>
    </row>
    <row r="274" spans="1:15">
      <c r="B274" s="2" t="s">
        <v>16</v>
      </c>
      <c r="C274" s="2" t="s">
        <v>147</v>
      </c>
      <c r="D274" s="11">
        <f>(81.88*0.07)+81.88</f>
        <v>0</v>
      </c>
      <c r="E274" s="11">
        <f>(81.88*0.10)+81.88</f>
        <v>0</v>
      </c>
      <c r="F274" s="11">
        <f>(81.88*0.15)+81.88</f>
        <v>0</v>
      </c>
      <c r="G274" s="11">
        <f>(81.88*0.20)+81.88</f>
        <v>0</v>
      </c>
      <c r="H274" s="12">
        <v>46.47</v>
      </c>
      <c r="I274" s="12">
        <v>28.87</v>
      </c>
    </row>
    <row r="275" spans="1:15">
      <c r="B275" s="2" t="s">
        <v>18</v>
      </c>
      <c r="C275" s="2" t="s">
        <v>148</v>
      </c>
      <c r="D275" s="11">
        <f>(81.57*0.07)+81.57</f>
        <v>0</v>
      </c>
      <c r="E275" s="11">
        <f>(81.57*0.10)+81.57</f>
        <v>0</v>
      </c>
      <c r="F275" s="11">
        <f>(81.57*0.15)+81.57</f>
        <v>0</v>
      </c>
      <c r="G275" s="11">
        <f>(81.57*0.20)+81.57</f>
        <v>0</v>
      </c>
      <c r="H275" s="12">
        <v>45.91</v>
      </c>
      <c r="I275" s="12">
        <v>28.38</v>
      </c>
    </row>
    <row r="276" spans="1:15">
      <c r="B276" s="2" t="s">
        <v>4</v>
      </c>
      <c r="C276" s="2" t="s">
        <v>149</v>
      </c>
      <c r="D276" s="11">
        <f>(81.96*0.07)+81.96</f>
        <v>0</v>
      </c>
      <c r="E276" s="11">
        <f>(81.96*0.10)+81.96</f>
        <v>0</v>
      </c>
      <c r="F276" s="11">
        <f>(81.96*0.15)+81.96</f>
        <v>0</v>
      </c>
      <c r="G276" s="11">
        <f>(81.96*0.20)+81.96</f>
        <v>0</v>
      </c>
      <c r="H276" s="12">
        <v>46.61</v>
      </c>
      <c r="I276" s="12">
        <v>28.99</v>
      </c>
    </row>
    <row r="277" spans="1:15">
      <c r="B277" s="2" t="s">
        <v>4</v>
      </c>
      <c r="C277" s="2" t="s">
        <v>149</v>
      </c>
      <c r="D277" s="11">
        <f>(81.96*0.07)+81.96</f>
        <v>0</v>
      </c>
      <c r="E277" s="11">
        <f>(81.96*0.10)+81.96</f>
        <v>0</v>
      </c>
      <c r="F277" s="11">
        <f>(81.96*0.15)+81.96</f>
        <v>0</v>
      </c>
      <c r="G277" s="11">
        <f>(81.96*0.20)+81.96</f>
        <v>0</v>
      </c>
      <c r="H277" s="12">
        <v>46.61</v>
      </c>
      <c r="I277" s="12">
        <v>28.99</v>
      </c>
      <c r="M277" s="7" t="s">
        <v>24</v>
      </c>
      <c r="N277" s="13">
        <v>311.34</v>
      </c>
    </row>
    <row r="278" spans="1:15">
      <c r="B278" s="2" t="s">
        <v>4</v>
      </c>
      <c r="C278" s="2" t="s">
        <v>149</v>
      </c>
      <c r="D278" s="11">
        <f>(81.96*0.07)+81.96</f>
        <v>0</v>
      </c>
      <c r="E278" s="11">
        <f>(81.96*0.10)+81.96</f>
        <v>0</v>
      </c>
      <c r="F278" s="11">
        <f>(81.96*0.15)+81.96</f>
        <v>0</v>
      </c>
      <c r="G278" s="11">
        <f>(81.96*0.20)+81.96</f>
        <v>0</v>
      </c>
      <c r="H278" s="12">
        <v>46.61</v>
      </c>
      <c r="I278" s="12">
        <v>28.99</v>
      </c>
    </row>
    <row r="279" spans="1:15">
      <c r="B279" s="2" t="s">
        <v>4</v>
      </c>
      <c r="C279" s="2" t="s">
        <v>149</v>
      </c>
      <c r="D279" s="11">
        <f>(81.96*0.07)+81.96</f>
        <v>0</v>
      </c>
      <c r="E279" s="11">
        <f>(81.96*0.10)+81.96</f>
        <v>0</v>
      </c>
      <c r="F279" s="11">
        <f>(81.96*0.15)+81.96</f>
        <v>0</v>
      </c>
      <c r="G279" s="11">
        <f>(81.96*0.20)+81.96</f>
        <v>0</v>
      </c>
      <c r="H279" s="12">
        <v>46.61</v>
      </c>
      <c r="I279" s="12">
        <v>28.99</v>
      </c>
    </row>
    <row r="280" spans="1:15">
      <c r="N280" s="14" t="s">
        <v>25</v>
      </c>
      <c r="O280" s="15">
        <v>836.1</v>
      </c>
    </row>
    <row r="281" spans="1:15">
      <c r="N281" s="16"/>
      <c r="O281" s="17"/>
    </row>
    <row r="282" spans="1:15">
      <c r="N282" s="18" t="s">
        <v>26</v>
      </c>
      <c r="O282" s="19">
        <v>311.34</v>
      </c>
    </row>
    <row r="284" spans="1: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8" spans="1:15">
      <c r="C288" s="1" t="s">
        <v>150</v>
      </c>
      <c r="D288" s="1" t="s">
        <v>151</v>
      </c>
    </row>
    <row r="289" spans="2:14">
      <c r="B289" s="2" t="s">
        <v>2</v>
      </c>
      <c r="C289" s="2" t="s">
        <v>152</v>
      </c>
      <c r="D289" s="3">
        <v>293.95</v>
      </c>
      <c r="J289" s="4" t="s">
        <v>158</v>
      </c>
      <c r="K289" s="4"/>
      <c r="L289" s="4"/>
      <c r="M289" s="5" t="s">
        <v>13</v>
      </c>
      <c r="N289" s="5">
        <v>1175.8</v>
      </c>
    </row>
    <row r="290" spans="2:14">
      <c r="B290" s="6" t="s">
        <v>2</v>
      </c>
      <c r="C290" s="2" t="s">
        <v>4</v>
      </c>
      <c r="D290" s="3">
        <v>293.95</v>
      </c>
    </row>
    <row r="291" spans="2:14">
      <c r="J291" s="7" t="s">
        <v>22</v>
      </c>
      <c r="K291" s="8">
        <v>41.68</v>
      </c>
      <c r="L291" s="8">
        <v>3.54</v>
      </c>
      <c r="M291" s="9" t="s">
        <v>23</v>
      </c>
    </row>
    <row r="292" spans="2:14">
      <c r="E292" s="3" t="s">
        <v>5</v>
      </c>
      <c r="F292" s="3">
        <v>293.95</v>
      </c>
    </row>
    <row r="294" spans="2:14">
      <c r="C294" s="2" t="s">
        <v>6</v>
      </c>
      <c r="D294" s="2" t="s">
        <v>7</v>
      </c>
      <c r="E294" s="2" t="s">
        <v>8</v>
      </c>
      <c r="F294" s="2" t="s">
        <v>9</v>
      </c>
      <c r="G294" s="2" t="s">
        <v>10</v>
      </c>
      <c r="H294" s="10" t="s">
        <v>13</v>
      </c>
    </row>
    <row r="295" spans="2:14">
      <c r="B295" s="2" t="s">
        <v>11</v>
      </c>
      <c r="C295" s="2" t="s">
        <v>153</v>
      </c>
      <c r="D295" s="11">
        <f>(306.18*0.07)+306.18</f>
        <v>0</v>
      </c>
      <c r="E295" s="11">
        <f>(306.18*0.10)+306.18</f>
        <v>0</v>
      </c>
      <c r="F295" s="11">
        <f>(306.18*0.15)+306.18</f>
        <v>0</v>
      </c>
      <c r="G295" s="11">
        <f>(306.18*0.20)+306.18</f>
        <v>0</v>
      </c>
      <c r="H295" s="12">
        <v>4.16</v>
      </c>
      <c r="L295" s="7" t="s">
        <v>24</v>
      </c>
      <c r="M295" s="13">
        <v>41.68</v>
      </c>
    </row>
    <row r="296" spans="2:14">
      <c r="B296" s="2" t="s">
        <v>14</v>
      </c>
      <c r="C296" s="2" t="s">
        <v>154</v>
      </c>
      <c r="D296" s="11">
        <f>(303.04*0.07)+303.04</f>
        <v>0</v>
      </c>
      <c r="E296" s="11">
        <f>(303.04*0.10)+303.04</f>
        <v>0</v>
      </c>
      <c r="F296" s="11">
        <f>(303.04*0.15)+303.04</f>
        <v>0</v>
      </c>
      <c r="G296" s="11">
        <f>(303.04*0.20)+303.04</f>
        <v>0</v>
      </c>
      <c r="H296" s="12">
        <v>3.09</v>
      </c>
    </row>
    <row r="297" spans="2:14">
      <c r="B297" s="2" t="s">
        <v>16</v>
      </c>
      <c r="C297" s="2" t="s">
        <v>155</v>
      </c>
      <c r="D297" s="11">
        <f>(309.65*0.07)+309.65</f>
        <v>0</v>
      </c>
      <c r="E297" s="11">
        <f>(309.65*0.10)+309.65</f>
        <v>0</v>
      </c>
      <c r="F297" s="11">
        <f>(309.65*0.15)+309.65</f>
        <v>0</v>
      </c>
      <c r="G297" s="11">
        <f>(309.65*0.20)+309.65</f>
        <v>0</v>
      </c>
      <c r="H297" s="12">
        <v>5.34</v>
      </c>
    </row>
    <row r="298" spans="2:14">
      <c r="B298" s="2" t="s">
        <v>18</v>
      </c>
      <c r="C298" s="2" t="s">
        <v>156</v>
      </c>
      <c r="D298" s="11">
        <f>(303.97*0.07)+303.97</f>
        <v>0</v>
      </c>
      <c r="E298" s="11">
        <f>(303.97*0.10)+303.97</f>
        <v>0</v>
      </c>
      <c r="F298" s="11">
        <f>(303.97*0.15)+303.97</f>
        <v>0</v>
      </c>
      <c r="G298" s="11">
        <f>(303.97*0.20)+303.97</f>
        <v>0</v>
      </c>
      <c r="H298" s="12">
        <v>3.41</v>
      </c>
      <c r="M298" s="14" t="s">
        <v>25</v>
      </c>
      <c r="N298" s="15">
        <v>1175.8</v>
      </c>
    </row>
    <row r="299" spans="2:14">
      <c r="B299" s="2" t="s">
        <v>4</v>
      </c>
      <c r="C299" s="2" t="s">
        <v>157</v>
      </c>
      <c r="D299" s="11">
        <f>(304.37*0.07)+304.37</f>
        <v>0</v>
      </c>
      <c r="E299" s="11">
        <f>(304.37*0.10)+304.37</f>
        <v>0</v>
      </c>
      <c r="F299" s="11">
        <f>(304.37*0.15)+304.37</f>
        <v>0</v>
      </c>
      <c r="G299" s="11">
        <f>(304.37*0.20)+304.37</f>
        <v>0</v>
      </c>
      <c r="H299" s="12">
        <v>3.54</v>
      </c>
      <c r="M299" s="16"/>
      <c r="N299" s="17"/>
    </row>
    <row r="300" spans="2:14">
      <c r="B300" s="2" t="s">
        <v>4</v>
      </c>
      <c r="C300" s="2" t="s">
        <v>157</v>
      </c>
      <c r="D300" s="11">
        <f>(304.37*0.07)+304.37</f>
        <v>0</v>
      </c>
      <c r="E300" s="11">
        <f>(304.37*0.10)+304.37</f>
        <v>0</v>
      </c>
      <c r="F300" s="11">
        <f>(304.37*0.15)+304.37</f>
        <v>0</v>
      </c>
      <c r="G300" s="11">
        <f>(304.37*0.20)+304.37</f>
        <v>0</v>
      </c>
      <c r="H300" s="12">
        <v>3.54</v>
      </c>
      <c r="M300" s="18" t="s">
        <v>26</v>
      </c>
      <c r="N300" s="19">
        <v>41.68</v>
      </c>
    </row>
    <row r="301" spans="2:14">
      <c r="B301" s="2" t="s">
        <v>4</v>
      </c>
      <c r="C301" s="2" t="s">
        <v>157</v>
      </c>
      <c r="D301" s="11">
        <f>(304.37*0.07)+304.37</f>
        <v>0</v>
      </c>
      <c r="E301" s="11">
        <f>(304.37*0.10)+304.37</f>
        <v>0</v>
      </c>
      <c r="F301" s="11">
        <f>(304.37*0.15)+304.37</f>
        <v>0</v>
      </c>
      <c r="G301" s="11">
        <f>(304.37*0.20)+304.37</f>
        <v>0</v>
      </c>
      <c r="H301" s="12">
        <v>3.54</v>
      </c>
    </row>
    <row r="302" spans="2:14">
      <c r="B302" s="2" t="s">
        <v>4</v>
      </c>
      <c r="C302" s="2" t="s">
        <v>157</v>
      </c>
      <c r="D302" s="11">
        <f>(304.37*0.07)+304.37</f>
        <v>0</v>
      </c>
      <c r="E302" s="11">
        <f>(304.37*0.10)+304.37</f>
        <v>0</v>
      </c>
      <c r="F302" s="11">
        <f>(304.37*0.15)+304.37</f>
        <v>0</v>
      </c>
      <c r="G302" s="11">
        <f>(304.37*0.20)+304.37</f>
        <v>0</v>
      </c>
      <c r="H302" s="12">
        <v>3.54</v>
      </c>
    </row>
    <row r="305" spans="1:17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</row>
    <row r="306" spans="1:17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</row>
    <row r="309" spans="1:17">
      <c r="C309" s="1" t="s">
        <v>159</v>
      </c>
      <c r="D309" s="1" t="s">
        <v>160</v>
      </c>
    </row>
    <row r="310" spans="1:17">
      <c r="B310" s="2" t="s">
        <v>2</v>
      </c>
      <c r="C310" s="2" t="s">
        <v>100</v>
      </c>
      <c r="D310" s="3">
        <v>117.81</v>
      </c>
    </row>
    <row r="311" spans="1:17">
      <c r="B311" s="2" t="s">
        <v>2</v>
      </c>
      <c r="C311" s="2" t="s">
        <v>32</v>
      </c>
      <c r="D311" s="3">
        <v>121.3</v>
      </c>
    </row>
    <row r="312" spans="1:17">
      <c r="B312" s="2" t="s">
        <v>63</v>
      </c>
      <c r="C312" s="2" t="s">
        <v>31</v>
      </c>
      <c r="D312" s="3">
        <v>137.63</v>
      </c>
    </row>
    <row r="313" spans="1:17">
      <c r="B313" s="2" t="s">
        <v>63</v>
      </c>
      <c r="C313" s="2" t="s">
        <v>112</v>
      </c>
      <c r="D313" s="3">
        <v>137.35</v>
      </c>
      <c r="M313" s="4" t="s">
        <v>108</v>
      </c>
      <c r="N313" s="4"/>
      <c r="O313" s="4"/>
      <c r="P313" s="5" t="s">
        <v>13</v>
      </c>
      <c r="Q313" s="5">
        <v>471.26</v>
      </c>
    </row>
    <row r="314" spans="1:17">
      <c r="B314" s="6" t="s">
        <v>145</v>
      </c>
      <c r="C314" s="2" t="s">
        <v>4</v>
      </c>
      <c r="D314" s="3">
        <v>514.09</v>
      </c>
    </row>
    <row r="315" spans="1:17">
      <c r="M315" s="7" t="s">
        <v>22</v>
      </c>
      <c r="N315" s="8">
        <v>99.3</v>
      </c>
      <c r="O315" s="8">
        <v>21.07</v>
      </c>
      <c r="P315" s="9" t="s">
        <v>23</v>
      </c>
    </row>
    <row r="316" spans="1:17">
      <c r="E316" s="3" t="s">
        <v>5</v>
      </c>
      <c r="F316" s="3">
        <v>127.24</v>
      </c>
    </row>
    <row r="317" spans="1:17">
      <c r="M317" s="4" t="s">
        <v>45</v>
      </c>
      <c r="N317" s="4"/>
      <c r="O317" s="4"/>
      <c r="P317" s="5" t="s">
        <v>37</v>
      </c>
      <c r="Q317" s="5">
        <v>485.21</v>
      </c>
    </row>
    <row r="318" spans="1:17">
      <c r="C318" s="2" t="s">
        <v>6</v>
      </c>
      <c r="D318" s="2" t="s">
        <v>7</v>
      </c>
      <c r="E318" s="2" t="s">
        <v>8</v>
      </c>
      <c r="F318" s="2" t="s">
        <v>9</v>
      </c>
      <c r="G318" s="2" t="s">
        <v>10</v>
      </c>
      <c r="H318" s="10" t="s">
        <v>13</v>
      </c>
      <c r="I318" s="10" t="s">
        <v>37</v>
      </c>
      <c r="J318" s="10" t="s">
        <v>38</v>
      </c>
      <c r="K318" s="10" t="s">
        <v>39</v>
      </c>
    </row>
    <row r="319" spans="1:17">
      <c r="B319" s="2" t="s">
        <v>11</v>
      </c>
      <c r="C319" s="2" t="s">
        <v>161</v>
      </c>
      <c r="D319" s="11">
        <f>(141.09*0.07)+141.09</f>
        <v>0</v>
      </c>
      <c r="E319" s="11">
        <f>(141.09*0.10)+141.09</f>
        <v>0</v>
      </c>
      <c r="F319" s="11">
        <f>(141.09*0.15)+141.09</f>
        <v>0</v>
      </c>
      <c r="G319" s="11">
        <f>(141.09*0.20)+141.09</f>
        <v>0</v>
      </c>
      <c r="H319" s="12">
        <v>19.76</v>
      </c>
      <c r="I319" s="12">
        <v>16.31</v>
      </c>
      <c r="J319" s="12">
        <v>2.52</v>
      </c>
      <c r="K319" s="12">
        <v>2.73</v>
      </c>
      <c r="M319" s="7" t="s">
        <v>22</v>
      </c>
      <c r="N319" s="8">
        <v>85.34999999999999</v>
      </c>
      <c r="O319" s="8">
        <v>17.59</v>
      </c>
      <c r="P319" s="9" t="s">
        <v>23</v>
      </c>
    </row>
    <row r="320" spans="1:17">
      <c r="B320" s="2" t="s">
        <v>14</v>
      </c>
      <c r="C320" s="2" t="s">
        <v>162</v>
      </c>
      <c r="D320" s="11">
        <f>(141.715*0.07)+141.715</f>
        <v>0</v>
      </c>
      <c r="E320" s="11">
        <f>(141.715*0.10)+141.715</f>
        <v>0</v>
      </c>
      <c r="F320" s="11">
        <f>(141.715*0.15)+141.715</f>
        <v>0</v>
      </c>
      <c r="G320" s="11">
        <f>(141.715*0.20)+141.715</f>
        <v>0</v>
      </c>
      <c r="H320" s="12">
        <v>20.29</v>
      </c>
      <c r="I320" s="12">
        <v>16.83</v>
      </c>
      <c r="J320" s="12">
        <v>2.97</v>
      </c>
      <c r="K320" s="12">
        <v>3.18</v>
      </c>
    </row>
    <row r="321" spans="2:17">
      <c r="B321" s="2" t="s">
        <v>16</v>
      </c>
      <c r="C321" s="2" t="s">
        <v>163</v>
      </c>
      <c r="D321" s="11">
        <f>(144.225*0.07)+144.225</f>
        <v>0</v>
      </c>
      <c r="E321" s="11">
        <f>(144.225*0.10)+144.225</f>
        <v>0</v>
      </c>
      <c r="F321" s="11">
        <f>(144.225*0.15)+144.225</f>
        <v>0</v>
      </c>
      <c r="G321" s="11">
        <f>(144.225*0.20)+144.225</f>
        <v>0</v>
      </c>
      <c r="H321" s="12">
        <v>22.42</v>
      </c>
      <c r="I321" s="12">
        <v>18.9</v>
      </c>
      <c r="J321" s="12">
        <v>4.79</v>
      </c>
      <c r="K321" s="12">
        <v>5.01</v>
      </c>
      <c r="M321" s="4" t="s">
        <v>44</v>
      </c>
      <c r="N321" s="4"/>
      <c r="O321" s="4"/>
      <c r="P321" s="5" t="s">
        <v>38</v>
      </c>
      <c r="Q321" s="5">
        <v>412.88</v>
      </c>
    </row>
    <row r="322" spans="2:17">
      <c r="B322" s="2" t="s">
        <v>18</v>
      </c>
      <c r="C322" s="2" t="s">
        <v>164</v>
      </c>
      <c r="D322" s="11">
        <f>(143.37*0.07)+143.37</f>
        <v>0</v>
      </c>
      <c r="E322" s="11">
        <f>(143.37*0.10)+143.37</f>
        <v>0</v>
      </c>
      <c r="F322" s="11">
        <f>(143.37*0.15)+143.37</f>
        <v>0</v>
      </c>
      <c r="G322" s="11">
        <f>(143.37*0.20)+143.37</f>
        <v>0</v>
      </c>
      <c r="H322" s="12">
        <v>21.69</v>
      </c>
      <c r="I322" s="12">
        <v>18.19</v>
      </c>
      <c r="J322" s="12">
        <v>4.17</v>
      </c>
      <c r="K322" s="12">
        <v>4.39</v>
      </c>
    </row>
    <row r="323" spans="2:17">
      <c r="B323" s="2" t="s">
        <v>4</v>
      </c>
      <c r="C323" s="2" t="s">
        <v>165</v>
      </c>
      <c r="D323" s="11">
        <f>(142.64*0.07)+142.64</f>
        <v>0</v>
      </c>
      <c r="E323" s="11">
        <f>(142.64*0.10)+142.64</f>
        <v>0</v>
      </c>
      <c r="F323" s="11">
        <f>(142.64*0.15)+142.64</f>
        <v>0</v>
      </c>
      <c r="G323" s="11">
        <f>(142.64*0.20)+142.64</f>
        <v>0</v>
      </c>
      <c r="H323" s="12">
        <v>21.07</v>
      </c>
      <c r="I323" s="12">
        <v>17.59</v>
      </c>
      <c r="J323" s="12">
        <v>3.64</v>
      </c>
      <c r="K323" s="12">
        <v>3.85</v>
      </c>
      <c r="M323" s="7" t="s">
        <v>22</v>
      </c>
      <c r="N323" s="8">
        <v>15.04</v>
      </c>
      <c r="O323" s="8">
        <v>3.64</v>
      </c>
      <c r="P323" s="9" t="s">
        <v>23</v>
      </c>
    </row>
    <row r="324" spans="2:17">
      <c r="B324" s="2" t="s">
        <v>4</v>
      </c>
      <c r="C324" s="2" t="s">
        <v>165</v>
      </c>
      <c r="D324" s="11">
        <f>(142.64*0.07)+142.64</f>
        <v>0</v>
      </c>
      <c r="E324" s="11">
        <f>(142.64*0.10)+142.64</f>
        <v>0</v>
      </c>
      <c r="F324" s="11">
        <f>(142.64*0.15)+142.64</f>
        <v>0</v>
      </c>
      <c r="G324" s="11">
        <f>(142.64*0.20)+142.64</f>
        <v>0</v>
      </c>
      <c r="H324" s="12">
        <v>21.07</v>
      </c>
      <c r="I324" s="12">
        <v>17.59</v>
      </c>
      <c r="J324" s="12">
        <v>3.64</v>
      </c>
      <c r="K324" s="12">
        <v>3.85</v>
      </c>
    </row>
    <row r="325" spans="2:17">
      <c r="B325" s="2" t="s">
        <v>4</v>
      </c>
      <c r="C325" s="2" t="s">
        <v>165</v>
      </c>
      <c r="D325" s="11">
        <f>(142.64*0.07)+142.64</f>
        <v>0</v>
      </c>
      <c r="E325" s="11">
        <f>(142.64*0.10)+142.64</f>
        <v>0</v>
      </c>
      <c r="F325" s="11">
        <f>(142.64*0.15)+142.64</f>
        <v>0</v>
      </c>
      <c r="G325" s="11">
        <f>(142.64*0.20)+142.64</f>
        <v>0</v>
      </c>
      <c r="H325" s="12">
        <v>21.07</v>
      </c>
      <c r="I325" s="12">
        <v>17.59</v>
      </c>
      <c r="J325" s="12">
        <v>3.64</v>
      </c>
      <c r="K325" s="12">
        <v>3.85</v>
      </c>
      <c r="M325" s="4" t="s">
        <v>118</v>
      </c>
      <c r="N325" s="4"/>
      <c r="O325" s="4"/>
      <c r="P325" s="5" t="s">
        <v>39</v>
      </c>
      <c r="Q325" s="5">
        <v>412.04</v>
      </c>
    </row>
    <row r="326" spans="2:17">
      <c r="B326" s="2" t="s">
        <v>4</v>
      </c>
      <c r="C326" s="2" t="s">
        <v>165</v>
      </c>
      <c r="D326" s="11">
        <f>(142.64*0.07)+142.64</f>
        <v>0</v>
      </c>
      <c r="E326" s="11">
        <f>(142.64*0.10)+142.64</f>
        <v>0</v>
      </c>
      <c r="F326" s="11">
        <f>(142.64*0.15)+142.64</f>
        <v>0</v>
      </c>
      <c r="G326" s="11">
        <f>(142.64*0.20)+142.64</f>
        <v>0</v>
      </c>
      <c r="H326" s="12">
        <v>21.07</v>
      </c>
      <c r="I326" s="12">
        <v>17.59</v>
      </c>
      <c r="J326" s="12">
        <v>3.64</v>
      </c>
      <c r="K326" s="12">
        <v>3.85</v>
      </c>
    </row>
    <row r="327" spans="2:17">
      <c r="M327" s="7" t="s">
        <v>22</v>
      </c>
      <c r="N327" s="8">
        <v>15.88</v>
      </c>
      <c r="O327" s="8">
        <v>3.85</v>
      </c>
      <c r="P327" s="9" t="s">
        <v>23</v>
      </c>
    </row>
    <row r="331" spans="2:17">
      <c r="O331" s="7" t="s">
        <v>24</v>
      </c>
      <c r="P331" s="13">
        <v>215.57</v>
      </c>
    </row>
    <row r="334" spans="2:17">
      <c r="P334" s="14" t="s">
        <v>25</v>
      </c>
      <c r="Q334" s="15">
        <v>1781.39</v>
      </c>
    </row>
    <row r="335" spans="2:17">
      <c r="P335" s="16"/>
      <c r="Q335" s="17"/>
    </row>
    <row r="336" spans="2:17">
      <c r="P336" s="18" t="s">
        <v>26</v>
      </c>
      <c r="Q336" s="19">
        <v>215.57</v>
      </c>
    </row>
    <row r="338" spans="1:17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2" spans="1:17">
      <c r="C342" s="1" t="s">
        <v>166</v>
      </c>
      <c r="D342" s="1" t="s">
        <v>167</v>
      </c>
    </row>
    <row r="343" spans="1:17">
      <c r="B343" s="2" t="s">
        <v>63</v>
      </c>
      <c r="C343" s="2" t="s">
        <v>100</v>
      </c>
      <c r="D343" s="3">
        <v>178.16</v>
      </c>
    </row>
    <row r="344" spans="1:17">
      <c r="B344" s="2" t="s">
        <v>63</v>
      </c>
      <c r="C344" s="2" t="s">
        <v>32</v>
      </c>
      <c r="D344" s="3">
        <v>176.09</v>
      </c>
      <c r="K344" s="4" t="s">
        <v>108</v>
      </c>
      <c r="L344" s="4"/>
      <c r="M344" s="4"/>
      <c r="N344" s="5" t="s">
        <v>13</v>
      </c>
      <c r="O344" s="5">
        <v>534.47</v>
      </c>
    </row>
    <row r="345" spans="1:17">
      <c r="B345" s="6" t="s">
        <v>168</v>
      </c>
      <c r="C345" s="2" t="s">
        <v>4</v>
      </c>
      <c r="D345" s="3">
        <v>354.25</v>
      </c>
    </row>
    <row r="346" spans="1:17">
      <c r="K346" s="7" t="s">
        <v>22</v>
      </c>
      <c r="L346" s="21">
        <v>-43.64</v>
      </c>
      <c r="M346" s="21">
        <v>-8.17</v>
      </c>
      <c r="N346" s="9" t="s">
        <v>23</v>
      </c>
    </row>
    <row r="347" spans="1:17">
      <c r="E347" s="3" t="s">
        <v>5</v>
      </c>
      <c r="F347" s="3">
        <v>177.12</v>
      </c>
    </row>
    <row r="348" spans="1:17">
      <c r="K348" s="4" t="s">
        <v>45</v>
      </c>
      <c r="L348" s="4"/>
      <c r="M348" s="4"/>
      <c r="N348" s="5" t="s">
        <v>37</v>
      </c>
      <c r="O348" s="5">
        <v>528.27</v>
      </c>
    </row>
    <row r="349" spans="1:17">
      <c r="C349" s="2" t="s">
        <v>6</v>
      </c>
      <c r="D349" s="2" t="s">
        <v>7</v>
      </c>
      <c r="E349" s="2" t="s">
        <v>8</v>
      </c>
      <c r="F349" s="2" t="s">
        <v>9</v>
      </c>
      <c r="G349" s="2" t="s">
        <v>10</v>
      </c>
      <c r="H349" s="10" t="s">
        <v>13</v>
      </c>
      <c r="I349" s="10" t="s">
        <v>37</v>
      </c>
    </row>
    <row r="350" spans="1:17">
      <c r="B350" s="2" t="s">
        <v>11</v>
      </c>
      <c r="C350" s="2" t="s">
        <v>169</v>
      </c>
      <c r="D350" s="11">
        <f>(164.61*0.07)+164.61</f>
        <v>0</v>
      </c>
      <c r="E350" s="11">
        <f>(164.61*0.10)+164.61</f>
        <v>0</v>
      </c>
      <c r="F350" s="11">
        <f>(164.61*0.15)+164.61</f>
        <v>0</v>
      </c>
      <c r="G350" s="11">
        <f>(164.61*0.20)+164.61</f>
        <v>0</v>
      </c>
      <c r="H350" s="22">
        <v>-7.6</v>
      </c>
      <c r="I350" s="22">
        <v>-6.52</v>
      </c>
      <c r="K350" s="7" t="s">
        <v>22</v>
      </c>
      <c r="L350" s="21">
        <v>-37.44</v>
      </c>
      <c r="M350" s="21">
        <v>-7.09</v>
      </c>
      <c r="N350" s="9" t="s">
        <v>23</v>
      </c>
    </row>
    <row r="351" spans="1:17">
      <c r="B351" s="2" t="s">
        <v>14</v>
      </c>
      <c r="C351" s="2" t="s">
        <v>170</v>
      </c>
      <c r="D351" s="11">
        <f>(163.355*0.07)+163.355</f>
        <v>0</v>
      </c>
      <c r="E351" s="11">
        <f>(163.355*0.10)+163.355</f>
        <v>0</v>
      </c>
      <c r="F351" s="11">
        <f>(163.355*0.15)+163.355</f>
        <v>0</v>
      </c>
      <c r="G351" s="11">
        <f>(163.355*0.20)+163.355</f>
        <v>0</v>
      </c>
      <c r="H351" s="22">
        <v>-8.31</v>
      </c>
      <c r="I351" s="22">
        <v>-7.23</v>
      </c>
    </row>
    <row r="352" spans="1:17">
      <c r="B352" s="2" t="s">
        <v>16</v>
      </c>
      <c r="C352" s="2" t="s">
        <v>171</v>
      </c>
      <c r="D352" s="11">
        <f>(162.78*0.07)+162.78</f>
        <v>0</v>
      </c>
      <c r="E352" s="11">
        <f>(162.78*0.10)+162.78</f>
        <v>0</v>
      </c>
      <c r="F352" s="11">
        <f>(162.78*0.15)+162.78</f>
        <v>0</v>
      </c>
      <c r="G352" s="11">
        <f>(162.78*0.20)+162.78</f>
        <v>0</v>
      </c>
      <c r="H352" s="22">
        <v>-8.630000000000001</v>
      </c>
      <c r="I352" s="22">
        <v>-7.56</v>
      </c>
    </row>
    <row r="353" spans="1:15">
      <c r="B353" s="2" t="s">
        <v>18</v>
      </c>
      <c r="C353" s="2" t="s">
        <v>172</v>
      </c>
      <c r="D353" s="11">
        <f>(163.72*0.07)+163.72</f>
        <v>0</v>
      </c>
      <c r="E353" s="11">
        <f>(163.72*0.10)+163.72</f>
        <v>0</v>
      </c>
      <c r="F353" s="11">
        <f>(163.72*0.15)+163.72</f>
        <v>0</v>
      </c>
      <c r="G353" s="11">
        <f>(163.72*0.20)+163.72</f>
        <v>0</v>
      </c>
      <c r="H353" s="22">
        <v>-8.1</v>
      </c>
      <c r="I353" s="22">
        <v>-7.02</v>
      </c>
    </row>
    <row r="354" spans="1:15">
      <c r="B354" s="2" t="s">
        <v>4</v>
      </c>
      <c r="C354" s="2" t="s">
        <v>173</v>
      </c>
      <c r="D354" s="11">
        <f>(163.61*0.07)+163.61</f>
        <v>0</v>
      </c>
      <c r="E354" s="11">
        <f>(163.61*0.10)+163.61</f>
        <v>0</v>
      </c>
      <c r="F354" s="11">
        <f>(163.61*0.15)+163.61</f>
        <v>0</v>
      </c>
      <c r="G354" s="11">
        <f>(163.61*0.20)+163.61</f>
        <v>0</v>
      </c>
      <c r="H354" s="22">
        <v>-8.17</v>
      </c>
      <c r="I354" s="22">
        <v>-7.09</v>
      </c>
      <c r="M354" s="7" t="s">
        <v>24</v>
      </c>
      <c r="N354" s="23">
        <v>-81.08</v>
      </c>
    </row>
    <row r="355" spans="1:15">
      <c r="B355" s="2" t="s">
        <v>4</v>
      </c>
      <c r="C355" s="2" t="s">
        <v>173</v>
      </c>
      <c r="D355" s="11">
        <f>(163.61*0.07)+163.61</f>
        <v>0</v>
      </c>
      <c r="E355" s="11">
        <f>(163.61*0.10)+163.61</f>
        <v>0</v>
      </c>
      <c r="F355" s="11">
        <f>(163.61*0.15)+163.61</f>
        <v>0</v>
      </c>
      <c r="G355" s="11">
        <f>(163.61*0.20)+163.61</f>
        <v>0</v>
      </c>
      <c r="H355" s="22">
        <v>-8.17</v>
      </c>
      <c r="I355" s="22">
        <v>-7.09</v>
      </c>
    </row>
    <row r="356" spans="1:15">
      <c r="B356" s="2" t="s">
        <v>4</v>
      </c>
      <c r="C356" s="2" t="s">
        <v>173</v>
      </c>
      <c r="D356" s="11">
        <f>(163.61*0.07)+163.61</f>
        <v>0</v>
      </c>
      <c r="E356" s="11">
        <f>(163.61*0.10)+163.61</f>
        <v>0</v>
      </c>
      <c r="F356" s="11">
        <f>(163.61*0.15)+163.61</f>
        <v>0</v>
      </c>
      <c r="G356" s="11">
        <f>(163.61*0.20)+163.61</f>
        <v>0</v>
      </c>
      <c r="H356" s="22">
        <v>-8.17</v>
      </c>
      <c r="I356" s="22">
        <v>-7.09</v>
      </c>
    </row>
    <row r="357" spans="1:15">
      <c r="B357" s="2" t="s">
        <v>4</v>
      </c>
      <c r="C357" s="2" t="s">
        <v>173</v>
      </c>
      <c r="D357" s="11">
        <f>(163.61*0.07)+163.61</f>
        <v>0</v>
      </c>
      <c r="E357" s="11">
        <f>(163.61*0.10)+163.61</f>
        <v>0</v>
      </c>
      <c r="F357" s="11">
        <f>(163.61*0.15)+163.61</f>
        <v>0</v>
      </c>
      <c r="G357" s="11">
        <f>(163.61*0.20)+163.61</f>
        <v>0</v>
      </c>
      <c r="H357" s="22">
        <v>-8.17</v>
      </c>
      <c r="I357" s="22">
        <v>-7.09</v>
      </c>
      <c r="N357" s="14" t="s">
        <v>25</v>
      </c>
      <c r="O357" s="15">
        <v>1062.74</v>
      </c>
    </row>
    <row r="358" spans="1:15">
      <c r="N358" s="16"/>
      <c r="O358" s="17"/>
    </row>
    <row r="359" spans="1:15">
      <c r="N359" s="18" t="s">
        <v>26</v>
      </c>
      <c r="O359" s="24">
        <v>-81.08</v>
      </c>
    </row>
    <row r="361" spans="1: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  <row r="362" spans="1:1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</row>
    <row r="365" spans="1:15">
      <c r="C365" s="1" t="s">
        <v>174</v>
      </c>
      <c r="D365" s="1" t="s">
        <v>175</v>
      </c>
    </row>
    <row r="366" spans="1:15">
      <c r="B366" s="2" t="s">
        <v>33</v>
      </c>
      <c r="C366" s="2" t="s">
        <v>176</v>
      </c>
      <c r="D366" s="3">
        <v>192.93</v>
      </c>
      <c r="J366" s="4" t="s">
        <v>182</v>
      </c>
      <c r="K366" s="4"/>
      <c r="L366" s="4"/>
      <c r="M366" s="5" t="s">
        <v>13</v>
      </c>
      <c r="N366" s="5">
        <v>964.65</v>
      </c>
    </row>
    <row r="367" spans="1:15">
      <c r="B367" s="6" t="s">
        <v>33</v>
      </c>
      <c r="C367" s="2" t="s">
        <v>4</v>
      </c>
      <c r="D367" s="3">
        <v>192.93</v>
      </c>
    </row>
    <row r="368" spans="1:15">
      <c r="J368" s="7" t="s">
        <v>22</v>
      </c>
      <c r="K368" s="21">
        <v>-47.5</v>
      </c>
      <c r="L368" s="21">
        <v>-4.92</v>
      </c>
      <c r="M368" s="9" t="s">
        <v>23</v>
      </c>
    </row>
    <row r="369" spans="1:14">
      <c r="E369" s="3" t="s">
        <v>5</v>
      </c>
      <c r="F369" s="3">
        <v>192.93</v>
      </c>
    </row>
    <row r="371" spans="1:14">
      <c r="C371" s="2" t="s">
        <v>6</v>
      </c>
      <c r="D371" s="2" t="s">
        <v>7</v>
      </c>
      <c r="E371" s="2" t="s">
        <v>8</v>
      </c>
      <c r="F371" s="2" t="s">
        <v>9</v>
      </c>
      <c r="G371" s="2" t="s">
        <v>10</v>
      </c>
      <c r="H371" s="10" t="s">
        <v>13</v>
      </c>
    </row>
    <row r="372" spans="1:14">
      <c r="B372" s="2" t="s">
        <v>11</v>
      </c>
      <c r="C372" s="2" t="s">
        <v>177</v>
      </c>
      <c r="D372" s="11">
        <f>(186.53*0.07)+186.53</f>
        <v>0</v>
      </c>
      <c r="E372" s="11">
        <f>(186.53*0.10)+186.53</f>
        <v>0</v>
      </c>
      <c r="F372" s="11">
        <f>(186.53*0.15)+186.53</f>
        <v>0</v>
      </c>
      <c r="G372" s="11">
        <f>(186.53*0.20)+186.53</f>
        <v>0</v>
      </c>
      <c r="H372" s="22">
        <v>-3.32</v>
      </c>
      <c r="L372" s="7" t="s">
        <v>24</v>
      </c>
      <c r="M372" s="23">
        <v>-47.5</v>
      </c>
    </row>
    <row r="373" spans="1:14">
      <c r="B373" s="2" t="s">
        <v>14</v>
      </c>
      <c r="C373" s="2" t="s">
        <v>178</v>
      </c>
      <c r="D373" s="11">
        <f>(185.99*0.07)+185.99</f>
        <v>0</v>
      </c>
      <c r="E373" s="11">
        <f>(185.99*0.10)+185.99</f>
        <v>0</v>
      </c>
      <c r="F373" s="11">
        <f>(185.99*0.15)+185.99</f>
        <v>0</v>
      </c>
      <c r="G373" s="11">
        <f>(185.99*0.20)+185.99</f>
        <v>0</v>
      </c>
      <c r="H373" s="22">
        <v>-3.6</v>
      </c>
    </row>
    <row r="374" spans="1:14">
      <c r="B374" s="2" t="s">
        <v>16</v>
      </c>
      <c r="C374" s="2" t="s">
        <v>179</v>
      </c>
      <c r="D374" s="11">
        <f>(193.52*0.07)+193.52</f>
        <v>0</v>
      </c>
      <c r="E374" s="11">
        <f>(193.52*0.10)+193.52</f>
        <v>0</v>
      </c>
      <c r="F374" s="11">
        <f>(193.52*0.15)+193.52</f>
        <v>0</v>
      </c>
      <c r="G374" s="11">
        <f>(193.52*0.20)+193.52</f>
        <v>0</v>
      </c>
      <c r="H374" s="12">
        <v>0.31</v>
      </c>
    </row>
    <row r="375" spans="1:14">
      <c r="B375" s="2" t="s">
        <v>18</v>
      </c>
      <c r="C375" s="2" t="s">
        <v>180</v>
      </c>
      <c r="D375" s="11">
        <f>(183.17*0.07)+183.17</f>
        <v>0</v>
      </c>
      <c r="E375" s="11">
        <f>(183.17*0.10)+183.17</f>
        <v>0</v>
      </c>
      <c r="F375" s="11">
        <f>(183.17*0.15)+183.17</f>
        <v>0</v>
      </c>
      <c r="G375" s="11">
        <f>(183.17*0.20)+183.17</f>
        <v>0</v>
      </c>
      <c r="H375" s="22">
        <v>-5.06</v>
      </c>
      <c r="M375" s="14" t="s">
        <v>25</v>
      </c>
      <c r="N375" s="15">
        <v>964.65</v>
      </c>
    </row>
    <row r="376" spans="1:14">
      <c r="B376" s="2" t="s">
        <v>4</v>
      </c>
      <c r="C376" s="2" t="s">
        <v>181</v>
      </c>
      <c r="D376" s="11">
        <f>(183.43*0.07)+183.43</f>
        <v>0</v>
      </c>
      <c r="E376" s="11">
        <f>(183.43*0.10)+183.43</f>
        <v>0</v>
      </c>
      <c r="F376" s="11">
        <f>(183.43*0.15)+183.43</f>
        <v>0</v>
      </c>
      <c r="G376" s="11">
        <f>(183.43*0.20)+183.43</f>
        <v>0</v>
      </c>
      <c r="H376" s="22">
        <v>-4.92</v>
      </c>
      <c r="M376" s="16"/>
      <c r="N376" s="17"/>
    </row>
    <row r="377" spans="1:14">
      <c r="B377" s="2" t="s">
        <v>4</v>
      </c>
      <c r="C377" s="2" t="s">
        <v>181</v>
      </c>
      <c r="D377" s="11">
        <f>(183.43*0.07)+183.43</f>
        <v>0</v>
      </c>
      <c r="E377" s="11">
        <f>(183.43*0.10)+183.43</f>
        <v>0</v>
      </c>
      <c r="F377" s="11">
        <f>(183.43*0.15)+183.43</f>
        <v>0</v>
      </c>
      <c r="G377" s="11">
        <f>(183.43*0.20)+183.43</f>
        <v>0</v>
      </c>
      <c r="H377" s="22">
        <v>-4.92</v>
      </c>
      <c r="M377" s="18" t="s">
        <v>26</v>
      </c>
      <c r="N377" s="24">
        <v>-47.5</v>
      </c>
    </row>
    <row r="378" spans="1:14">
      <c r="B378" s="2" t="s">
        <v>4</v>
      </c>
      <c r="C378" s="2" t="s">
        <v>181</v>
      </c>
      <c r="D378" s="11">
        <f>(183.43*0.07)+183.43</f>
        <v>0</v>
      </c>
      <c r="E378" s="11">
        <f>(183.43*0.10)+183.43</f>
        <v>0</v>
      </c>
      <c r="F378" s="11">
        <f>(183.43*0.15)+183.43</f>
        <v>0</v>
      </c>
      <c r="G378" s="11">
        <f>(183.43*0.20)+183.43</f>
        <v>0</v>
      </c>
      <c r="H378" s="22">
        <v>-4.92</v>
      </c>
    </row>
    <row r="379" spans="1:14">
      <c r="B379" s="2" t="s">
        <v>4</v>
      </c>
      <c r="C379" s="2" t="s">
        <v>181</v>
      </c>
      <c r="D379" s="11">
        <f>(183.43*0.07)+183.43</f>
        <v>0</v>
      </c>
      <c r="E379" s="11">
        <f>(183.43*0.10)+183.43</f>
        <v>0</v>
      </c>
      <c r="F379" s="11">
        <f>(183.43*0.15)+183.43</f>
        <v>0</v>
      </c>
      <c r="G379" s="11">
        <f>(183.43*0.20)+183.43</f>
        <v>0</v>
      </c>
      <c r="H379" s="22">
        <v>-4.92</v>
      </c>
    </row>
    <row r="382" spans="1:14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</row>
    <row r="383" spans="1:14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</row>
    <row r="386" spans="2:15">
      <c r="C386" s="1" t="s">
        <v>183</v>
      </c>
      <c r="D386" s="1" t="s">
        <v>184</v>
      </c>
    </row>
    <row r="387" spans="2:15">
      <c r="B387" s="2" t="s">
        <v>52</v>
      </c>
      <c r="C387" s="2" t="s">
        <v>31</v>
      </c>
      <c r="D387" s="3">
        <v>280.7</v>
      </c>
    </row>
    <row r="388" spans="2:15">
      <c r="B388" s="2" t="s">
        <v>2</v>
      </c>
      <c r="C388" s="2" t="s">
        <v>112</v>
      </c>
      <c r="D388" s="3">
        <v>275.49</v>
      </c>
      <c r="K388" s="4" t="s">
        <v>44</v>
      </c>
      <c r="L388" s="4"/>
      <c r="M388" s="4"/>
      <c r="N388" s="5" t="s">
        <v>13</v>
      </c>
      <c r="O388" s="5">
        <v>561.4</v>
      </c>
    </row>
    <row r="389" spans="2:15">
      <c r="B389" s="6" t="s">
        <v>168</v>
      </c>
      <c r="C389" s="2" t="s">
        <v>4</v>
      </c>
      <c r="D389" s="3">
        <v>556.1799999999999</v>
      </c>
    </row>
    <row r="390" spans="2:15">
      <c r="K390" s="7" t="s">
        <v>22</v>
      </c>
      <c r="L390" s="21">
        <v>-27.94</v>
      </c>
      <c r="M390" s="21">
        <v>-4.98</v>
      </c>
      <c r="N390" s="9" t="s">
        <v>23</v>
      </c>
    </row>
    <row r="391" spans="2:15">
      <c r="E391" s="3" t="s">
        <v>5</v>
      </c>
      <c r="F391" s="3">
        <v>277.22</v>
      </c>
    </row>
    <row r="392" spans="2:15">
      <c r="K392" s="4" t="s">
        <v>118</v>
      </c>
      <c r="L392" s="4"/>
      <c r="M392" s="4"/>
      <c r="N392" s="5" t="s">
        <v>37</v>
      </c>
      <c r="O392" s="5">
        <v>1101.94</v>
      </c>
    </row>
    <row r="393" spans="2:15">
      <c r="C393" s="2" t="s">
        <v>6</v>
      </c>
      <c r="D393" s="2" t="s">
        <v>7</v>
      </c>
      <c r="E393" s="2" t="s">
        <v>8</v>
      </c>
      <c r="F393" s="2" t="s">
        <v>9</v>
      </c>
      <c r="G393" s="2" t="s">
        <v>10</v>
      </c>
      <c r="H393" s="10" t="s">
        <v>13</v>
      </c>
      <c r="I393" s="10" t="s">
        <v>37</v>
      </c>
    </row>
    <row r="394" spans="2:15">
      <c r="B394" s="2" t="s">
        <v>14</v>
      </c>
      <c r="C394" s="2" t="s">
        <v>185</v>
      </c>
      <c r="D394" s="11">
        <f>(256.56*0.07)+256.56</f>
        <v>0</v>
      </c>
      <c r="E394" s="11">
        <f>(256.56*0.10)+256.56</f>
        <v>0</v>
      </c>
      <c r="F394" s="11">
        <f>(256.56*0.15)+256.56</f>
        <v>0</v>
      </c>
      <c r="G394" s="11">
        <f>(256.56*0.20)+256.56</f>
        <v>0</v>
      </c>
      <c r="H394" s="22">
        <v>-8.6</v>
      </c>
      <c r="I394" s="22">
        <v>-6.87</v>
      </c>
      <c r="K394" s="7" t="s">
        <v>22</v>
      </c>
      <c r="L394" s="21">
        <v>-35.02</v>
      </c>
      <c r="M394" s="21">
        <v>-3.18</v>
      </c>
      <c r="N394" s="9" t="s">
        <v>23</v>
      </c>
    </row>
    <row r="395" spans="2:15">
      <c r="B395" s="2" t="s">
        <v>16</v>
      </c>
      <c r="C395" s="2" t="s">
        <v>186</v>
      </c>
      <c r="D395" s="11">
        <f>(268.06*0.07)+268.06</f>
        <v>0</v>
      </c>
      <c r="E395" s="11">
        <f>(268.06*0.10)+268.06</f>
        <v>0</v>
      </c>
      <c r="F395" s="11">
        <f>(268.06*0.15)+268.06</f>
        <v>0</v>
      </c>
      <c r="G395" s="11">
        <f>(268.06*0.20)+268.06</f>
        <v>0</v>
      </c>
      <c r="H395" s="22">
        <v>-4.5</v>
      </c>
      <c r="I395" s="22">
        <v>-2.7</v>
      </c>
    </row>
    <row r="396" spans="2:15">
      <c r="B396" s="2" t="s">
        <v>18</v>
      </c>
      <c r="C396" s="2" t="s">
        <v>187</v>
      </c>
      <c r="D396" s="11">
        <f>(267.78*0.07)+267.78</f>
        <v>0</v>
      </c>
      <c r="E396" s="11">
        <f>(267.78*0.10)+267.78</f>
        <v>0</v>
      </c>
      <c r="F396" s="11">
        <f>(267.78*0.15)+267.78</f>
        <v>0</v>
      </c>
      <c r="G396" s="11">
        <f>(267.78*0.20)+267.78</f>
        <v>0</v>
      </c>
      <c r="H396" s="22">
        <v>-4.6</v>
      </c>
      <c r="I396" s="22">
        <v>-2.8</v>
      </c>
    </row>
    <row r="397" spans="2:15">
      <c r="B397" s="2" t="s">
        <v>4</v>
      </c>
      <c r="C397" s="2" t="s">
        <v>188</v>
      </c>
      <c r="D397" s="11">
        <f>(266.73*0.07)+266.73</f>
        <v>0</v>
      </c>
      <c r="E397" s="11">
        <f>(266.73*0.10)+266.73</f>
        <v>0</v>
      </c>
      <c r="F397" s="11">
        <f>(266.73*0.15)+266.73</f>
        <v>0</v>
      </c>
      <c r="G397" s="11">
        <f>(266.73*0.20)+266.73</f>
        <v>0</v>
      </c>
      <c r="H397" s="22">
        <v>-4.98</v>
      </c>
      <c r="I397" s="22">
        <v>-3.18</v>
      </c>
    </row>
    <row r="398" spans="2:15">
      <c r="B398" s="2" t="s">
        <v>4</v>
      </c>
      <c r="C398" s="2" t="s">
        <v>188</v>
      </c>
      <c r="D398" s="11">
        <f>(266.73*0.07)+266.73</f>
        <v>0</v>
      </c>
      <c r="E398" s="11">
        <f>(266.73*0.10)+266.73</f>
        <v>0</v>
      </c>
      <c r="F398" s="11">
        <f>(266.73*0.15)+266.73</f>
        <v>0</v>
      </c>
      <c r="G398" s="11">
        <f>(266.73*0.20)+266.73</f>
        <v>0</v>
      </c>
      <c r="H398" s="22">
        <v>-4.98</v>
      </c>
      <c r="I398" s="22">
        <v>-3.18</v>
      </c>
      <c r="M398" s="7" t="s">
        <v>24</v>
      </c>
      <c r="N398" s="23">
        <v>-62.96</v>
      </c>
    </row>
    <row r="399" spans="2:15">
      <c r="B399" s="2" t="s">
        <v>4</v>
      </c>
      <c r="C399" s="2" t="s">
        <v>188</v>
      </c>
      <c r="D399" s="11">
        <f>(266.73*0.07)+266.73</f>
        <v>0</v>
      </c>
      <c r="E399" s="11">
        <f>(266.73*0.10)+266.73</f>
        <v>0</v>
      </c>
      <c r="F399" s="11">
        <f>(266.73*0.15)+266.73</f>
        <v>0</v>
      </c>
      <c r="G399" s="11">
        <f>(266.73*0.20)+266.73</f>
        <v>0</v>
      </c>
      <c r="H399" s="22">
        <v>-4.98</v>
      </c>
      <c r="I399" s="22">
        <v>-3.18</v>
      </c>
    </row>
    <row r="400" spans="2:15">
      <c r="B400" s="2" t="s">
        <v>4</v>
      </c>
      <c r="C400" s="2" t="s">
        <v>188</v>
      </c>
      <c r="D400" s="11">
        <f>(266.73*0.07)+266.73</f>
        <v>0</v>
      </c>
      <c r="E400" s="11">
        <f>(266.73*0.10)+266.73</f>
        <v>0</v>
      </c>
      <c r="F400" s="11">
        <f>(266.73*0.15)+266.73</f>
        <v>0</v>
      </c>
      <c r="G400" s="11">
        <f>(266.73*0.20)+266.73</f>
        <v>0</v>
      </c>
      <c r="H400" s="22">
        <v>-4.98</v>
      </c>
      <c r="I400" s="22">
        <v>-3.18</v>
      </c>
    </row>
    <row r="401" spans="1:16">
      <c r="N401" s="14" t="s">
        <v>25</v>
      </c>
      <c r="O401" s="15">
        <v>1663.34</v>
      </c>
    </row>
    <row r="402" spans="1:16">
      <c r="N402" s="16"/>
      <c r="O402" s="17"/>
    </row>
    <row r="403" spans="1:16">
      <c r="N403" s="18" t="s">
        <v>26</v>
      </c>
      <c r="O403" s="24">
        <v>-62.96</v>
      </c>
    </row>
    <row r="405" spans="1:1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</row>
    <row r="406" spans="1:1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</row>
    <row r="409" spans="1:16">
      <c r="C409" s="1" t="s">
        <v>189</v>
      </c>
      <c r="D409" s="1" t="s">
        <v>190</v>
      </c>
    </row>
    <row r="410" spans="1:16">
      <c r="B410" s="2" t="s">
        <v>168</v>
      </c>
      <c r="C410" s="2" t="s">
        <v>191</v>
      </c>
      <c r="D410" s="3">
        <v>90.29000000000001</v>
      </c>
    </row>
    <row r="411" spans="1:16">
      <c r="B411" s="2" t="s">
        <v>168</v>
      </c>
      <c r="C411" s="2" t="s">
        <v>100</v>
      </c>
      <c r="D411" s="3">
        <v>76.75</v>
      </c>
    </row>
    <row r="412" spans="1:16">
      <c r="B412" s="2" t="s">
        <v>168</v>
      </c>
      <c r="C412" s="2" t="s">
        <v>32</v>
      </c>
      <c r="D412" s="3">
        <v>76.76000000000001</v>
      </c>
      <c r="L412" s="4" t="s">
        <v>198</v>
      </c>
      <c r="M412" s="4"/>
      <c r="N412" s="4"/>
      <c r="O412" s="5" t="s">
        <v>13</v>
      </c>
      <c r="P412" s="5">
        <v>541.76</v>
      </c>
    </row>
    <row r="413" spans="1:16">
      <c r="B413" s="6" t="s">
        <v>192</v>
      </c>
      <c r="C413" s="2" t="s">
        <v>4</v>
      </c>
      <c r="D413" s="3">
        <v>243.8</v>
      </c>
    </row>
    <row r="414" spans="1:16">
      <c r="L414" s="7" t="s">
        <v>22</v>
      </c>
      <c r="M414" s="8">
        <v>52</v>
      </c>
      <c r="N414" s="8">
        <v>9.6</v>
      </c>
      <c r="O414" s="9" t="s">
        <v>23</v>
      </c>
    </row>
    <row r="415" spans="1:16">
      <c r="E415" s="3" t="s">
        <v>5</v>
      </c>
      <c r="F415" s="3">
        <v>81.27</v>
      </c>
    </row>
    <row r="416" spans="1:16">
      <c r="L416" s="4" t="s">
        <v>108</v>
      </c>
      <c r="M416" s="4"/>
      <c r="N416" s="4"/>
      <c r="O416" s="5" t="s">
        <v>37</v>
      </c>
      <c r="P416" s="5">
        <v>460.49</v>
      </c>
    </row>
    <row r="417" spans="2:16">
      <c r="C417" s="2" t="s">
        <v>6</v>
      </c>
      <c r="D417" s="2" t="s">
        <v>7</v>
      </c>
      <c r="E417" s="2" t="s">
        <v>8</v>
      </c>
      <c r="F417" s="2" t="s">
        <v>9</v>
      </c>
      <c r="G417" s="2" t="s">
        <v>10</v>
      </c>
      <c r="H417" s="10" t="s">
        <v>13</v>
      </c>
      <c r="I417" s="10" t="s">
        <v>37</v>
      </c>
      <c r="J417" s="10" t="s">
        <v>38</v>
      </c>
    </row>
    <row r="418" spans="2:16">
      <c r="B418" s="2" t="s">
        <v>11</v>
      </c>
      <c r="C418" s="2" t="s">
        <v>193</v>
      </c>
      <c r="D418" s="11">
        <f>(99.43*0.07)+99.43</f>
        <v>0</v>
      </c>
      <c r="E418" s="11">
        <f>(99.43*0.10)+99.43</f>
        <v>0</v>
      </c>
      <c r="F418" s="11">
        <f>(99.43*0.15)+99.43</f>
        <v>0</v>
      </c>
      <c r="G418" s="11">
        <f>(99.43*0.20)+99.43</f>
        <v>0</v>
      </c>
      <c r="H418" s="12">
        <v>10.12</v>
      </c>
      <c r="I418" s="12">
        <v>29.55</v>
      </c>
      <c r="J418" s="12">
        <v>29.54</v>
      </c>
      <c r="L418" s="7" t="s">
        <v>22</v>
      </c>
      <c r="M418" s="8">
        <v>133.27</v>
      </c>
      <c r="N418" s="8">
        <v>28.94</v>
      </c>
      <c r="O418" s="9" t="s">
        <v>23</v>
      </c>
    </row>
    <row r="419" spans="2:16">
      <c r="B419" s="2" t="s">
        <v>14</v>
      </c>
      <c r="C419" s="2" t="s">
        <v>194</v>
      </c>
      <c r="D419" s="11">
        <f>(98.74*0.07)+98.74</f>
        <v>0</v>
      </c>
      <c r="E419" s="11">
        <f>(98.74*0.10)+98.74</f>
        <v>0</v>
      </c>
      <c r="F419" s="11">
        <f>(98.74*0.15)+98.74</f>
        <v>0</v>
      </c>
      <c r="G419" s="11">
        <f>(98.74*0.20)+98.74</f>
        <v>0</v>
      </c>
      <c r="H419" s="12">
        <v>9.359999999999999</v>
      </c>
      <c r="I419" s="12">
        <v>28.65</v>
      </c>
      <c r="J419" s="12">
        <v>28.64</v>
      </c>
    </row>
    <row r="420" spans="2:16">
      <c r="B420" s="2" t="s">
        <v>16</v>
      </c>
      <c r="C420" s="2" t="s">
        <v>195</v>
      </c>
      <c r="D420" s="11">
        <f>(99.775*0.07)+99.775</f>
        <v>0</v>
      </c>
      <c r="E420" s="11">
        <f>(99.775*0.10)+99.775</f>
        <v>0</v>
      </c>
      <c r="F420" s="11">
        <f>(99.775*0.15)+99.775</f>
        <v>0</v>
      </c>
      <c r="G420" s="11">
        <f>(99.775*0.20)+99.775</f>
        <v>0</v>
      </c>
      <c r="H420" s="12">
        <v>10.5</v>
      </c>
      <c r="I420" s="12">
        <v>30</v>
      </c>
      <c r="J420" s="12">
        <v>29.99</v>
      </c>
      <c r="L420" s="4" t="s">
        <v>45</v>
      </c>
      <c r="M420" s="4"/>
      <c r="N420" s="4"/>
      <c r="O420" s="5" t="s">
        <v>38</v>
      </c>
      <c r="P420" s="5">
        <v>460.55</v>
      </c>
    </row>
    <row r="421" spans="2:16">
      <c r="B421" s="2" t="s">
        <v>18</v>
      </c>
      <c r="C421" s="2" t="s">
        <v>196</v>
      </c>
      <c r="D421" s="11">
        <f>(99.34*0.07)+99.34</f>
        <v>0</v>
      </c>
      <c r="E421" s="11">
        <f>(99.34*0.10)+99.34</f>
        <v>0</v>
      </c>
      <c r="F421" s="11">
        <f>(99.34*0.15)+99.34</f>
        <v>0</v>
      </c>
      <c r="G421" s="11">
        <f>(99.34*0.20)+99.34</f>
        <v>0</v>
      </c>
      <c r="H421" s="12">
        <v>10.02</v>
      </c>
      <c r="I421" s="12">
        <v>29.44</v>
      </c>
      <c r="J421" s="12">
        <v>29.42</v>
      </c>
    </row>
    <row r="422" spans="2:16">
      <c r="B422" s="2" t="s">
        <v>4</v>
      </c>
      <c r="C422" s="2" t="s">
        <v>197</v>
      </c>
      <c r="D422" s="11">
        <f>(98.96*0.07)+98.96</f>
        <v>0</v>
      </c>
      <c r="E422" s="11">
        <f>(98.96*0.10)+98.96</f>
        <v>0</v>
      </c>
      <c r="F422" s="11">
        <f>(98.96*0.15)+98.96</f>
        <v>0</v>
      </c>
      <c r="G422" s="11">
        <f>(98.96*0.20)+98.96</f>
        <v>0</v>
      </c>
      <c r="H422" s="12">
        <v>9.6</v>
      </c>
      <c r="I422" s="12">
        <v>28.94</v>
      </c>
      <c r="J422" s="12">
        <v>28.92</v>
      </c>
      <c r="L422" s="7" t="s">
        <v>22</v>
      </c>
      <c r="M422" s="8">
        <v>133.21</v>
      </c>
      <c r="N422" s="8">
        <v>28.92</v>
      </c>
      <c r="O422" s="9" t="s">
        <v>23</v>
      </c>
    </row>
    <row r="423" spans="2:16">
      <c r="B423" s="2" t="s">
        <v>4</v>
      </c>
      <c r="C423" s="2" t="s">
        <v>197</v>
      </c>
      <c r="D423" s="11">
        <f>(98.96*0.07)+98.96</f>
        <v>0</v>
      </c>
      <c r="E423" s="11">
        <f>(98.96*0.10)+98.96</f>
        <v>0</v>
      </c>
      <c r="F423" s="11">
        <f>(98.96*0.15)+98.96</f>
        <v>0</v>
      </c>
      <c r="G423" s="11">
        <f>(98.96*0.20)+98.96</f>
        <v>0</v>
      </c>
      <c r="H423" s="12">
        <v>9.6</v>
      </c>
      <c r="I423" s="12">
        <v>28.94</v>
      </c>
      <c r="J423" s="12">
        <v>28.92</v>
      </c>
    </row>
    <row r="424" spans="2:16">
      <c r="B424" s="2" t="s">
        <v>4</v>
      </c>
      <c r="C424" s="2" t="s">
        <v>197</v>
      </c>
      <c r="D424" s="11">
        <f>(98.96*0.07)+98.96</f>
        <v>0</v>
      </c>
      <c r="E424" s="11">
        <f>(98.96*0.10)+98.96</f>
        <v>0</v>
      </c>
      <c r="F424" s="11">
        <f>(98.96*0.15)+98.96</f>
        <v>0</v>
      </c>
      <c r="G424" s="11">
        <f>(98.96*0.20)+98.96</f>
        <v>0</v>
      </c>
      <c r="H424" s="12">
        <v>9.6</v>
      </c>
      <c r="I424" s="12">
        <v>28.94</v>
      </c>
      <c r="J424" s="12">
        <v>28.92</v>
      </c>
    </row>
    <row r="425" spans="2:16">
      <c r="B425" s="2" t="s">
        <v>4</v>
      </c>
      <c r="C425" s="2" t="s">
        <v>197</v>
      </c>
      <c r="D425" s="11">
        <f>(98.96*0.07)+98.96</f>
        <v>0</v>
      </c>
      <c r="E425" s="11">
        <f>(98.96*0.10)+98.96</f>
        <v>0</v>
      </c>
      <c r="F425" s="11">
        <f>(98.96*0.15)+98.96</f>
        <v>0</v>
      </c>
      <c r="G425" s="11">
        <f>(98.96*0.20)+98.96</f>
        <v>0</v>
      </c>
      <c r="H425" s="12">
        <v>9.6</v>
      </c>
      <c r="I425" s="12">
        <v>28.94</v>
      </c>
      <c r="J425" s="12">
        <v>28.92</v>
      </c>
    </row>
    <row r="426" spans="2:16">
      <c r="N426" s="7" t="s">
        <v>24</v>
      </c>
      <c r="O426" s="13">
        <v>318.49</v>
      </c>
    </row>
    <row r="429" spans="2:16">
      <c r="O429" s="14" t="s">
        <v>25</v>
      </c>
      <c r="P429" s="15">
        <v>1462.79</v>
      </c>
    </row>
    <row r="430" spans="2:16">
      <c r="O430" s="16"/>
      <c r="P430" s="17"/>
    </row>
    <row r="431" spans="2:16">
      <c r="O431" s="18" t="s">
        <v>26</v>
      </c>
      <c r="P431" s="19">
        <v>318.49</v>
      </c>
    </row>
    <row r="433" spans="1:1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7" spans="1:16">
      <c r="C437" s="1" t="s">
        <v>199</v>
      </c>
      <c r="D437" s="1" t="s">
        <v>200</v>
      </c>
    </row>
    <row r="438" spans="1:16">
      <c r="B438" s="2" t="s">
        <v>61</v>
      </c>
      <c r="C438" s="2" t="s">
        <v>201</v>
      </c>
      <c r="D438" s="3">
        <v>76.25</v>
      </c>
    </row>
    <row r="439" spans="1:16">
      <c r="B439" s="2" t="s">
        <v>144</v>
      </c>
      <c r="C439" s="2" t="s">
        <v>112</v>
      </c>
      <c r="D439" s="3">
        <v>87.22</v>
      </c>
      <c r="K439" s="4" t="s">
        <v>208</v>
      </c>
      <c r="L439" s="4"/>
      <c r="M439" s="4"/>
      <c r="N439" s="5" t="s">
        <v>13</v>
      </c>
      <c r="O439" s="5">
        <v>762.54</v>
      </c>
    </row>
    <row r="440" spans="1:16">
      <c r="B440" s="6" t="s">
        <v>202</v>
      </c>
      <c r="C440" s="2" t="s">
        <v>4</v>
      </c>
      <c r="D440" s="3">
        <v>163.47</v>
      </c>
    </row>
    <row r="441" spans="1:16">
      <c r="K441" s="7" t="s">
        <v>22</v>
      </c>
      <c r="L441" s="8">
        <v>34.66</v>
      </c>
      <c r="M441" s="8">
        <v>4.55</v>
      </c>
      <c r="N441" s="9" t="s">
        <v>23</v>
      </c>
    </row>
    <row r="442" spans="1:16">
      <c r="E442" s="3" t="s">
        <v>5</v>
      </c>
      <c r="F442" s="3">
        <v>80.77</v>
      </c>
    </row>
    <row r="443" spans="1:16">
      <c r="K443" s="4" t="s">
        <v>118</v>
      </c>
      <c r="L443" s="4"/>
      <c r="M443" s="4"/>
      <c r="N443" s="5" t="s">
        <v>37</v>
      </c>
      <c r="O443" s="5">
        <v>610.54</v>
      </c>
    </row>
    <row r="444" spans="1:16">
      <c r="C444" s="2" t="s">
        <v>6</v>
      </c>
      <c r="D444" s="2" t="s">
        <v>7</v>
      </c>
      <c r="E444" s="2" t="s">
        <v>8</v>
      </c>
      <c r="F444" s="2" t="s">
        <v>9</v>
      </c>
      <c r="G444" s="2" t="s">
        <v>10</v>
      </c>
      <c r="H444" s="10" t="s">
        <v>13</v>
      </c>
      <c r="I444" s="10" t="s">
        <v>37</v>
      </c>
    </row>
    <row r="445" spans="1:16">
      <c r="B445" s="2" t="s">
        <v>11</v>
      </c>
      <c r="C445" s="2" t="s">
        <v>203</v>
      </c>
      <c r="D445" s="11">
        <f>(85.52*0.07)+85.52</f>
        <v>0</v>
      </c>
      <c r="E445" s="11">
        <f>(85.52*0.10)+85.52</f>
        <v>0</v>
      </c>
      <c r="F445" s="11">
        <f>(85.52*0.15)+85.52</f>
        <v>0</v>
      </c>
      <c r="G445" s="11">
        <f>(85.52*0.20)+85.52</f>
        <v>0</v>
      </c>
      <c r="H445" s="12">
        <v>12.15</v>
      </c>
      <c r="I445" s="22">
        <v>-1.95</v>
      </c>
      <c r="K445" s="7" t="s">
        <v>22</v>
      </c>
      <c r="L445" s="21">
        <v>-52.5</v>
      </c>
      <c r="M445" s="21">
        <v>-8.6</v>
      </c>
      <c r="N445" s="9" t="s">
        <v>23</v>
      </c>
    </row>
    <row r="446" spans="1:16">
      <c r="B446" s="2" t="s">
        <v>14</v>
      </c>
      <c r="C446" s="2" t="s">
        <v>204</v>
      </c>
      <c r="D446" s="11">
        <f>(82.395*0.07)+82.395</f>
        <v>0</v>
      </c>
      <c r="E446" s="11">
        <f>(82.395*0.10)+82.395</f>
        <v>0</v>
      </c>
      <c r="F446" s="11">
        <f>(82.395*0.15)+82.395</f>
        <v>0</v>
      </c>
      <c r="G446" s="11">
        <f>(82.395*0.20)+82.395</f>
        <v>0</v>
      </c>
      <c r="H446" s="12">
        <v>8.050000000000001</v>
      </c>
      <c r="I446" s="22">
        <v>-5.53</v>
      </c>
    </row>
    <row r="447" spans="1:16">
      <c r="B447" s="2" t="s">
        <v>16</v>
      </c>
      <c r="C447" s="2" t="s">
        <v>205</v>
      </c>
      <c r="D447" s="11">
        <f>(83.27*0.07)+83.27</f>
        <v>0</v>
      </c>
      <c r="E447" s="11">
        <f>(83.27*0.10)+83.27</f>
        <v>0</v>
      </c>
      <c r="F447" s="11">
        <f>(83.27*0.15)+83.27</f>
        <v>0</v>
      </c>
      <c r="G447" s="11">
        <f>(83.27*0.20)+83.27</f>
        <v>0</v>
      </c>
      <c r="H447" s="12">
        <v>9.199999999999999</v>
      </c>
      <c r="I447" s="22">
        <v>-4.53</v>
      </c>
    </row>
    <row r="448" spans="1:16">
      <c r="B448" s="2" t="s">
        <v>18</v>
      </c>
      <c r="C448" s="2" t="s">
        <v>206</v>
      </c>
      <c r="D448" s="11">
        <f>(80.145*0.07)+80.145</f>
        <v>0</v>
      </c>
      <c r="E448" s="11">
        <f>(80.145*0.10)+80.145</f>
        <v>0</v>
      </c>
      <c r="F448" s="11">
        <f>(80.145*0.15)+80.145</f>
        <v>0</v>
      </c>
      <c r="G448" s="11">
        <f>(80.145*0.20)+80.145</f>
        <v>0</v>
      </c>
      <c r="H448" s="12">
        <v>5.1</v>
      </c>
      <c r="I448" s="22">
        <v>-8.109999999999999</v>
      </c>
    </row>
    <row r="449" spans="1:15">
      <c r="B449" s="2" t="s">
        <v>4</v>
      </c>
      <c r="C449" s="2" t="s">
        <v>207</v>
      </c>
      <c r="D449" s="11">
        <f>(79.72*0.07)+79.72</f>
        <v>0</v>
      </c>
      <c r="E449" s="11">
        <f>(79.72*0.10)+79.72</f>
        <v>0</v>
      </c>
      <c r="F449" s="11">
        <f>(79.72*0.15)+79.72</f>
        <v>0</v>
      </c>
      <c r="G449" s="11">
        <f>(79.72*0.20)+79.72</f>
        <v>0</v>
      </c>
      <c r="H449" s="12">
        <v>4.55</v>
      </c>
      <c r="I449" s="22">
        <v>-8.6</v>
      </c>
      <c r="M449" s="7" t="s">
        <v>24</v>
      </c>
      <c r="N449" s="23">
        <v>-17.84</v>
      </c>
    </row>
    <row r="450" spans="1:15">
      <c r="B450" s="2" t="s">
        <v>4</v>
      </c>
      <c r="C450" s="2" t="s">
        <v>207</v>
      </c>
      <c r="D450" s="11">
        <f>(79.72*0.07)+79.72</f>
        <v>0</v>
      </c>
      <c r="E450" s="11">
        <f>(79.72*0.10)+79.72</f>
        <v>0</v>
      </c>
      <c r="F450" s="11">
        <f>(79.72*0.15)+79.72</f>
        <v>0</v>
      </c>
      <c r="G450" s="11">
        <f>(79.72*0.20)+79.72</f>
        <v>0</v>
      </c>
      <c r="H450" s="12">
        <v>4.55</v>
      </c>
      <c r="I450" s="22">
        <v>-8.6</v>
      </c>
    </row>
    <row r="451" spans="1:15">
      <c r="B451" s="2" t="s">
        <v>4</v>
      </c>
      <c r="C451" s="2" t="s">
        <v>207</v>
      </c>
      <c r="D451" s="11">
        <f>(79.72*0.07)+79.72</f>
        <v>0</v>
      </c>
      <c r="E451" s="11">
        <f>(79.72*0.10)+79.72</f>
        <v>0</v>
      </c>
      <c r="F451" s="11">
        <f>(79.72*0.15)+79.72</f>
        <v>0</v>
      </c>
      <c r="G451" s="11">
        <f>(79.72*0.20)+79.72</f>
        <v>0</v>
      </c>
      <c r="H451" s="12">
        <v>4.55</v>
      </c>
      <c r="I451" s="22">
        <v>-8.6</v>
      </c>
    </row>
    <row r="452" spans="1:15">
      <c r="B452" s="2" t="s">
        <v>4</v>
      </c>
      <c r="C452" s="2" t="s">
        <v>207</v>
      </c>
      <c r="D452" s="11">
        <f>(79.72*0.07)+79.72</f>
        <v>0</v>
      </c>
      <c r="E452" s="11">
        <f>(79.72*0.10)+79.72</f>
        <v>0</v>
      </c>
      <c r="F452" s="11">
        <f>(79.72*0.15)+79.72</f>
        <v>0</v>
      </c>
      <c r="G452" s="11">
        <f>(79.72*0.20)+79.72</f>
        <v>0</v>
      </c>
      <c r="H452" s="12">
        <v>4.55</v>
      </c>
      <c r="I452" s="22">
        <v>-8.6</v>
      </c>
      <c r="N452" s="14" t="s">
        <v>25</v>
      </c>
      <c r="O452" s="15">
        <v>1373.08</v>
      </c>
    </row>
    <row r="453" spans="1:15">
      <c r="N453" s="16"/>
      <c r="O453" s="17"/>
    </row>
    <row r="454" spans="1:15">
      <c r="N454" s="18" t="s">
        <v>26</v>
      </c>
      <c r="O454" s="24">
        <v>-17.84</v>
      </c>
    </row>
    <row r="456" spans="1:1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</row>
    <row r="457" spans="1:1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</row>
    <row r="460" spans="1:15">
      <c r="C460" s="1" t="s">
        <v>209</v>
      </c>
      <c r="D460" s="1" t="s">
        <v>210</v>
      </c>
    </row>
    <row r="461" spans="1:15">
      <c r="B461" s="2" t="s">
        <v>49</v>
      </c>
      <c r="C461" s="2" t="s">
        <v>121</v>
      </c>
      <c r="D461" s="3">
        <v>100</v>
      </c>
    </row>
    <row r="462" spans="1:15">
      <c r="B462" s="2" t="s">
        <v>52</v>
      </c>
      <c r="C462" s="2" t="s">
        <v>32</v>
      </c>
      <c r="D462" s="3">
        <v>377.85</v>
      </c>
      <c r="K462" s="4" t="s">
        <v>217</v>
      </c>
      <c r="L462" s="4"/>
      <c r="M462" s="4"/>
      <c r="N462" s="5" t="s">
        <v>13</v>
      </c>
      <c r="O462" s="5">
        <v>100</v>
      </c>
    </row>
    <row r="463" spans="1:15">
      <c r="B463" s="6" t="s">
        <v>63</v>
      </c>
      <c r="C463" s="2" t="s">
        <v>4</v>
      </c>
      <c r="D463" s="3">
        <v>477.85</v>
      </c>
    </row>
    <row r="464" spans="1:15">
      <c r="K464" s="7" t="s">
        <v>22</v>
      </c>
      <c r="L464" s="8">
        <v>310.65</v>
      </c>
      <c r="M464" s="8">
        <v>310.65</v>
      </c>
      <c r="N464" s="9" t="s">
        <v>23</v>
      </c>
    </row>
    <row r="465" spans="1:15">
      <c r="E465" s="3" t="s">
        <v>5</v>
      </c>
      <c r="F465" s="3">
        <v>285.23</v>
      </c>
    </row>
    <row r="466" spans="1:15">
      <c r="K466" s="4" t="s">
        <v>45</v>
      </c>
      <c r="L466" s="4"/>
      <c r="M466" s="4"/>
      <c r="N466" s="5" t="s">
        <v>37</v>
      </c>
      <c r="O466" s="5">
        <v>755.7</v>
      </c>
    </row>
    <row r="467" spans="1:15">
      <c r="C467" s="2" t="s">
        <v>6</v>
      </c>
      <c r="D467" s="2" t="s">
        <v>7</v>
      </c>
      <c r="E467" s="2" t="s">
        <v>8</v>
      </c>
      <c r="F467" s="2" t="s">
        <v>9</v>
      </c>
      <c r="G467" s="2" t="s">
        <v>10</v>
      </c>
      <c r="H467" s="10" t="s">
        <v>13</v>
      </c>
      <c r="I467" s="10" t="s">
        <v>37</v>
      </c>
    </row>
    <row r="468" spans="1:15">
      <c r="B468" s="2" t="s">
        <v>121</v>
      </c>
      <c r="C468" s="2" t="s">
        <v>211</v>
      </c>
      <c r="D468" s="11">
        <f>(400.28*0.07)+400.28</f>
        <v>0</v>
      </c>
      <c r="E468" s="11">
        <f>(400.28*0.10)+400.28</f>
        <v>0</v>
      </c>
      <c r="F468" s="11">
        <f>(400.28*0.15)+400.28</f>
        <v>0</v>
      </c>
      <c r="G468" s="11">
        <f>(400.28*0.20)+400.28</f>
        <v>0</v>
      </c>
      <c r="H468" s="12">
        <v>300.28</v>
      </c>
      <c r="I468" s="12">
        <v>5.94</v>
      </c>
      <c r="K468" s="7" t="s">
        <v>22</v>
      </c>
      <c r="L468" s="8">
        <v>65.59999999999999</v>
      </c>
      <c r="M468" s="8">
        <v>8.68</v>
      </c>
      <c r="N468" s="9" t="s">
        <v>23</v>
      </c>
    </row>
    <row r="469" spans="1:15">
      <c r="B469" s="2" t="s">
        <v>11</v>
      </c>
      <c r="C469" s="2" t="s">
        <v>212</v>
      </c>
      <c r="D469" s="11">
        <f>(412.35*0.07)+412.35</f>
        <v>0</v>
      </c>
      <c r="E469" s="11">
        <f>(412.35*0.10)+412.35</f>
        <v>0</v>
      </c>
      <c r="F469" s="11">
        <f>(412.35*0.15)+412.35</f>
        <v>0</v>
      </c>
      <c r="G469" s="11">
        <f>(412.35*0.20)+412.35</f>
        <v>0</v>
      </c>
      <c r="H469" s="12">
        <v>312.35</v>
      </c>
      <c r="I469" s="12">
        <v>9.130000000000001</v>
      </c>
    </row>
    <row r="470" spans="1:15">
      <c r="B470" s="2" t="s">
        <v>14</v>
      </c>
      <c r="C470" s="2" t="s">
        <v>213</v>
      </c>
      <c r="D470" s="11">
        <f>(409.25*0.07)+409.25</f>
        <v>0</v>
      </c>
      <c r="E470" s="11">
        <f>(409.25*0.10)+409.25</f>
        <v>0</v>
      </c>
      <c r="F470" s="11">
        <f>(409.25*0.15)+409.25</f>
        <v>0</v>
      </c>
      <c r="G470" s="11">
        <f>(409.25*0.20)+409.25</f>
        <v>0</v>
      </c>
      <c r="H470" s="12">
        <v>309.25</v>
      </c>
      <c r="I470" s="12">
        <v>8.31</v>
      </c>
    </row>
    <row r="471" spans="1:15">
      <c r="B471" s="2" t="s">
        <v>16</v>
      </c>
      <c r="C471" s="2" t="s">
        <v>214</v>
      </c>
      <c r="D471" s="11">
        <f>(414.75*0.07)+414.75</f>
        <v>0</v>
      </c>
      <c r="E471" s="11">
        <f>(414.75*0.10)+414.75</f>
        <v>0</v>
      </c>
      <c r="F471" s="11">
        <f>(414.75*0.15)+414.75</f>
        <v>0</v>
      </c>
      <c r="G471" s="11">
        <f>(414.75*0.20)+414.75</f>
        <v>0</v>
      </c>
      <c r="H471" s="12">
        <v>314.75</v>
      </c>
      <c r="I471" s="12">
        <v>9.77</v>
      </c>
    </row>
    <row r="472" spans="1:15">
      <c r="B472" s="2" t="s">
        <v>18</v>
      </c>
      <c r="C472" s="2" t="s">
        <v>215</v>
      </c>
      <c r="D472" s="11">
        <f>(410.59*0.07)+410.59</f>
        <v>0</v>
      </c>
      <c r="E472" s="11">
        <f>(410.59*0.10)+410.59</f>
        <v>0</v>
      </c>
      <c r="F472" s="11">
        <f>(410.59*0.15)+410.59</f>
        <v>0</v>
      </c>
      <c r="G472" s="11">
        <f>(410.59*0.20)+410.59</f>
        <v>0</v>
      </c>
      <c r="H472" s="12">
        <v>310.59</v>
      </c>
      <c r="I472" s="12">
        <v>8.66</v>
      </c>
      <c r="M472" s="7" t="s">
        <v>24</v>
      </c>
      <c r="N472" s="13">
        <v>376.25</v>
      </c>
    </row>
    <row r="473" spans="1:15">
      <c r="B473" s="2" t="s">
        <v>4</v>
      </c>
      <c r="C473" s="2" t="s">
        <v>216</v>
      </c>
      <c r="D473" s="11">
        <f>(410.65*0.07)+410.65</f>
        <v>0</v>
      </c>
      <c r="E473" s="11">
        <f>(410.65*0.10)+410.65</f>
        <v>0</v>
      </c>
      <c r="F473" s="11">
        <f>(410.65*0.15)+410.65</f>
        <v>0</v>
      </c>
      <c r="G473" s="11">
        <f>(410.65*0.20)+410.65</f>
        <v>0</v>
      </c>
      <c r="H473" s="12">
        <v>310.65</v>
      </c>
      <c r="I473" s="12">
        <v>8.68</v>
      </c>
    </row>
    <row r="474" spans="1:15">
      <c r="B474" s="2" t="s">
        <v>4</v>
      </c>
      <c r="C474" s="2" t="s">
        <v>216</v>
      </c>
      <c r="D474" s="11">
        <f>(410.65*0.07)+410.65</f>
        <v>0</v>
      </c>
      <c r="E474" s="11">
        <f>(410.65*0.10)+410.65</f>
        <v>0</v>
      </c>
      <c r="F474" s="11">
        <f>(410.65*0.15)+410.65</f>
        <v>0</v>
      </c>
      <c r="G474" s="11">
        <f>(410.65*0.20)+410.65</f>
        <v>0</v>
      </c>
      <c r="H474" s="12">
        <v>310.65</v>
      </c>
      <c r="I474" s="12">
        <v>8.68</v>
      </c>
    </row>
    <row r="475" spans="1:15">
      <c r="B475" s="2" t="s">
        <v>4</v>
      </c>
      <c r="C475" s="2" t="s">
        <v>216</v>
      </c>
      <c r="D475" s="11">
        <f>(410.65*0.07)+410.65</f>
        <v>0</v>
      </c>
      <c r="E475" s="11">
        <f>(410.65*0.10)+410.65</f>
        <v>0</v>
      </c>
      <c r="F475" s="11">
        <f>(410.65*0.15)+410.65</f>
        <v>0</v>
      </c>
      <c r="G475" s="11">
        <f>(410.65*0.20)+410.65</f>
        <v>0</v>
      </c>
      <c r="H475" s="12">
        <v>310.65</v>
      </c>
      <c r="I475" s="12">
        <v>8.68</v>
      </c>
      <c r="N475" s="14" t="s">
        <v>25</v>
      </c>
      <c r="O475" s="15">
        <v>855.7</v>
      </c>
    </row>
    <row r="476" spans="1:15">
      <c r="B476" s="2" t="s">
        <v>4</v>
      </c>
      <c r="C476" s="2" t="s">
        <v>216</v>
      </c>
      <c r="D476" s="11">
        <f>(410.65*0.07)+410.65</f>
        <v>0</v>
      </c>
      <c r="E476" s="11">
        <f>(410.65*0.10)+410.65</f>
        <v>0</v>
      </c>
      <c r="F476" s="11">
        <f>(410.65*0.15)+410.65</f>
        <v>0</v>
      </c>
      <c r="G476" s="11">
        <f>(410.65*0.20)+410.65</f>
        <v>0</v>
      </c>
      <c r="H476" s="12">
        <v>310.65</v>
      </c>
      <c r="I476" s="12">
        <v>8.68</v>
      </c>
      <c r="N476" s="16"/>
      <c r="O476" s="17"/>
    </row>
    <row r="477" spans="1:15">
      <c r="N477" s="18" t="s">
        <v>26</v>
      </c>
      <c r="O477" s="19">
        <v>376.25</v>
      </c>
    </row>
    <row r="479" spans="1:1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</row>
    <row r="480" spans="1:1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</row>
    <row r="483" spans="2:15">
      <c r="C483" s="1" t="s">
        <v>218</v>
      </c>
      <c r="D483" s="1" t="s">
        <v>218</v>
      </c>
    </row>
    <row r="484" spans="2:15">
      <c r="B484" s="2" t="s">
        <v>219</v>
      </c>
      <c r="C484" s="2" t="s">
        <v>220</v>
      </c>
      <c r="D484" s="3">
        <v>45.5</v>
      </c>
    </row>
    <row r="485" spans="2:15">
      <c r="B485" s="2" t="s">
        <v>219</v>
      </c>
      <c r="C485" s="2" t="s">
        <v>220</v>
      </c>
      <c r="D485" s="3">
        <v>45.5</v>
      </c>
      <c r="K485" s="4" t="s">
        <v>223</v>
      </c>
      <c r="L485" s="4"/>
      <c r="M485" s="4"/>
      <c r="N485" s="5" t="s">
        <v>13</v>
      </c>
      <c r="O485" s="5">
        <v>546</v>
      </c>
    </row>
    <row r="486" spans="2:15">
      <c r="B486" s="6" t="s">
        <v>221</v>
      </c>
      <c r="C486" s="2" t="s">
        <v>4</v>
      </c>
      <c r="D486" s="3">
        <v>91</v>
      </c>
    </row>
    <row r="487" spans="2:15">
      <c r="K487" s="7" t="s">
        <v>22</v>
      </c>
      <c r="L487" s="8">
        <v>1647.36</v>
      </c>
      <c r="M487" s="8">
        <v>301.71</v>
      </c>
      <c r="N487" s="9" t="s">
        <v>23</v>
      </c>
    </row>
    <row r="488" spans="2:15">
      <c r="E488" s="3" t="s">
        <v>5</v>
      </c>
      <c r="F488" s="3">
        <v>45.5</v>
      </c>
    </row>
    <row r="489" spans="2:15">
      <c r="K489" s="4" t="s">
        <v>223</v>
      </c>
      <c r="L489" s="4"/>
      <c r="M489" s="4"/>
      <c r="N489" s="5" t="s">
        <v>37</v>
      </c>
      <c r="O489" s="5">
        <v>546</v>
      </c>
    </row>
    <row r="490" spans="2:15">
      <c r="C490" s="2" t="s">
        <v>6</v>
      </c>
      <c r="D490" s="2" t="s">
        <v>7</v>
      </c>
      <c r="E490" s="2" t="s">
        <v>8</v>
      </c>
      <c r="F490" s="2" t="s">
        <v>9</v>
      </c>
      <c r="G490" s="2" t="s">
        <v>10</v>
      </c>
      <c r="H490" s="10" t="s">
        <v>13</v>
      </c>
      <c r="I490" s="10" t="s">
        <v>37</v>
      </c>
    </row>
    <row r="491" spans="2:15">
      <c r="B491" s="2" t="s">
        <v>4</v>
      </c>
      <c r="C491" s="2" t="s">
        <v>222</v>
      </c>
      <c r="D491" s="11">
        <f>(182.78*0.07)+182.78</f>
        <v>0</v>
      </c>
      <c r="E491" s="11">
        <f>(182.78*0.10)+182.78</f>
        <v>0</v>
      </c>
      <c r="F491" s="11">
        <f>(182.78*0.15)+182.78</f>
        <v>0</v>
      </c>
      <c r="G491" s="11">
        <f>(182.78*0.20)+182.78</f>
        <v>0</v>
      </c>
      <c r="H491" s="12">
        <v>301.71</v>
      </c>
      <c r="I491" s="12">
        <v>301.71</v>
      </c>
      <c r="K491" s="7" t="s">
        <v>22</v>
      </c>
      <c r="L491" s="8">
        <v>1647.36</v>
      </c>
      <c r="M491" s="8">
        <v>301.71</v>
      </c>
      <c r="N491" s="9" t="s">
        <v>23</v>
      </c>
    </row>
    <row r="492" spans="2:15">
      <c r="B492" s="2" t="s">
        <v>4</v>
      </c>
      <c r="C492" s="2" t="s">
        <v>222</v>
      </c>
      <c r="D492" s="11">
        <f>(182.78*0.07)+182.78</f>
        <v>0</v>
      </c>
      <c r="E492" s="11">
        <f>(182.78*0.10)+182.78</f>
        <v>0</v>
      </c>
      <c r="F492" s="11">
        <f>(182.78*0.15)+182.78</f>
        <v>0</v>
      </c>
      <c r="G492" s="11">
        <f>(182.78*0.20)+182.78</f>
        <v>0</v>
      </c>
      <c r="H492" s="12">
        <v>301.71</v>
      </c>
      <c r="I492" s="12">
        <v>301.71</v>
      </c>
    </row>
    <row r="493" spans="2:15">
      <c r="B493" s="2" t="s">
        <v>4</v>
      </c>
      <c r="C493" s="2" t="s">
        <v>222</v>
      </c>
      <c r="D493" s="11">
        <f>(182.78*0.07)+182.78</f>
        <v>0</v>
      </c>
      <c r="E493" s="11">
        <f>(182.78*0.10)+182.78</f>
        <v>0</v>
      </c>
      <c r="F493" s="11">
        <f>(182.78*0.15)+182.78</f>
        <v>0</v>
      </c>
      <c r="G493" s="11">
        <f>(182.78*0.20)+182.78</f>
        <v>0</v>
      </c>
      <c r="H493" s="12">
        <v>301.71</v>
      </c>
      <c r="I493" s="12">
        <v>301.71</v>
      </c>
    </row>
    <row r="494" spans="2:15">
      <c r="B494" s="2" t="s">
        <v>4</v>
      </c>
      <c r="C494" s="2" t="s">
        <v>222</v>
      </c>
      <c r="D494" s="11">
        <f>(182.78*0.07)+182.78</f>
        <v>0</v>
      </c>
      <c r="E494" s="11">
        <f>(182.78*0.10)+182.78</f>
        <v>0</v>
      </c>
      <c r="F494" s="11">
        <f>(182.78*0.15)+182.78</f>
        <v>0</v>
      </c>
      <c r="G494" s="11">
        <f>(182.78*0.20)+182.78</f>
        <v>0</v>
      </c>
      <c r="H494" s="12">
        <v>301.71</v>
      </c>
      <c r="I494" s="12">
        <v>301.71</v>
      </c>
    </row>
    <row r="495" spans="2:15">
      <c r="M495" s="7" t="s">
        <v>24</v>
      </c>
      <c r="N495" s="13">
        <v>3294.72</v>
      </c>
    </row>
    <row r="498" spans="1:15">
      <c r="N498" s="14" t="s">
        <v>25</v>
      </c>
      <c r="O498" s="15">
        <v>1092</v>
      </c>
    </row>
    <row r="499" spans="1:15">
      <c r="N499" s="16"/>
      <c r="O499" s="17"/>
    </row>
    <row r="500" spans="1:15">
      <c r="N500" s="18" t="s">
        <v>26</v>
      </c>
      <c r="O500" s="19">
        <v>3294.72</v>
      </c>
    </row>
    <row r="502" spans="1:1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</row>
    <row r="503" spans="1:1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</row>
    <row r="506" spans="1:15">
      <c r="C506" s="1" t="s">
        <v>224</v>
      </c>
      <c r="D506" s="1" t="s">
        <v>225</v>
      </c>
    </row>
    <row r="507" spans="1:15">
      <c r="B507" s="2" t="s">
        <v>33</v>
      </c>
      <c r="C507" s="2" t="s">
        <v>226</v>
      </c>
      <c r="D507" s="3">
        <v>183.9</v>
      </c>
    </row>
    <row r="508" spans="1:15">
      <c r="B508" s="2" t="s">
        <v>33</v>
      </c>
      <c r="C508" s="2" t="s">
        <v>227</v>
      </c>
      <c r="D508" s="3">
        <v>172.07</v>
      </c>
      <c r="K508" s="4" t="s">
        <v>233</v>
      </c>
      <c r="L508" s="4"/>
      <c r="M508" s="4"/>
      <c r="N508" s="5" t="s">
        <v>13</v>
      </c>
      <c r="O508" s="5">
        <v>919.52</v>
      </c>
    </row>
    <row r="509" spans="1:15">
      <c r="B509" s="6" t="s">
        <v>61</v>
      </c>
      <c r="C509" s="2" t="s">
        <v>4</v>
      </c>
      <c r="D509" s="3">
        <v>355.98</v>
      </c>
    </row>
    <row r="510" spans="1:15">
      <c r="K510" s="7" t="s">
        <v>22</v>
      </c>
      <c r="L510" s="8">
        <v>86.93000000000001</v>
      </c>
      <c r="M510" s="8">
        <v>9.449999999999999</v>
      </c>
      <c r="N510" s="9" t="s">
        <v>23</v>
      </c>
    </row>
    <row r="511" spans="1:15">
      <c r="E511" s="3" t="s">
        <v>5</v>
      </c>
      <c r="F511" s="3">
        <v>177.99</v>
      </c>
    </row>
    <row r="512" spans="1:15">
      <c r="K512" s="4" t="s">
        <v>234</v>
      </c>
      <c r="L512" s="4"/>
      <c r="M512" s="4"/>
      <c r="N512" s="5" t="s">
        <v>37</v>
      </c>
      <c r="O512" s="5">
        <v>860.36</v>
      </c>
    </row>
    <row r="513" spans="1:15">
      <c r="C513" s="2" t="s">
        <v>6</v>
      </c>
      <c r="D513" s="2" t="s">
        <v>7</v>
      </c>
      <c r="E513" s="2" t="s">
        <v>8</v>
      </c>
      <c r="F513" s="2" t="s">
        <v>9</v>
      </c>
      <c r="G513" s="2" t="s">
        <v>10</v>
      </c>
      <c r="H513" s="10" t="s">
        <v>13</v>
      </c>
      <c r="I513" s="10" t="s">
        <v>37</v>
      </c>
    </row>
    <row r="514" spans="1:15">
      <c r="B514" s="2" t="s">
        <v>11</v>
      </c>
      <c r="C514" s="2" t="s">
        <v>228</v>
      </c>
      <c r="D514" s="11">
        <f>(189.98*0.07)+189.98</f>
        <v>0</v>
      </c>
      <c r="E514" s="11">
        <f>(189.98*0.10)+189.98</f>
        <v>0</v>
      </c>
      <c r="F514" s="11">
        <f>(189.98*0.15)+189.98</f>
        <v>0</v>
      </c>
      <c r="G514" s="11">
        <f>(189.98*0.20)+189.98</f>
        <v>0</v>
      </c>
      <c r="H514" s="12">
        <v>3.3</v>
      </c>
      <c r="I514" s="12">
        <v>10.41</v>
      </c>
      <c r="K514" s="7" t="s">
        <v>22</v>
      </c>
      <c r="L514" s="8">
        <v>146.09</v>
      </c>
      <c r="M514" s="8">
        <v>16.98</v>
      </c>
      <c r="N514" s="9" t="s">
        <v>23</v>
      </c>
    </row>
    <row r="515" spans="1:15">
      <c r="B515" s="2" t="s">
        <v>14</v>
      </c>
      <c r="C515" s="2" t="s">
        <v>229</v>
      </c>
      <c r="D515" s="11">
        <f>(194.19*0.07)+194.19</f>
        <v>0</v>
      </c>
      <c r="E515" s="11">
        <f>(194.19*0.10)+194.19</f>
        <v>0</v>
      </c>
      <c r="F515" s="11">
        <f>(194.19*0.15)+194.19</f>
        <v>0</v>
      </c>
      <c r="G515" s="11">
        <f>(194.19*0.20)+194.19</f>
        <v>0</v>
      </c>
      <c r="H515" s="12">
        <v>5.59</v>
      </c>
      <c r="I515" s="12">
        <v>12.85</v>
      </c>
    </row>
    <row r="516" spans="1:15">
      <c r="B516" s="2" t="s">
        <v>16</v>
      </c>
      <c r="C516" s="2" t="s">
        <v>230</v>
      </c>
      <c r="D516" s="11">
        <f>(196.61*0.07)+196.61</f>
        <v>0</v>
      </c>
      <c r="E516" s="11">
        <f>(196.61*0.10)+196.61</f>
        <v>0</v>
      </c>
      <c r="F516" s="11">
        <f>(196.61*0.15)+196.61</f>
        <v>0</v>
      </c>
      <c r="G516" s="11">
        <f>(196.61*0.20)+196.61</f>
        <v>0</v>
      </c>
      <c r="H516" s="12">
        <v>6.91</v>
      </c>
      <c r="I516" s="12">
        <v>14.26</v>
      </c>
    </row>
    <row r="517" spans="1:15">
      <c r="B517" s="2" t="s">
        <v>18</v>
      </c>
      <c r="C517" s="2" t="s">
        <v>231</v>
      </c>
      <c r="D517" s="11">
        <f>(198.51*0.07)+198.51</f>
        <v>0</v>
      </c>
      <c r="E517" s="11">
        <f>(198.51*0.10)+198.51</f>
        <v>0</v>
      </c>
      <c r="F517" s="11">
        <f>(198.51*0.15)+198.51</f>
        <v>0</v>
      </c>
      <c r="G517" s="11">
        <f>(198.51*0.20)+198.51</f>
        <v>0</v>
      </c>
      <c r="H517" s="12">
        <v>7.94</v>
      </c>
      <c r="I517" s="12">
        <v>15.36</v>
      </c>
    </row>
    <row r="518" spans="1:15">
      <c r="B518" s="2" t="s">
        <v>4</v>
      </c>
      <c r="C518" s="2" t="s">
        <v>232</v>
      </c>
      <c r="D518" s="11">
        <f>(201.29*0.07)+201.29</f>
        <v>0</v>
      </c>
      <c r="E518" s="11">
        <f>(201.29*0.10)+201.29</f>
        <v>0</v>
      </c>
      <c r="F518" s="11">
        <f>(201.29*0.15)+201.29</f>
        <v>0</v>
      </c>
      <c r="G518" s="11">
        <f>(201.29*0.20)+201.29</f>
        <v>0</v>
      </c>
      <c r="H518" s="12">
        <v>9.449999999999999</v>
      </c>
      <c r="I518" s="12">
        <v>16.98</v>
      </c>
      <c r="M518" s="7" t="s">
        <v>24</v>
      </c>
      <c r="N518" s="13">
        <v>233.02</v>
      </c>
    </row>
    <row r="519" spans="1:15">
      <c r="B519" s="2" t="s">
        <v>4</v>
      </c>
      <c r="C519" s="2" t="s">
        <v>232</v>
      </c>
      <c r="D519" s="11">
        <f>(201.29*0.07)+201.29</f>
        <v>0</v>
      </c>
      <c r="E519" s="11">
        <f>(201.29*0.10)+201.29</f>
        <v>0</v>
      </c>
      <c r="F519" s="11">
        <f>(201.29*0.15)+201.29</f>
        <v>0</v>
      </c>
      <c r="G519" s="11">
        <f>(201.29*0.20)+201.29</f>
        <v>0</v>
      </c>
      <c r="H519" s="12">
        <v>9.449999999999999</v>
      </c>
      <c r="I519" s="12">
        <v>16.98</v>
      </c>
    </row>
    <row r="520" spans="1:15">
      <c r="B520" s="2" t="s">
        <v>4</v>
      </c>
      <c r="C520" s="2" t="s">
        <v>232</v>
      </c>
      <c r="D520" s="11">
        <f>(201.29*0.07)+201.29</f>
        <v>0</v>
      </c>
      <c r="E520" s="11">
        <f>(201.29*0.10)+201.29</f>
        <v>0</v>
      </c>
      <c r="F520" s="11">
        <f>(201.29*0.15)+201.29</f>
        <v>0</v>
      </c>
      <c r="G520" s="11">
        <f>(201.29*0.20)+201.29</f>
        <v>0</v>
      </c>
      <c r="H520" s="12">
        <v>9.449999999999999</v>
      </c>
      <c r="I520" s="12">
        <v>16.98</v>
      </c>
    </row>
    <row r="521" spans="1:15">
      <c r="B521" s="2" t="s">
        <v>4</v>
      </c>
      <c r="C521" s="2" t="s">
        <v>232</v>
      </c>
      <c r="D521" s="11">
        <f>(201.29*0.07)+201.29</f>
        <v>0</v>
      </c>
      <c r="E521" s="11">
        <f>(201.29*0.10)+201.29</f>
        <v>0</v>
      </c>
      <c r="F521" s="11">
        <f>(201.29*0.15)+201.29</f>
        <v>0</v>
      </c>
      <c r="G521" s="11">
        <f>(201.29*0.20)+201.29</f>
        <v>0</v>
      </c>
      <c r="H521" s="12">
        <v>9.449999999999999</v>
      </c>
      <c r="I521" s="12">
        <v>16.98</v>
      </c>
      <c r="N521" s="14" t="s">
        <v>25</v>
      </c>
      <c r="O521" s="15">
        <v>1779.88</v>
      </c>
    </row>
    <row r="522" spans="1:15">
      <c r="N522" s="16"/>
      <c r="O522" s="17"/>
    </row>
    <row r="523" spans="1:15">
      <c r="N523" s="18" t="s">
        <v>26</v>
      </c>
      <c r="O523" s="19">
        <v>233.02</v>
      </c>
    </row>
    <row r="525" spans="1:1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</row>
    <row r="526" spans="1:1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</row>
    <row r="529" spans="2:14">
      <c r="C529" s="1" t="s">
        <v>235</v>
      </c>
      <c r="D529" s="1" t="s">
        <v>236</v>
      </c>
    </row>
    <row r="530" spans="2:14">
      <c r="B530" s="2" t="s">
        <v>88</v>
      </c>
      <c r="C530" s="2" t="s">
        <v>237</v>
      </c>
      <c r="D530" s="3">
        <v>103.3</v>
      </c>
      <c r="J530" s="4" t="s">
        <v>244</v>
      </c>
      <c r="K530" s="4"/>
      <c r="L530" s="4"/>
      <c r="M530" s="5" t="s">
        <v>13</v>
      </c>
      <c r="N530" s="5">
        <v>1549.42</v>
      </c>
    </row>
    <row r="531" spans="2:14">
      <c r="B531" s="6" t="s">
        <v>88</v>
      </c>
      <c r="C531" s="2" t="s">
        <v>4</v>
      </c>
      <c r="D531" s="3">
        <v>103.3</v>
      </c>
    </row>
    <row r="532" spans="2:14">
      <c r="J532" s="7" t="s">
        <v>22</v>
      </c>
      <c r="K532" s="8">
        <v>127.27</v>
      </c>
      <c r="L532" s="8">
        <v>8.210000000000001</v>
      </c>
      <c r="M532" s="9" t="s">
        <v>23</v>
      </c>
    </row>
    <row r="533" spans="2:14">
      <c r="E533" s="3" t="s">
        <v>5</v>
      </c>
      <c r="F533" s="3">
        <v>103.3</v>
      </c>
    </row>
    <row r="535" spans="2:14">
      <c r="C535" s="2" t="s">
        <v>6</v>
      </c>
      <c r="D535" s="2" t="s">
        <v>7</v>
      </c>
      <c r="E535" s="2" t="s">
        <v>8</v>
      </c>
      <c r="F535" s="2" t="s">
        <v>9</v>
      </c>
      <c r="G535" s="2" t="s">
        <v>10</v>
      </c>
      <c r="H535" s="10" t="s">
        <v>13</v>
      </c>
    </row>
    <row r="536" spans="2:14">
      <c r="B536" s="2" t="s">
        <v>121</v>
      </c>
      <c r="C536" s="2" t="s">
        <v>238</v>
      </c>
      <c r="D536" s="11">
        <f>(106.22*0.07)+106.22</f>
        <v>0</v>
      </c>
      <c r="E536" s="11">
        <f>(106.22*0.10)+106.22</f>
        <v>0</v>
      </c>
      <c r="F536" s="11">
        <f>(106.22*0.15)+106.22</f>
        <v>0</v>
      </c>
      <c r="G536" s="11">
        <f>(106.22*0.20)+106.22</f>
        <v>0</v>
      </c>
      <c r="H536" s="12">
        <v>2.83</v>
      </c>
      <c r="L536" s="7" t="s">
        <v>24</v>
      </c>
      <c r="M536" s="13">
        <v>127.27</v>
      </c>
    </row>
    <row r="537" spans="2:14">
      <c r="B537" s="2" t="s">
        <v>11</v>
      </c>
      <c r="C537" s="2" t="s">
        <v>239</v>
      </c>
      <c r="D537" s="11">
        <f>(110.71*0.07)+110.71</f>
        <v>0</v>
      </c>
      <c r="E537" s="11">
        <f>(110.71*0.10)+110.71</f>
        <v>0</v>
      </c>
      <c r="F537" s="11">
        <f>(110.71*0.15)+110.71</f>
        <v>0</v>
      </c>
      <c r="G537" s="11">
        <f>(110.71*0.20)+110.71</f>
        <v>0</v>
      </c>
      <c r="H537" s="12">
        <v>7.18</v>
      </c>
    </row>
    <row r="538" spans="2:14">
      <c r="B538" s="2" t="s">
        <v>14</v>
      </c>
      <c r="C538" s="2" t="s">
        <v>240</v>
      </c>
      <c r="D538" s="11">
        <f>(109.405*0.07)+109.405</f>
        <v>0</v>
      </c>
      <c r="E538" s="11">
        <f>(109.405*0.10)+109.405</f>
        <v>0</v>
      </c>
      <c r="F538" s="11">
        <f>(109.405*0.15)+109.405</f>
        <v>0</v>
      </c>
      <c r="G538" s="11">
        <f>(109.405*0.20)+109.405</f>
        <v>0</v>
      </c>
      <c r="H538" s="12">
        <v>5.92</v>
      </c>
    </row>
    <row r="539" spans="2:14">
      <c r="B539" s="2" t="s">
        <v>16</v>
      </c>
      <c r="C539" s="2" t="s">
        <v>241</v>
      </c>
      <c r="D539" s="11">
        <f>(111.77*0.07)+111.77</f>
        <v>0</v>
      </c>
      <c r="E539" s="11">
        <f>(111.77*0.10)+111.77</f>
        <v>0</v>
      </c>
      <c r="F539" s="11">
        <f>(111.77*0.15)+111.77</f>
        <v>0</v>
      </c>
      <c r="G539" s="11">
        <f>(111.77*0.20)+111.77</f>
        <v>0</v>
      </c>
      <c r="H539" s="12">
        <v>8.199999999999999</v>
      </c>
      <c r="M539" s="14" t="s">
        <v>25</v>
      </c>
      <c r="N539" s="15">
        <v>1549.42</v>
      </c>
    </row>
    <row r="540" spans="2:14">
      <c r="B540" s="2" t="s">
        <v>18</v>
      </c>
      <c r="C540" s="2" t="s">
        <v>242</v>
      </c>
      <c r="D540" s="11">
        <f>(110.62*0.07)+110.62</f>
        <v>0</v>
      </c>
      <c r="E540" s="11">
        <f>(110.62*0.10)+110.62</f>
        <v>0</v>
      </c>
      <c r="F540" s="11">
        <f>(110.62*0.15)+110.62</f>
        <v>0</v>
      </c>
      <c r="G540" s="11">
        <f>(110.62*0.20)+110.62</f>
        <v>0</v>
      </c>
      <c r="H540" s="12">
        <v>7.09</v>
      </c>
      <c r="M540" s="16"/>
      <c r="N540" s="17"/>
    </row>
    <row r="541" spans="2:14">
      <c r="B541" s="2" t="s">
        <v>4</v>
      </c>
      <c r="C541" s="2" t="s">
        <v>243</v>
      </c>
      <c r="D541" s="11">
        <f>(111.78*0.07)+111.78</f>
        <v>0</v>
      </c>
      <c r="E541" s="11">
        <f>(111.78*0.10)+111.78</f>
        <v>0</v>
      </c>
      <c r="F541" s="11">
        <f>(111.78*0.15)+111.78</f>
        <v>0</v>
      </c>
      <c r="G541" s="11">
        <f>(111.78*0.20)+111.78</f>
        <v>0</v>
      </c>
      <c r="H541" s="12">
        <v>8.210000000000001</v>
      </c>
      <c r="M541" s="18" t="s">
        <v>26</v>
      </c>
      <c r="N541" s="19">
        <v>127.27</v>
      </c>
    </row>
    <row r="542" spans="2:14">
      <c r="B542" s="2" t="s">
        <v>4</v>
      </c>
      <c r="C542" s="2" t="s">
        <v>243</v>
      </c>
      <c r="D542" s="11">
        <f>(111.78*0.07)+111.78</f>
        <v>0</v>
      </c>
      <c r="E542" s="11">
        <f>(111.78*0.10)+111.78</f>
        <v>0</v>
      </c>
      <c r="F542" s="11">
        <f>(111.78*0.15)+111.78</f>
        <v>0</v>
      </c>
      <c r="G542" s="11">
        <f>(111.78*0.20)+111.78</f>
        <v>0</v>
      </c>
      <c r="H542" s="12">
        <v>8.210000000000001</v>
      </c>
    </row>
    <row r="543" spans="2:14">
      <c r="B543" s="2" t="s">
        <v>4</v>
      </c>
      <c r="C543" s="2" t="s">
        <v>243</v>
      </c>
      <c r="D543" s="11">
        <f>(111.78*0.07)+111.78</f>
        <v>0</v>
      </c>
      <c r="E543" s="11">
        <f>(111.78*0.10)+111.78</f>
        <v>0</v>
      </c>
      <c r="F543" s="11">
        <f>(111.78*0.15)+111.78</f>
        <v>0</v>
      </c>
      <c r="G543" s="11">
        <f>(111.78*0.20)+111.78</f>
        <v>0</v>
      </c>
      <c r="H543" s="12">
        <v>8.210000000000001</v>
      </c>
    </row>
    <row r="544" spans="2:14">
      <c r="B544" s="2" t="s">
        <v>4</v>
      </c>
      <c r="C544" s="2" t="s">
        <v>243</v>
      </c>
      <c r="D544" s="11">
        <f>(111.78*0.07)+111.78</f>
        <v>0</v>
      </c>
      <c r="E544" s="11">
        <f>(111.78*0.10)+111.78</f>
        <v>0</v>
      </c>
      <c r="F544" s="11">
        <f>(111.78*0.15)+111.78</f>
        <v>0</v>
      </c>
      <c r="G544" s="11">
        <f>(111.78*0.20)+111.78</f>
        <v>0</v>
      </c>
      <c r="H544" s="12">
        <v>8.210000000000001</v>
      </c>
    </row>
    <row r="547" spans="1:14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</row>
    <row r="548" spans="1:14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</row>
    <row r="551" spans="1:14">
      <c r="C551" s="1" t="s">
        <v>245</v>
      </c>
      <c r="D551" s="1" t="s">
        <v>246</v>
      </c>
    </row>
    <row r="552" spans="1:14">
      <c r="B552" s="2" t="s">
        <v>61</v>
      </c>
      <c r="C552" s="2" t="s">
        <v>3</v>
      </c>
      <c r="D552" s="3">
        <v>1271.73</v>
      </c>
      <c r="J552" s="4" t="s">
        <v>21</v>
      </c>
      <c r="K552" s="4"/>
      <c r="L552" s="4"/>
      <c r="M552" s="5" t="s">
        <v>13</v>
      </c>
      <c r="N552" s="5">
        <v>12717.3</v>
      </c>
    </row>
    <row r="553" spans="1:14">
      <c r="B553" s="6" t="s">
        <v>61</v>
      </c>
      <c r="C553" s="2" t="s">
        <v>4</v>
      </c>
      <c r="D553" s="3">
        <v>1271.73</v>
      </c>
    </row>
    <row r="554" spans="1:14">
      <c r="J554" s="7" t="s">
        <v>22</v>
      </c>
      <c r="K554" s="21">
        <v>-11315.1</v>
      </c>
      <c r="L554" s="21">
        <v>-88.97</v>
      </c>
      <c r="M554" s="9" t="s">
        <v>23</v>
      </c>
    </row>
    <row r="555" spans="1:14">
      <c r="E555" s="3" t="s">
        <v>5</v>
      </c>
      <c r="F555" s="3">
        <v>1271.73</v>
      </c>
    </row>
    <row r="557" spans="1:14">
      <c r="C557" s="2" t="s">
        <v>6</v>
      </c>
      <c r="D557" s="2" t="s">
        <v>7</v>
      </c>
      <c r="E557" s="2" t="s">
        <v>8</v>
      </c>
      <c r="F557" s="2" t="s">
        <v>9</v>
      </c>
      <c r="G557" s="2" t="s">
        <v>10</v>
      </c>
      <c r="H557" s="10" t="s">
        <v>13</v>
      </c>
    </row>
    <row r="558" spans="1:14">
      <c r="B558" s="2" t="s">
        <v>14</v>
      </c>
      <c r="C558" s="2" t="s">
        <v>247</v>
      </c>
      <c r="D558" s="11">
        <f>(140.24*0.07)+140.24</f>
        <v>0</v>
      </c>
      <c r="E558" s="11">
        <f>(140.24*0.10)+140.24</f>
        <v>0</v>
      </c>
      <c r="F558" s="11">
        <f>(140.24*0.15)+140.24</f>
        <v>0</v>
      </c>
      <c r="G558" s="11">
        <f>(140.24*0.20)+140.24</f>
        <v>0</v>
      </c>
      <c r="H558" s="22">
        <v>-88.97</v>
      </c>
      <c r="L558" s="7" t="s">
        <v>24</v>
      </c>
      <c r="M558" s="23">
        <v>-11315.1</v>
      </c>
    </row>
    <row r="559" spans="1:14">
      <c r="B559" s="2" t="s">
        <v>16</v>
      </c>
      <c r="C559" s="2" t="s">
        <v>248</v>
      </c>
      <c r="D559" s="11">
        <f>(140.64*0.07)+140.64</f>
        <v>0</v>
      </c>
      <c r="E559" s="11">
        <f>(140.64*0.10)+140.64</f>
        <v>0</v>
      </c>
      <c r="F559" s="11">
        <f>(140.64*0.15)+140.64</f>
        <v>0</v>
      </c>
      <c r="G559" s="11">
        <f>(140.64*0.20)+140.64</f>
        <v>0</v>
      </c>
      <c r="H559" s="22">
        <v>-88.94</v>
      </c>
    </row>
    <row r="560" spans="1:14">
      <c r="B560" s="2" t="s">
        <v>18</v>
      </c>
      <c r="C560" s="2" t="s">
        <v>249</v>
      </c>
      <c r="D560" s="11">
        <f>(140.44*0.07)+140.44</f>
        <v>0</v>
      </c>
      <c r="E560" s="11">
        <f>(140.44*0.10)+140.44</f>
        <v>0</v>
      </c>
      <c r="F560" s="11">
        <f>(140.44*0.15)+140.44</f>
        <v>0</v>
      </c>
      <c r="G560" s="11">
        <f>(140.44*0.20)+140.44</f>
        <v>0</v>
      </c>
      <c r="H560" s="22">
        <v>-88.95999999999999</v>
      </c>
    </row>
    <row r="561" spans="1:14">
      <c r="B561" s="2" t="s">
        <v>4</v>
      </c>
      <c r="C561" s="2" t="s">
        <v>250</v>
      </c>
      <c r="D561" s="11">
        <f>(140.22*0.07)+140.22</f>
        <v>0</v>
      </c>
      <c r="E561" s="11">
        <f>(140.22*0.10)+140.22</f>
        <v>0</v>
      </c>
      <c r="F561" s="11">
        <f>(140.22*0.15)+140.22</f>
        <v>0</v>
      </c>
      <c r="G561" s="11">
        <f>(140.22*0.20)+140.22</f>
        <v>0</v>
      </c>
      <c r="H561" s="22">
        <v>-88.97</v>
      </c>
      <c r="M561" s="14" t="s">
        <v>25</v>
      </c>
      <c r="N561" s="15">
        <v>12717.3</v>
      </c>
    </row>
    <row r="562" spans="1:14">
      <c r="B562" s="2" t="s">
        <v>4</v>
      </c>
      <c r="C562" s="2" t="s">
        <v>250</v>
      </c>
      <c r="D562" s="11">
        <f>(140.22*0.07)+140.22</f>
        <v>0</v>
      </c>
      <c r="E562" s="11">
        <f>(140.22*0.10)+140.22</f>
        <v>0</v>
      </c>
      <c r="F562" s="11">
        <f>(140.22*0.15)+140.22</f>
        <v>0</v>
      </c>
      <c r="G562" s="11">
        <f>(140.22*0.20)+140.22</f>
        <v>0</v>
      </c>
      <c r="H562" s="22">
        <v>-88.97</v>
      </c>
      <c r="M562" s="16"/>
      <c r="N562" s="17"/>
    </row>
    <row r="563" spans="1:14">
      <c r="B563" s="2" t="s">
        <v>4</v>
      </c>
      <c r="C563" s="2" t="s">
        <v>250</v>
      </c>
      <c r="D563" s="11">
        <f>(140.22*0.07)+140.22</f>
        <v>0</v>
      </c>
      <c r="E563" s="11">
        <f>(140.22*0.10)+140.22</f>
        <v>0</v>
      </c>
      <c r="F563" s="11">
        <f>(140.22*0.15)+140.22</f>
        <v>0</v>
      </c>
      <c r="G563" s="11">
        <f>(140.22*0.20)+140.22</f>
        <v>0</v>
      </c>
      <c r="H563" s="22">
        <v>-88.97</v>
      </c>
      <c r="M563" s="18" t="s">
        <v>26</v>
      </c>
      <c r="N563" s="24">
        <v>-11315.1</v>
      </c>
    </row>
    <row r="564" spans="1:14">
      <c r="B564" s="2" t="s">
        <v>4</v>
      </c>
      <c r="C564" s="2" t="s">
        <v>250</v>
      </c>
      <c r="D564" s="11">
        <f>(140.22*0.07)+140.22</f>
        <v>0</v>
      </c>
      <c r="E564" s="11">
        <f>(140.22*0.10)+140.22</f>
        <v>0</v>
      </c>
      <c r="F564" s="11">
        <f>(140.22*0.15)+140.22</f>
        <v>0</v>
      </c>
      <c r="G564" s="11">
        <f>(140.22*0.20)+140.22</f>
        <v>0</v>
      </c>
      <c r="H564" s="22">
        <v>-88.97</v>
      </c>
    </row>
    <row r="567" spans="1:14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</row>
    <row r="568" spans="1:14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</row>
    <row r="576" spans="1:14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</row>
    <row r="577" spans="1:14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</row>
    <row r="580" spans="1:14">
      <c r="E580" s="25" t="s">
        <v>251</v>
      </c>
      <c r="F580" s="25" t="s">
        <v>252</v>
      </c>
      <c r="G580" s="25" t="s">
        <v>24</v>
      </c>
      <c r="H580" s="25" t="s">
        <v>253</v>
      </c>
    </row>
    <row r="581" spans="1:14">
      <c r="C581" s="26" t="s">
        <v>0</v>
      </c>
      <c r="D581" s="27" t="s">
        <v>1</v>
      </c>
      <c r="E581" s="27">
        <v>14</v>
      </c>
      <c r="F581" s="27">
        <v>978.63</v>
      </c>
      <c r="G581" s="27">
        <v>13700.78</v>
      </c>
      <c r="H581" s="27">
        <v>1.94</v>
      </c>
    </row>
    <row r="582" spans="1:14">
      <c r="C582" s="26" t="s">
        <v>27</v>
      </c>
      <c r="D582" s="27" t="s">
        <v>28</v>
      </c>
      <c r="E582" s="27">
        <v>51</v>
      </c>
      <c r="F582" s="27">
        <v>347.37</v>
      </c>
      <c r="G582" s="27">
        <v>17716.08</v>
      </c>
      <c r="H582" s="27">
        <v>2.5</v>
      </c>
    </row>
    <row r="583" spans="1:14">
      <c r="C583" s="26" t="s">
        <v>47</v>
      </c>
      <c r="D583" s="27" t="s">
        <v>48</v>
      </c>
      <c r="E583" s="27">
        <v>53</v>
      </c>
      <c r="F583" s="27">
        <v>338.35</v>
      </c>
      <c r="G583" s="27">
        <v>17932.76</v>
      </c>
      <c r="H583" s="27">
        <v>2.53</v>
      </c>
    </row>
    <row r="584" spans="1:14">
      <c r="C584" s="26" t="s">
        <v>59</v>
      </c>
      <c r="D584" s="27" t="s">
        <v>60</v>
      </c>
      <c r="E584" s="27">
        <v>69</v>
      </c>
      <c r="F584" s="27">
        <v>292.54</v>
      </c>
      <c r="G584" s="27">
        <v>20185.41</v>
      </c>
      <c r="H584" s="27">
        <v>2.85</v>
      </c>
    </row>
    <row r="585" spans="1:14">
      <c r="C585" s="26" t="s">
        <v>86</v>
      </c>
      <c r="D585" s="27" t="s">
        <v>87</v>
      </c>
      <c r="E585" s="27">
        <v>84</v>
      </c>
      <c r="F585" s="27">
        <v>246.6</v>
      </c>
      <c r="G585" s="27">
        <v>20714.13</v>
      </c>
      <c r="H585" s="27">
        <v>2.93</v>
      </c>
    </row>
    <row r="586" spans="1:14">
      <c r="C586" s="26" t="s">
        <v>96</v>
      </c>
      <c r="D586" s="27" t="s">
        <v>97</v>
      </c>
      <c r="E586" s="27">
        <v>221</v>
      </c>
      <c r="F586" s="27">
        <v>100.54</v>
      </c>
      <c r="G586" s="27">
        <v>22218.59</v>
      </c>
      <c r="H586" s="27">
        <v>3.14</v>
      </c>
    </row>
    <row r="587" spans="1:14">
      <c r="C587" s="26" t="s">
        <v>109</v>
      </c>
      <c r="D587" s="27" t="s">
        <v>110</v>
      </c>
      <c r="E587" s="27">
        <v>258</v>
      </c>
      <c r="F587" s="27">
        <v>93.43000000000001</v>
      </c>
      <c r="G587" s="27">
        <v>24103.78</v>
      </c>
      <c r="H587" s="27">
        <v>3.4</v>
      </c>
    </row>
    <row r="588" spans="1:14">
      <c r="C588" s="26" t="s">
        <v>119</v>
      </c>
      <c r="D588" s="27" t="s">
        <v>120</v>
      </c>
      <c r="E588" s="27">
        <v>262</v>
      </c>
      <c r="F588" s="27">
        <v>99.13</v>
      </c>
      <c r="G588" s="27">
        <v>25972.78</v>
      </c>
      <c r="H588" s="27">
        <v>3.67</v>
      </c>
    </row>
    <row r="589" spans="1:14">
      <c r="C589" s="26" t="s">
        <v>128</v>
      </c>
      <c r="D589" s="27" t="s">
        <v>129</v>
      </c>
      <c r="E589" s="27">
        <v>267</v>
      </c>
      <c r="F589" s="27">
        <v>101.31</v>
      </c>
      <c r="G589" s="27">
        <v>27049.44</v>
      </c>
      <c r="H589" s="27">
        <v>3.82</v>
      </c>
    </row>
    <row r="590" spans="1:14">
      <c r="C590" s="26" t="s">
        <v>135</v>
      </c>
      <c r="D590" s="27" t="s">
        <v>136</v>
      </c>
      <c r="E590" s="27">
        <v>343</v>
      </c>
      <c r="F590" s="27">
        <v>81.83</v>
      </c>
      <c r="G590" s="27">
        <v>28066.16</v>
      </c>
      <c r="H590" s="27">
        <v>3.96</v>
      </c>
    </row>
    <row r="591" spans="1:14">
      <c r="C591" s="26" t="s">
        <v>142</v>
      </c>
      <c r="D591" s="27" t="s">
        <v>143</v>
      </c>
      <c r="E591" s="27">
        <v>357</v>
      </c>
      <c r="F591" s="27">
        <v>80.95999999999999</v>
      </c>
      <c r="G591" s="27">
        <v>28902.26</v>
      </c>
      <c r="H591" s="27">
        <v>4.08</v>
      </c>
    </row>
    <row r="592" spans="1:14">
      <c r="C592" s="26" t="s">
        <v>150</v>
      </c>
      <c r="D592" s="27" t="s">
        <v>151</v>
      </c>
      <c r="E592" s="27">
        <v>361</v>
      </c>
      <c r="F592" s="27">
        <v>83.31999999999999</v>
      </c>
      <c r="G592" s="27">
        <v>30078.06</v>
      </c>
      <c r="H592" s="27">
        <v>4.25</v>
      </c>
    </row>
    <row r="593" spans="3:8">
      <c r="C593" s="26" t="s">
        <v>159</v>
      </c>
      <c r="D593" s="27" t="s">
        <v>160</v>
      </c>
      <c r="E593" s="27">
        <v>375</v>
      </c>
      <c r="F593" s="27">
        <v>84.95999999999999</v>
      </c>
      <c r="G593" s="27">
        <v>31859.46</v>
      </c>
      <c r="H593" s="27">
        <v>4.5</v>
      </c>
    </row>
    <row r="594" spans="3:8">
      <c r="C594" s="26" t="s">
        <v>166</v>
      </c>
      <c r="D594" s="27" t="s">
        <v>167</v>
      </c>
      <c r="E594" s="27">
        <v>381</v>
      </c>
      <c r="F594" s="27">
        <v>86.41</v>
      </c>
      <c r="G594" s="27">
        <v>32922.2</v>
      </c>
      <c r="H594" s="27">
        <v>4.65</v>
      </c>
    </row>
    <row r="595" spans="3:8">
      <c r="C595" s="26" t="s">
        <v>174</v>
      </c>
      <c r="D595" s="27" t="s">
        <v>175</v>
      </c>
      <c r="E595" s="27">
        <v>386</v>
      </c>
      <c r="F595" s="27">
        <v>87.79000000000001</v>
      </c>
      <c r="G595" s="27">
        <v>33886.85</v>
      </c>
      <c r="H595" s="27">
        <v>4.79</v>
      </c>
    </row>
    <row r="596" spans="3:8">
      <c r="C596" s="26" t="s">
        <v>183</v>
      </c>
      <c r="D596" s="27" t="s">
        <v>184</v>
      </c>
      <c r="E596" s="27">
        <v>392</v>
      </c>
      <c r="F596" s="27">
        <v>90.69</v>
      </c>
      <c r="G596" s="27">
        <v>35550.19</v>
      </c>
      <c r="H596" s="27">
        <v>5.02</v>
      </c>
    </row>
    <row r="597" spans="3:8">
      <c r="C597" s="26" t="s">
        <v>189</v>
      </c>
      <c r="D597" s="27" t="s">
        <v>190</v>
      </c>
      <c r="E597" s="27">
        <v>410</v>
      </c>
      <c r="F597" s="27">
        <v>90.28</v>
      </c>
      <c r="G597" s="27">
        <v>37012.98</v>
      </c>
      <c r="H597" s="27">
        <v>5.23</v>
      </c>
    </row>
    <row r="598" spans="3:8">
      <c r="C598" s="26" t="s">
        <v>199</v>
      </c>
      <c r="D598" s="27" t="s">
        <v>200</v>
      </c>
      <c r="E598" s="27">
        <v>427</v>
      </c>
      <c r="F598" s="27">
        <v>89.90000000000001</v>
      </c>
      <c r="G598" s="27">
        <v>38386.06</v>
      </c>
      <c r="H598" s="27">
        <v>5.42</v>
      </c>
    </row>
    <row r="599" spans="3:8">
      <c r="C599" s="26" t="s">
        <v>209</v>
      </c>
      <c r="D599" s="27" t="s">
        <v>210</v>
      </c>
      <c r="E599" s="27">
        <v>430</v>
      </c>
      <c r="F599" s="27">
        <v>91.26000000000001</v>
      </c>
      <c r="G599" s="27">
        <v>39241.76</v>
      </c>
      <c r="H599" s="27">
        <v>5.54</v>
      </c>
    </row>
    <row r="600" spans="3:8">
      <c r="C600" s="26" t="s">
        <v>218</v>
      </c>
      <c r="D600" s="27" t="s">
        <v>218</v>
      </c>
      <c r="E600" s="27">
        <v>454</v>
      </c>
      <c r="F600" s="27">
        <v>88.84</v>
      </c>
      <c r="G600" s="27">
        <v>40333.76</v>
      </c>
      <c r="H600" s="27">
        <v>5.7</v>
      </c>
    </row>
    <row r="601" spans="3:8">
      <c r="C601" s="26" t="s">
        <v>224</v>
      </c>
      <c r="D601" s="27" t="s">
        <v>225</v>
      </c>
      <c r="E601" s="27">
        <v>464</v>
      </c>
      <c r="F601" s="27">
        <v>90.76000000000001</v>
      </c>
      <c r="G601" s="27">
        <v>42113.64</v>
      </c>
      <c r="H601" s="27">
        <v>5.95</v>
      </c>
    </row>
    <row r="602" spans="3:8">
      <c r="C602" s="26" t="s">
        <v>235</v>
      </c>
      <c r="D602" s="27" t="s">
        <v>236</v>
      </c>
      <c r="E602" s="27">
        <v>479</v>
      </c>
      <c r="F602" s="27">
        <v>91.15000000000001</v>
      </c>
      <c r="G602" s="27">
        <v>43663.07</v>
      </c>
      <c r="H602" s="27">
        <v>6.17</v>
      </c>
    </row>
    <row r="603" spans="3:8">
      <c r="C603" s="26" t="s">
        <v>245</v>
      </c>
      <c r="D603" s="27" t="s">
        <v>246</v>
      </c>
      <c r="E603" s="27">
        <v>489</v>
      </c>
      <c r="F603" s="27">
        <v>115.3</v>
      </c>
      <c r="G603" s="27">
        <v>56380.37</v>
      </c>
      <c r="H603" s="27">
        <v>7.96</v>
      </c>
    </row>
    <row r="604" spans="3:8">
      <c r="G604" s="28">
        <v>707990.59</v>
      </c>
      <c r="H604" s="28">
        <v>100</v>
      </c>
    </row>
  </sheetData>
  <mergeCells count="73">
    <mergeCell ref="J4:L4"/>
    <mergeCell ref="A20:N21"/>
    <mergeCell ref="N29:P29"/>
    <mergeCell ref="N33:P33"/>
    <mergeCell ref="N37:P37"/>
    <mergeCell ref="N41:P41"/>
    <mergeCell ref="N45:P45"/>
    <mergeCell ref="A58:R59"/>
    <mergeCell ref="K64:M64"/>
    <mergeCell ref="K68:M68"/>
    <mergeCell ref="A81:O82"/>
    <mergeCell ref="L88:N88"/>
    <mergeCell ref="L92:N92"/>
    <mergeCell ref="L96:N96"/>
    <mergeCell ref="A110:P111"/>
    <mergeCell ref="J115:L115"/>
    <mergeCell ref="A131:N132"/>
    <mergeCell ref="L138:N138"/>
    <mergeCell ref="L142:N142"/>
    <mergeCell ref="L146:N146"/>
    <mergeCell ref="A159:P160"/>
    <mergeCell ref="M167:O167"/>
    <mergeCell ref="M171:O171"/>
    <mergeCell ref="M175:O175"/>
    <mergeCell ref="M179:O179"/>
    <mergeCell ref="A192:Q193"/>
    <mergeCell ref="L199:N199"/>
    <mergeCell ref="L203:N203"/>
    <mergeCell ref="L207:N207"/>
    <mergeCell ref="A220:P221"/>
    <mergeCell ref="J225:L225"/>
    <mergeCell ref="A241:N242"/>
    <mergeCell ref="J246:L246"/>
    <mergeCell ref="A261:N262"/>
    <mergeCell ref="K267:M267"/>
    <mergeCell ref="K271:M271"/>
    <mergeCell ref="A284:O285"/>
    <mergeCell ref="J289:L289"/>
    <mergeCell ref="A305:N306"/>
    <mergeCell ref="M313:O313"/>
    <mergeCell ref="M317:O317"/>
    <mergeCell ref="M321:O321"/>
    <mergeCell ref="M325:O325"/>
    <mergeCell ref="A338:Q339"/>
    <mergeCell ref="K344:M344"/>
    <mergeCell ref="K348:M348"/>
    <mergeCell ref="A361:O362"/>
    <mergeCell ref="J366:L366"/>
    <mergeCell ref="A382:N383"/>
    <mergeCell ref="K388:M388"/>
    <mergeCell ref="K392:M392"/>
    <mergeCell ref="A405:O406"/>
    <mergeCell ref="L412:N412"/>
    <mergeCell ref="L416:N416"/>
    <mergeCell ref="L420:N420"/>
    <mergeCell ref="A433:P434"/>
    <mergeCell ref="K439:M439"/>
    <mergeCell ref="K443:M443"/>
    <mergeCell ref="A456:O457"/>
    <mergeCell ref="K462:M462"/>
    <mergeCell ref="K466:M466"/>
    <mergeCell ref="A479:O480"/>
    <mergeCell ref="K485:M485"/>
    <mergeCell ref="K489:M489"/>
    <mergeCell ref="A502:O503"/>
    <mergeCell ref="K508:M508"/>
    <mergeCell ref="K512:M512"/>
    <mergeCell ref="A525:O526"/>
    <mergeCell ref="J530:L530"/>
    <mergeCell ref="A547:N548"/>
    <mergeCell ref="J552:L552"/>
    <mergeCell ref="A567:N568"/>
    <mergeCell ref="A576:N5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M51"/>
  <sheetViews>
    <sheetView workbookViewId="0"/>
  </sheetViews>
  <sheetFormatPr defaultRowHeight="15"/>
  <cols>
    <col min="2" max="2" width="10.7109375" customWidth="1"/>
    <col min="3" max="3" width="20.7109375" customWidth="1"/>
  </cols>
  <sheetData>
    <row r="3" spans="2:13">
      <c r="C3" s="1" t="s">
        <v>218</v>
      </c>
      <c r="D3" s="1" t="s">
        <v>218</v>
      </c>
    </row>
    <row r="4" spans="2:13">
      <c r="B4" s="2" t="s">
        <v>219</v>
      </c>
      <c r="C4" s="2" t="s">
        <v>176</v>
      </c>
      <c r="D4" s="3">
        <v>45.5</v>
      </c>
      <c r="I4" s="4" t="s">
        <v>182</v>
      </c>
      <c r="J4" s="4"/>
      <c r="K4" s="4"/>
      <c r="L4" s="5" t="s">
        <v>13</v>
      </c>
      <c r="M4" s="5">
        <v>546</v>
      </c>
    </row>
    <row r="5" spans="2:13">
      <c r="B5" s="6" t="s">
        <v>219</v>
      </c>
      <c r="C5" s="2" t="s">
        <v>4</v>
      </c>
      <c r="D5" s="3">
        <v>45.5</v>
      </c>
    </row>
    <row r="6" spans="2:13">
      <c r="I6" s="7" t="s">
        <v>22</v>
      </c>
      <c r="J6" s="21">
        <v>-485.8</v>
      </c>
      <c r="K6" s="21">
        <v>-88.97</v>
      </c>
      <c r="L6" s="9" t="s">
        <v>23</v>
      </c>
    </row>
    <row r="7" spans="2:13">
      <c r="E7" s="3" t="s">
        <v>5</v>
      </c>
      <c r="F7" s="3">
        <v>45.5</v>
      </c>
    </row>
    <row r="9" spans="2:1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</row>
    <row r="10" spans="2:13">
      <c r="K10" s="7" t="s">
        <v>24</v>
      </c>
      <c r="L10" s="23">
        <v>-485.8</v>
      </c>
    </row>
    <row r="13" spans="2:13">
      <c r="L13" s="14" t="s">
        <v>25</v>
      </c>
      <c r="M13" s="15">
        <v>546</v>
      </c>
    </row>
    <row r="14" spans="2:13">
      <c r="L14" s="16"/>
      <c r="M14" s="17"/>
    </row>
    <row r="15" spans="2:13">
      <c r="L15" s="18" t="s">
        <v>26</v>
      </c>
      <c r="M15" s="24">
        <v>-485.8</v>
      </c>
    </row>
    <row r="17" spans="1:1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1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21" spans="1:13">
      <c r="C21" s="1" t="s">
        <v>254</v>
      </c>
      <c r="D21" s="1" t="s">
        <v>254</v>
      </c>
    </row>
    <row r="22" spans="1:13">
      <c r="B22" s="2" t="s">
        <v>49</v>
      </c>
      <c r="C22" s="2" t="s">
        <v>176</v>
      </c>
      <c r="D22" s="3">
        <v>10</v>
      </c>
      <c r="I22" s="4" t="s">
        <v>182</v>
      </c>
      <c r="J22" s="4"/>
      <c r="K22" s="4"/>
      <c r="L22" s="5" t="s">
        <v>13</v>
      </c>
      <c r="M22" s="5">
        <v>10</v>
      </c>
    </row>
    <row r="23" spans="1:13">
      <c r="B23" s="6" t="s">
        <v>49</v>
      </c>
      <c r="C23" s="2" t="s">
        <v>4</v>
      </c>
      <c r="D23" s="3">
        <v>10</v>
      </c>
    </row>
    <row r="24" spans="1:13">
      <c r="I24" s="7" t="s">
        <v>22</v>
      </c>
      <c r="J24" s="21">
        <v>-8.9</v>
      </c>
      <c r="K24" s="21">
        <v>-88.97</v>
      </c>
      <c r="L24" s="9" t="s">
        <v>23</v>
      </c>
    </row>
    <row r="25" spans="1:13">
      <c r="E25" s="3" t="s">
        <v>5</v>
      </c>
      <c r="F25" s="3">
        <v>10</v>
      </c>
    </row>
    <row r="27" spans="1:13">
      <c r="C27" s="2" t="s">
        <v>6</v>
      </c>
      <c r="D27" s="2" t="s">
        <v>7</v>
      </c>
      <c r="E27" s="2" t="s">
        <v>8</v>
      </c>
      <c r="F27" s="2" t="s">
        <v>9</v>
      </c>
      <c r="G27" s="2" t="s">
        <v>10</v>
      </c>
    </row>
    <row r="28" spans="1:13">
      <c r="K28" s="7" t="s">
        <v>24</v>
      </c>
      <c r="L28" s="23">
        <v>-8.9</v>
      </c>
    </row>
    <row r="31" spans="1:13">
      <c r="L31" s="14" t="s">
        <v>25</v>
      </c>
      <c r="M31" s="15">
        <v>10</v>
      </c>
    </row>
    <row r="32" spans="1:13">
      <c r="L32" s="16"/>
      <c r="M32" s="17"/>
    </row>
    <row r="33" spans="1:13">
      <c r="L33" s="18" t="s">
        <v>26</v>
      </c>
      <c r="M33" s="24">
        <v>-8.9</v>
      </c>
    </row>
    <row r="35" spans="1:1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44" spans="1:1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8" spans="1:13">
      <c r="E48" s="25" t="s">
        <v>251</v>
      </c>
      <c r="F48" s="25" t="s">
        <v>252</v>
      </c>
      <c r="G48" s="25" t="s">
        <v>24</v>
      </c>
      <c r="H48" s="25" t="s">
        <v>253</v>
      </c>
    </row>
    <row r="49" spans="3:8">
      <c r="C49" s="26" t="s">
        <v>218</v>
      </c>
      <c r="D49" s="27" t="s">
        <v>218</v>
      </c>
      <c r="E49" s="27">
        <v>13</v>
      </c>
      <c r="F49" s="27">
        <v>42.77</v>
      </c>
      <c r="G49" s="27">
        <v>556</v>
      </c>
      <c r="H49" s="27">
        <v>49.55</v>
      </c>
    </row>
    <row r="50" spans="3:8">
      <c r="C50" s="26" t="s">
        <v>254</v>
      </c>
      <c r="D50" s="27" t="s">
        <v>254</v>
      </c>
      <c r="E50" s="27">
        <v>14</v>
      </c>
      <c r="F50" s="27">
        <v>40.43</v>
      </c>
      <c r="G50" s="27">
        <v>566</v>
      </c>
      <c r="H50" s="27">
        <v>50.45</v>
      </c>
    </row>
    <row r="51" spans="3:8">
      <c r="G51" s="28">
        <v>1122</v>
      </c>
      <c r="H51" s="28">
        <v>100</v>
      </c>
    </row>
  </sheetData>
  <mergeCells count="5">
    <mergeCell ref="I4:K4"/>
    <mergeCell ref="A17:M18"/>
    <mergeCell ref="I22:K22"/>
    <mergeCell ref="A35:M36"/>
    <mergeCell ref="A44:M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JMQ</vt:lpstr>
      <vt:lpstr>TEFI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2023-02-09T15:36:59Z</dcterms:created>
  <dcterms:modified xsi:type="dcterms:W3CDTF">2023-02-09T15:36:59Z</dcterms:modified>
</cp:coreProperties>
</file>