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JMQ" sheetId="1" r:id="rId1"/>
  </sheets>
  <calcPr calcId="124519" fullCalcOnLoad="1"/>
</workbook>
</file>

<file path=xl/sharedStrings.xml><?xml version="1.0" encoding="utf-8"?>
<sst xmlns="http://schemas.openxmlformats.org/spreadsheetml/2006/main" count="858" uniqueCount="194">
  <si>
    <t>Air Products and Chemicals, Inc.</t>
  </si>
  <si>
    <t>APD</t>
  </si>
  <si>
    <t>4 stocks</t>
  </si>
  <si>
    <t>2022-2-1</t>
  </si>
  <si>
    <t>2022-26-5</t>
  </si>
  <si>
    <t>8 stocks</t>
  </si>
  <si>
    <t>2023-02-07</t>
  </si>
  <si>
    <t>Promedio</t>
  </si>
  <si>
    <t>$</t>
  </si>
  <si>
    <t>7%</t>
  </si>
  <si>
    <t>11%</t>
  </si>
  <si>
    <t>15%</t>
  </si>
  <si>
    <t>20%</t>
  </si>
  <si>
    <t>2023-02-05</t>
  </si>
  <si>
    <t>285.02</t>
  </si>
  <si>
    <t>Junior 0</t>
  </si>
  <si>
    <t>Junior 1</t>
  </si>
  <si>
    <t>2023-02-06</t>
  </si>
  <si>
    <t>281.33</t>
  </si>
  <si>
    <t>Se compro en: 2022-2-1</t>
  </si>
  <si>
    <t>Utilidad</t>
  </si>
  <si>
    <t>% util</t>
  </si>
  <si>
    <t>Se compro en: 2022-26-5</t>
  </si>
  <si>
    <t>Total</t>
  </si>
  <si>
    <t>Valor</t>
  </si>
  <si>
    <t>Total perdida</t>
  </si>
  <si>
    <t>Alphabet Inc.</t>
  </si>
  <si>
    <t>GOOGL</t>
  </si>
  <si>
    <t>1 stocks</t>
  </si>
  <si>
    <t>2022-13-6</t>
  </si>
  <si>
    <t>2 stocks</t>
  </si>
  <si>
    <t>102.82</t>
  </si>
  <si>
    <t>Se compro en: 2022-13-6</t>
  </si>
  <si>
    <t>Amazon.com, Inc.</t>
  </si>
  <si>
    <t>AMZN</t>
  </si>
  <si>
    <t>32 stocks</t>
  </si>
  <si>
    <t>2022-2-25</t>
  </si>
  <si>
    <t>12 stocks</t>
  </si>
  <si>
    <t>2022-28-10</t>
  </si>
  <si>
    <t>2022-17-6</t>
  </si>
  <si>
    <t>2022-6-6</t>
  </si>
  <si>
    <t>2022-24-5</t>
  </si>
  <si>
    <t>57 stocks</t>
  </si>
  <si>
    <t>103.39</t>
  </si>
  <si>
    <t>Junior 2</t>
  </si>
  <si>
    <t>Junior 3</t>
  </si>
  <si>
    <t>Junior 4</t>
  </si>
  <si>
    <t>Junior 5</t>
  </si>
  <si>
    <t>102.49</t>
  </si>
  <si>
    <t>Se compro en: 2022-2-25</t>
  </si>
  <si>
    <t>Se compro en: 2022-28-10</t>
  </si>
  <si>
    <t>Se compro en: 2022-17-6</t>
  </si>
  <si>
    <t>Se compro en: 2022-6-6</t>
  </si>
  <si>
    <t>Se compro en: 2022-24-5</t>
  </si>
  <si>
    <t>Apple Inc.</t>
  </si>
  <si>
    <t>AAPL</t>
  </si>
  <si>
    <t>10 stocks</t>
  </si>
  <si>
    <t>2022-05-27</t>
  </si>
  <si>
    <t>3 stocks</t>
  </si>
  <si>
    <t>2022-06-13</t>
  </si>
  <si>
    <t>2022-06-17</t>
  </si>
  <si>
    <t>2022-25-5</t>
  </si>
  <si>
    <t>29 stocks</t>
  </si>
  <si>
    <t>149.64</t>
  </si>
  <si>
    <t>2022-06-03</t>
  </si>
  <si>
    <t>145.38</t>
  </si>
  <si>
    <t>2022-06-15</t>
  </si>
  <si>
    <t>132.26</t>
  </si>
  <si>
    <t>2022-06-22</t>
  </si>
  <si>
    <t>136.18</t>
  </si>
  <si>
    <t>2022-11-11</t>
  </si>
  <si>
    <t>149.70</t>
  </si>
  <si>
    <t>2022-09-01</t>
  </si>
  <si>
    <t>130.15</t>
  </si>
  <si>
    <t>154.5</t>
  </si>
  <si>
    <t>151.79</t>
  </si>
  <si>
    <t>Se compro en: 2022-05-27</t>
  </si>
  <si>
    <t>Se compro en: 2022-06-13</t>
  </si>
  <si>
    <t>Se compro en: 2022-06-17</t>
  </si>
  <si>
    <t>Se compro en: 2022-25-5</t>
  </si>
  <si>
    <t>Bank of America Corporation</t>
  </si>
  <si>
    <t>BAC</t>
  </si>
  <si>
    <t>15 stocks</t>
  </si>
  <si>
    <t>2022-09-22</t>
  </si>
  <si>
    <t>36.43</t>
  </si>
  <si>
    <t>36.355</t>
  </si>
  <si>
    <t>Se compro en: 2022-09-22</t>
  </si>
  <si>
    <t>Carnival Corporation &amp; plc</t>
  </si>
  <si>
    <t>CCL</t>
  </si>
  <si>
    <t>137 stocks</t>
  </si>
  <si>
    <t>2022-1-1</t>
  </si>
  <si>
    <t>50 stocks</t>
  </si>
  <si>
    <t>70 stocks</t>
  </si>
  <si>
    <t>37 stocks</t>
  </si>
  <si>
    <t>344 stocks</t>
  </si>
  <si>
    <t>11.8</t>
  </si>
  <si>
    <t>11.715</t>
  </si>
  <si>
    <t>Se compro en: 2022-1-1</t>
  </si>
  <si>
    <t>Citigroup Inc.</t>
  </si>
  <si>
    <t>C</t>
  </si>
  <si>
    <t>11 stocks</t>
  </si>
  <si>
    <t>5 stocks</t>
  </si>
  <si>
    <t>2022-31-5</t>
  </si>
  <si>
    <t>74 stocks</t>
  </si>
  <si>
    <t>50.95</t>
  </si>
  <si>
    <t>50.86</t>
  </si>
  <si>
    <t>Se compro en: 2022-31-5</t>
  </si>
  <si>
    <t>Costco Wholesale Corporation</t>
  </si>
  <si>
    <t>COST</t>
  </si>
  <si>
    <t>2020-12-31</t>
  </si>
  <si>
    <t>2023-01-25</t>
  </si>
  <si>
    <t>489.12</t>
  </si>
  <si>
    <t>514.8</t>
  </si>
  <si>
    <t>514.74</t>
  </si>
  <si>
    <t>Se compro en: 2020-12-31</t>
  </si>
  <si>
    <t>FedEx Corporation</t>
  </si>
  <si>
    <t>FDX</t>
  </si>
  <si>
    <t>214.67</t>
  </si>
  <si>
    <t>210.04</t>
  </si>
  <si>
    <t>Ford Motor Company</t>
  </si>
  <si>
    <t>F</t>
  </si>
  <si>
    <t>76 stocks</t>
  </si>
  <si>
    <t>13.045</t>
  </si>
  <si>
    <t>General Electric Company</t>
  </si>
  <si>
    <t>GE</t>
  </si>
  <si>
    <t>7 stocks</t>
  </si>
  <si>
    <t>14 stocks</t>
  </si>
  <si>
    <t>82.17</t>
  </si>
  <si>
    <t>Invesco QQQ Trust</t>
  </si>
  <si>
    <t>QQQ</t>
  </si>
  <si>
    <t>2022-14-9</t>
  </si>
  <si>
    <t>306.18</t>
  </si>
  <si>
    <t>303.04</t>
  </si>
  <si>
    <t>Se compro en: 2022-14-9</t>
  </si>
  <si>
    <t>JPMorgan Chase &amp; Co.</t>
  </si>
  <si>
    <t>JPM</t>
  </si>
  <si>
    <t>2022-6-17</t>
  </si>
  <si>
    <t>141.09</t>
  </si>
  <si>
    <t>141.715</t>
  </si>
  <si>
    <t>Se compro en: 2022-6-17</t>
  </si>
  <si>
    <t>Johnson &amp; Johnson</t>
  </si>
  <si>
    <t>JNJ</t>
  </si>
  <si>
    <t>6 stocks</t>
  </si>
  <si>
    <t>164.61</t>
  </si>
  <si>
    <t>163.355</t>
  </si>
  <si>
    <t>Meta Platforms, Inc.</t>
  </si>
  <si>
    <t>META</t>
  </si>
  <si>
    <t>2023-1-1</t>
  </si>
  <si>
    <t>186.53</t>
  </si>
  <si>
    <t>185.99</t>
  </si>
  <si>
    <t>Se compro en: 2023-1-1</t>
  </si>
  <si>
    <t>Microsoft Corporation</t>
  </si>
  <si>
    <t>MSFT</t>
  </si>
  <si>
    <t>256.56</t>
  </si>
  <si>
    <t>Morgan Stanley</t>
  </si>
  <si>
    <t>MS</t>
  </si>
  <si>
    <t>2022-09-16</t>
  </si>
  <si>
    <t>18 stocks</t>
  </si>
  <si>
    <t>99.43</t>
  </si>
  <si>
    <t>98.74</t>
  </si>
  <si>
    <t>Se compro en: 2022-09-16</t>
  </si>
  <si>
    <t>PayPal Holdings, Inc.</t>
  </si>
  <si>
    <t>PYPL</t>
  </si>
  <si>
    <t>2022-6-21</t>
  </si>
  <si>
    <t>17 stocks</t>
  </si>
  <si>
    <t>85.52</t>
  </si>
  <si>
    <t>82.395</t>
  </si>
  <si>
    <t>Se compro en: 2022-6-21</t>
  </si>
  <si>
    <t>SPDR S&amp;P 500 ETF Trust</t>
  </si>
  <si>
    <t>SPY</t>
  </si>
  <si>
    <t>400.28</t>
  </si>
  <si>
    <t>412.35</t>
  </si>
  <si>
    <t>409.25</t>
  </si>
  <si>
    <t>Se compro en: 2023-01-25</t>
  </si>
  <si>
    <t>Tesla, Inc.</t>
  </si>
  <si>
    <t>TSLA</t>
  </si>
  <si>
    <t>2022-09-11</t>
  </si>
  <si>
    <t>2022-22-11</t>
  </si>
  <si>
    <t>189.98</t>
  </si>
  <si>
    <t>194.19</t>
  </si>
  <si>
    <t>Se compro en: 2022-09-11</t>
  </si>
  <si>
    <t>Se compro en: 2022-22-11</t>
  </si>
  <si>
    <t>The Walt Disney Company</t>
  </si>
  <si>
    <t>DIS</t>
  </si>
  <si>
    <t>19 stocks</t>
  </si>
  <si>
    <t>106.22</t>
  </si>
  <si>
    <t>110.71</t>
  </si>
  <si>
    <t>109.405</t>
  </si>
  <si>
    <t>Walmart Inc.</t>
  </si>
  <si>
    <t>WMT</t>
  </si>
  <si>
    <t>140.24</t>
  </si>
  <si>
    <t>Nro. Acciones</t>
  </si>
  <si>
    <t>Costo</t>
  </si>
  <si>
    <t>% Cartera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</si>
</sst>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scheme val="minor"/>
    </font>
    <font>
      <sz val="16"/>
      <color rgb="FF123456"/>
      <name val="Calibri"/>
      <family val="2"/>
      <scheme val="minor"/>
    </font>
    <font>
      <sz val="11"/>
      <color rgb="FF800000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color rgb="FF800080"/>
      <name val="Calibri"/>
      <family val="2"/>
      <scheme val="minor"/>
    </font>
    <font>
      <sz val="13"/>
      <color rgb="FF0000FF"/>
      <name val="Calibri"/>
      <family val="2"/>
      <scheme val="minor"/>
    </font>
    <font>
      <sz val="11"/>
      <color rgb="FFFF0000"/>
      <name val="Calibri"/>
      <family val="2"/>
      <scheme val="minor"/>
    </font>
    <font>
      <sz val="13"/>
      <color rgb="FFFF0000"/>
      <name val="Calibri"/>
      <family val="2"/>
      <scheme val="minor"/>
    </font>
    <font>
      <b/>
      <sz val="12"/>
      <color rgb="FF123456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82CA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E8E4C9"/>
        <bgColor indexed="64"/>
      </patternFill>
    </fill>
    <fill>
      <patternFill patternType="solid">
        <fgColor rgb="FF43302E"/>
        <bgColor indexed="64"/>
      </patternFill>
    </fill>
  </fills>
  <borders count="1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2" borderId="1" xfId="0" applyFont="1" applyFill="1" applyBorder="1" applyAlignment="1">
      <alignment horizontal="centerContinuous" vertical="center" wrapText="1"/>
    </xf>
    <xf numFmtId="0" fontId="0" fillId="0" borderId="0" xfId="0" applyAlignment="1">
      <alignment horizontal="centerContinuous" vertical="center"/>
    </xf>
    <xf numFmtId="0" fontId="2" fillId="0" borderId="1" xfId="0" applyFont="1" applyBorder="1" applyAlignment="1">
      <alignment horizontal="centerContinuous" vertical="center"/>
    </xf>
    <xf numFmtId="0" fontId="0" fillId="3" borderId="0" xfId="0" applyFill="1" applyAlignment="1">
      <alignment horizontal="centerContinuous"/>
    </xf>
    <xf numFmtId="0" fontId="0" fillId="4" borderId="0" xfId="0" applyFill="1" applyAlignment="1">
      <alignment horizontal="centerContinuous"/>
    </xf>
    <xf numFmtId="0" fontId="3" fillId="0" borderId="0" xfId="0" applyFont="1" applyAlignment="1">
      <alignment horizontal="centerContinuous" vertical="center"/>
    </xf>
    <xf numFmtId="0" fontId="4" fillId="0" borderId="2" xfId="0" applyFon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4" fillId="0" borderId="4" xfId="0" applyFont="1" applyBorder="1" applyAlignment="1">
      <alignment horizontal="centerContinuous"/>
    </xf>
    <xf numFmtId="0" fontId="0" fillId="4" borderId="0" xfId="0" applyFill="1"/>
    <xf numFmtId="0" fontId="0" fillId="0" borderId="1" xfId="0" applyBorder="1" applyAlignment="1">
      <alignment horizontal="centerContinuous" vertical="center"/>
    </xf>
    <xf numFmtId="0" fontId="3" fillId="0" borderId="0" xfId="0" applyFont="1"/>
    <xf numFmtId="0" fontId="5" fillId="3" borderId="1" xfId="0" applyFont="1" applyFill="1" applyBorder="1" applyAlignment="1">
      <alignment horizontal="centerContinuous" wrapText="1"/>
    </xf>
    <xf numFmtId="0" fontId="4" fillId="0" borderId="5" xfId="0" applyFont="1" applyBorder="1" applyAlignment="1">
      <alignment horizontal="centerContinuous" wrapText="1"/>
    </xf>
    <xf numFmtId="0" fontId="4" fillId="0" borderId="6" xfId="0" applyFont="1" applyBorder="1" applyAlignment="1">
      <alignment horizontal="centerContinuous" wrapText="1"/>
    </xf>
    <xf numFmtId="0" fontId="4" fillId="0" borderId="7" xfId="0" applyFont="1" applyBorder="1" applyAlignment="1">
      <alignment horizontal="centerContinuous" wrapText="1"/>
    </xf>
    <xf numFmtId="0" fontId="4" fillId="0" borderId="8" xfId="0" applyFont="1" applyBorder="1" applyAlignment="1">
      <alignment horizontal="centerContinuous" wrapText="1"/>
    </xf>
    <xf numFmtId="0" fontId="4" fillId="0" borderId="9" xfId="0" applyFont="1" applyBorder="1" applyAlignment="1">
      <alignment horizontal="centerContinuous" wrapText="1"/>
    </xf>
    <xf numFmtId="0" fontId="3" fillId="0" borderId="10" xfId="0" applyFont="1" applyBorder="1"/>
    <xf numFmtId="0" fontId="0" fillId="5" borderId="0" xfId="0" applyFill="1"/>
    <xf numFmtId="0" fontId="6" fillId="0" borderId="3" xfId="0" applyFont="1" applyBorder="1" applyAlignment="1">
      <alignment horizontal="centerContinuous"/>
    </xf>
    <xf numFmtId="0" fontId="6" fillId="0" borderId="0" xfId="0" applyFont="1"/>
    <xf numFmtId="0" fontId="7" fillId="3" borderId="1" xfId="0" applyFont="1" applyFill="1" applyBorder="1" applyAlignment="1">
      <alignment horizontal="centerContinuous"/>
    </xf>
    <xf numFmtId="0" fontId="6" fillId="0" borderId="10" xfId="0" applyFont="1" applyBorder="1"/>
    <xf numFmtId="0" fontId="8" fillId="0" borderId="0" xfId="0" applyFont="1"/>
    <xf numFmtId="0" fontId="1" fillId="2" borderId="1" xfId="0" applyFont="1" applyFill="1" applyBorder="1" applyAlignment="1">
      <alignment wrapText="1"/>
    </xf>
    <xf numFmtId="0" fontId="0" fillId="0" borderId="1" xfId="0" applyBorder="1" applyAlignment="1">
      <alignment horizontal="centerContinuous" vertical="center" wrapText="1"/>
    </xf>
    <xf numFmtId="0" fontId="9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3:S611"/>
  <sheetViews>
    <sheetView tabSelected="1" workbookViewId="0"/>
  </sheetViews>
  <sheetFormatPr defaultRowHeight="15"/>
  <cols>
    <col min="2" max="2" width="10.7109375" customWidth="1"/>
    <col min="3" max="3" width="20.7109375" customWidth="1"/>
  </cols>
  <sheetData>
    <row r="3" spans="2:14">
      <c r="C3" s="1" t="s">
        <v>0</v>
      </c>
      <c r="D3" s="1" t="s">
        <v>1</v>
      </c>
    </row>
    <row r="4" spans="2:14">
      <c r="B4" s="2" t="s">
        <v>2</v>
      </c>
      <c r="C4" s="2" t="s">
        <v>3</v>
      </c>
      <c r="D4" s="3">
        <v>245.87</v>
      </c>
    </row>
    <row r="5" spans="2:14">
      <c r="B5" s="2" t="s">
        <v>2</v>
      </c>
      <c r="C5" s="2" t="s">
        <v>4</v>
      </c>
      <c r="D5" s="3">
        <v>240.86</v>
      </c>
      <c r="K5" s="4" t="s">
        <v>19</v>
      </c>
      <c r="L5" s="4"/>
      <c r="M5" s="4"/>
      <c r="N5" s="5" t="s">
        <v>15</v>
      </c>
    </row>
    <row r="6" spans="2:14">
      <c r="B6" s="6" t="s">
        <v>5</v>
      </c>
      <c r="C6" s="2" t="s">
        <v>6</v>
      </c>
      <c r="D6" s="3">
        <v>486.73</v>
      </c>
    </row>
    <row r="7" spans="2:14">
      <c r="K7" s="7" t="s">
        <v>20</v>
      </c>
      <c r="L7" s="8">
        <v>155.6</v>
      </c>
      <c r="M7" s="8">
        <v>15.82</v>
      </c>
      <c r="N7" s="9" t="s">
        <v>21</v>
      </c>
    </row>
    <row r="8" spans="2:14">
      <c r="E8" s="3" t="s">
        <v>7</v>
      </c>
      <c r="F8" s="3">
        <v>243.37</v>
      </c>
    </row>
    <row r="9" spans="2:14">
      <c r="K9" s="4" t="s">
        <v>22</v>
      </c>
      <c r="L9" s="4"/>
      <c r="M9" s="4"/>
      <c r="N9" s="5" t="s">
        <v>16</v>
      </c>
    </row>
    <row r="10" spans="2:14">
      <c r="C10" s="2" t="s">
        <v>8</v>
      </c>
      <c r="D10" s="2" t="s">
        <v>9</v>
      </c>
      <c r="E10" s="2" t="s">
        <v>10</v>
      </c>
      <c r="F10" s="2" t="s">
        <v>11</v>
      </c>
      <c r="G10" s="2" t="s">
        <v>12</v>
      </c>
      <c r="H10" s="10" t="s">
        <v>15</v>
      </c>
      <c r="I10" s="10" t="s">
        <v>16</v>
      </c>
    </row>
    <row r="11" spans="2:14">
      <c r="B11" s="2" t="s">
        <v>13</v>
      </c>
      <c r="C11" s="2" t="s">
        <v>14</v>
      </c>
      <c r="D11" s="11">
        <f>(285.02*0.07)+285.02</f>
        <v>0</v>
      </c>
      <c r="E11" s="11">
        <f>(285.02*0.10)+285.02</f>
        <v>0</v>
      </c>
      <c r="F11" s="11">
        <f>(285.02*0.15)+285.02</f>
        <v>0</v>
      </c>
      <c r="G11" s="11">
        <f>(285.02*0.20)+285.02</f>
        <v>0</v>
      </c>
      <c r="H11" s="12">
        <v>15.92</v>
      </c>
      <c r="I11" s="12">
        <v>18.33</v>
      </c>
      <c r="K11" s="7" t="s">
        <v>20</v>
      </c>
      <c r="L11" s="8">
        <v>175.64</v>
      </c>
      <c r="M11" s="8">
        <v>18.23</v>
      </c>
      <c r="N11" s="9" t="s">
        <v>21</v>
      </c>
    </row>
    <row r="12" spans="2:14">
      <c r="B12" s="2" t="s">
        <v>17</v>
      </c>
      <c r="C12" s="2" t="s">
        <v>18</v>
      </c>
      <c r="D12" s="11">
        <f>(281.33*0.07)+281.33</f>
        <v>0</v>
      </c>
      <c r="E12" s="11">
        <f>(281.33*0.10)+281.33</f>
        <v>0</v>
      </c>
      <c r="F12" s="11">
        <f>(281.33*0.15)+281.33</f>
        <v>0</v>
      </c>
      <c r="G12" s="11">
        <f>(281.33*0.20)+281.33</f>
        <v>0</v>
      </c>
      <c r="H12" s="12">
        <v>14.42</v>
      </c>
      <c r="I12" s="12">
        <v>16.8</v>
      </c>
    </row>
    <row r="13" spans="2:14">
      <c r="B13" s="2" t="s">
        <v>6</v>
      </c>
      <c r="C13" s="2">
        <v>284.77</v>
      </c>
      <c r="D13" s="11">
        <f>(284.77*0.07)+284.77</f>
        <v>0</v>
      </c>
      <c r="E13" s="11">
        <f>(284.77*0.10)+284.77</f>
        <v>0</v>
      </c>
      <c r="F13" s="11">
        <f>(284.77*0.15)+284.77</f>
        <v>0</v>
      </c>
      <c r="G13" s="11">
        <f>(284.77*0.20)+284.77</f>
        <v>0</v>
      </c>
      <c r="H13" s="12">
        <v>15.82</v>
      </c>
      <c r="I13" s="12">
        <v>18.23</v>
      </c>
    </row>
    <row r="15" spans="2:14">
      <c r="M15" s="7" t="s">
        <v>23</v>
      </c>
      <c r="N15" s="13">
        <v>331.24</v>
      </c>
    </row>
    <row r="18" spans="1:15">
      <c r="N18" s="14" t="s">
        <v>24</v>
      </c>
      <c r="O18" s="15">
        <v>1946.92</v>
      </c>
    </row>
    <row r="19" spans="1:15">
      <c r="N19" s="16"/>
      <c r="O19" s="17"/>
    </row>
    <row r="20" spans="1:15">
      <c r="N20" s="18" t="s">
        <v>25</v>
      </c>
      <c r="O20" s="19">
        <v>331.24</v>
      </c>
    </row>
    <row r="22" spans="1:15">
      <c r="A22" s="20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</row>
    <row r="23" spans="1:15">
      <c r="A23" s="20"/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</row>
    <row r="26" spans="1:15">
      <c r="C26" s="1" t="s">
        <v>26</v>
      </c>
      <c r="D26" s="1" t="s">
        <v>27</v>
      </c>
    </row>
    <row r="27" spans="1:15">
      <c r="B27" s="2" t="s">
        <v>28</v>
      </c>
      <c r="C27" s="2" t="s">
        <v>29</v>
      </c>
      <c r="D27" s="3">
        <v>2148.02</v>
      </c>
    </row>
    <row r="28" spans="1:15">
      <c r="B28" s="2" t="s">
        <v>28</v>
      </c>
      <c r="C28" s="2" t="s">
        <v>4</v>
      </c>
      <c r="D28" s="3">
        <v>2145.46</v>
      </c>
      <c r="K28" s="4" t="s">
        <v>32</v>
      </c>
      <c r="L28" s="4"/>
      <c r="M28" s="4"/>
      <c r="N28" s="5" t="s">
        <v>15</v>
      </c>
    </row>
    <row r="29" spans="1:15">
      <c r="B29" s="6" t="s">
        <v>30</v>
      </c>
      <c r="C29" s="2" t="s">
        <v>6</v>
      </c>
      <c r="D29" s="3">
        <v>4293.47</v>
      </c>
    </row>
    <row r="30" spans="1:15">
      <c r="K30" s="7" t="s">
        <v>20</v>
      </c>
      <c r="L30" s="21">
        <v>-2041.47</v>
      </c>
      <c r="M30" s="21">
        <v>-95.04000000000001</v>
      </c>
      <c r="N30" s="9" t="s">
        <v>21</v>
      </c>
    </row>
    <row r="31" spans="1:15">
      <c r="E31" s="3" t="s">
        <v>7</v>
      </c>
      <c r="F31" s="3">
        <v>2146.74</v>
      </c>
    </row>
    <row r="32" spans="1:15">
      <c r="K32" s="4" t="s">
        <v>22</v>
      </c>
      <c r="L32" s="4"/>
      <c r="M32" s="4"/>
      <c r="N32" s="5" t="s">
        <v>16</v>
      </c>
    </row>
    <row r="33" spans="1:15">
      <c r="C33" s="2" t="s">
        <v>8</v>
      </c>
      <c r="D33" s="2" t="s">
        <v>9</v>
      </c>
      <c r="E33" s="2" t="s">
        <v>10</v>
      </c>
      <c r="F33" s="2" t="s">
        <v>11</v>
      </c>
      <c r="G33" s="2" t="s">
        <v>12</v>
      </c>
      <c r="H33" s="10" t="s">
        <v>15</v>
      </c>
      <c r="I33" s="10" t="s">
        <v>16</v>
      </c>
    </row>
    <row r="34" spans="1:15">
      <c r="B34" s="2" t="s">
        <v>17</v>
      </c>
      <c r="C34" s="2" t="s">
        <v>31</v>
      </c>
      <c r="D34" s="11">
        <f>(102.82*0.07)+102.82</f>
        <v>0</v>
      </c>
      <c r="E34" s="11">
        <f>(102.82*0.10)+102.82</f>
        <v>0</v>
      </c>
      <c r="F34" s="11">
        <f>(102.82*0.15)+102.82</f>
        <v>0</v>
      </c>
      <c r="G34" s="11">
        <f>(102.82*0.20)+102.82</f>
        <v>0</v>
      </c>
      <c r="H34" s="22">
        <v>-95.20999999999999</v>
      </c>
      <c r="I34" s="22">
        <v>-95.20999999999999</v>
      </c>
      <c r="K34" s="7" t="s">
        <v>20</v>
      </c>
      <c r="L34" s="21">
        <v>-2038.91</v>
      </c>
      <c r="M34" s="21">
        <v>-95.03</v>
      </c>
      <c r="N34" s="9" t="s">
        <v>21</v>
      </c>
    </row>
    <row r="35" spans="1:15">
      <c r="B35" s="2" t="s">
        <v>6</v>
      </c>
      <c r="C35" s="2">
        <v>106.55</v>
      </c>
      <c r="D35" s="11">
        <f>(106.55*0.07)+106.55</f>
        <v>0</v>
      </c>
      <c r="E35" s="11">
        <f>(106.55*0.10)+106.55</f>
        <v>0</v>
      </c>
      <c r="F35" s="11">
        <f>(106.55*0.15)+106.55</f>
        <v>0</v>
      </c>
      <c r="G35" s="11">
        <f>(106.55*0.20)+106.55</f>
        <v>0</v>
      </c>
      <c r="H35" s="22">
        <v>-95.04000000000001</v>
      </c>
      <c r="I35" s="22">
        <v>-95.03</v>
      </c>
    </row>
    <row r="38" spans="1:15">
      <c r="M38" s="7" t="s">
        <v>23</v>
      </c>
      <c r="N38" s="23">
        <v>-4080.37</v>
      </c>
    </row>
    <row r="41" spans="1:15">
      <c r="N41" s="14" t="s">
        <v>24</v>
      </c>
      <c r="O41" s="15">
        <v>4293.47</v>
      </c>
    </row>
    <row r="42" spans="1:15">
      <c r="N42" s="16"/>
      <c r="O42" s="17"/>
    </row>
    <row r="43" spans="1:15">
      <c r="N43" s="18" t="s">
        <v>25</v>
      </c>
      <c r="O43" s="24">
        <v>-4080.37</v>
      </c>
    </row>
    <row r="45" spans="1:15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</row>
    <row r="46" spans="1:15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</row>
    <row r="49" spans="2:18">
      <c r="C49" s="1" t="s">
        <v>33</v>
      </c>
      <c r="D49" s="1" t="s">
        <v>34</v>
      </c>
    </row>
    <row r="50" spans="2:18">
      <c r="B50" s="2" t="s">
        <v>35</v>
      </c>
      <c r="C50" s="2" t="s">
        <v>36</v>
      </c>
      <c r="D50" s="3">
        <v>109.56</v>
      </c>
    </row>
    <row r="51" spans="2:18">
      <c r="B51" s="2" t="s">
        <v>37</v>
      </c>
      <c r="C51" s="2" t="s">
        <v>38</v>
      </c>
      <c r="D51" s="3">
        <v>100.21</v>
      </c>
    </row>
    <row r="52" spans="2:18">
      <c r="B52" s="2" t="s">
        <v>2</v>
      </c>
      <c r="C52" s="2" t="s">
        <v>39</v>
      </c>
      <c r="D52" s="3">
        <v>105.88</v>
      </c>
    </row>
    <row r="53" spans="2:18">
      <c r="B53" s="2" t="s">
        <v>2</v>
      </c>
      <c r="C53" s="2" t="s">
        <v>29</v>
      </c>
      <c r="D53" s="3">
        <v>103.92</v>
      </c>
    </row>
    <row r="54" spans="2:18">
      <c r="B54" s="2" t="s">
        <v>2</v>
      </c>
      <c r="C54" s="2" t="s">
        <v>40</v>
      </c>
      <c r="D54" s="3">
        <v>126.7</v>
      </c>
    </row>
    <row r="55" spans="2:18">
      <c r="B55" s="2" t="s">
        <v>28</v>
      </c>
      <c r="C55" s="2" t="s">
        <v>41</v>
      </c>
      <c r="D55" s="3">
        <v>2079.84</v>
      </c>
      <c r="O55" s="4" t="s">
        <v>49</v>
      </c>
      <c r="P55" s="4"/>
      <c r="Q55" s="4"/>
      <c r="R55" s="5" t="s">
        <v>15</v>
      </c>
    </row>
    <row r="56" spans="2:18">
      <c r="B56" s="6" t="s">
        <v>42</v>
      </c>
      <c r="C56" s="2" t="s">
        <v>6</v>
      </c>
      <c r="D56" s="3">
        <v>2626.11</v>
      </c>
    </row>
    <row r="57" spans="2:18">
      <c r="O57" s="7" t="s">
        <v>20</v>
      </c>
      <c r="P57" s="21">
        <v>-263.36</v>
      </c>
      <c r="Q57" s="21">
        <v>-7.51</v>
      </c>
      <c r="R57" s="9" t="s">
        <v>21</v>
      </c>
    </row>
    <row r="58" spans="2:18">
      <c r="E58" s="3" t="s">
        <v>7</v>
      </c>
      <c r="F58" s="3">
        <v>142.71</v>
      </c>
    </row>
    <row r="59" spans="2:18">
      <c r="O59" s="4" t="s">
        <v>50</v>
      </c>
      <c r="P59" s="4"/>
      <c r="Q59" s="4"/>
      <c r="R59" s="5" t="s">
        <v>16</v>
      </c>
    </row>
    <row r="60" spans="2:18">
      <c r="C60" s="2" t="s">
        <v>8</v>
      </c>
      <c r="D60" s="2" t="s">
        <v>9</v>
      </c>
      <c r="E60" s="2" t="s">
        <v>10</v>
      </c>
      <c r="F60" s="2" t="s">
        <v>11</v>
      </c>
      <c r="G60" s="2" t="s">
        <v>12</v>
      </c>
      <c r="H60" s="10" t="s">
        <v>15</v>
      </c>
      <c r="I60" s="10" t="s">
        <v>16</v>
      </c>
      <c r="J60" s="10" t="s">
        <v>44</v>
      </c>
      <c r="K60" s="10" t="s">
        <v>45</v>
      </c>
      <c r="L60" s="10" t="s">
        <v>46</v>
      </c>
      <c r="M60" s="10" t="s">
        <v>47</v>
      </c>
    </row>
    <row r="61" spans="2:18">
      <c r="B61" s="2" t="s">
        <v>13</v>
      </c>
      <c r="C61" s="2" t="s">
        <v>43</v>
      </c>
      <c r="D61" s="11">
        <f>(103.39*0.07)+103.39</f>
        <v>0</v>
      </c>
      <c r="E61" s="11">
        <f>(103.39*0.10)+103.39</f>
        <v>0</v>
      </c>
      <c r="F61" s="11">
        <f>(103.39*0.15)+103.39</f>
        <v>0</v>
      </c>
      <c r="G61" s="11">
        <f>(103.39*0.20)+103.39</f>
        <v>0</v>
      </c>
      <c r="H61" s="22">
        <v>-5.63</v>
      </c>
      <c r="I61" s="12">
        <v>3.17</v>
      </c>
      <c r="J61" s="22">
        <v>-2.35</v>
      </c>
      <c r="K61" s="22">
        <v>-0.51</v>
      </c>
      <c r="L61" s="22">
        <v>-18.4</v>
      </c>
      <c r="M61" s="22">
        <v>-95.03</v>
      </c>
      <c r="O61" s="7" t="s">
        <v>20</v>
      </c>
      <c r="P61" s="8">
        <v>13.45</v>
      </c>
      <c r="Q61" s="8">
        <v>1.12</v>
      </c>
      <c r="R61" s="9" t="s">
        <v>21</v>
      </c>
    </row>
    <row r="62" spans="2:18">
      <c r="B62" s="2" t="s">
        <v>17</v>
      </c>
      <c r="C62" s="2" t="s">
        <v>48</v>
      </c>
      <c r="D62" s="11">
        <f>(102.49*0.07)+102.49</f>
        <v>0</v>
      </c>
      <c r="E62" s="11">
        <f>(102.49*0.10)+102.49</f>
        <v>0</v>
      </c>
      <c r="F62" s="11">
        <f>(102.49*0.15)+102.49</f>
        <v>0</v>
      </c>
      <c r="G62" s="11">
        <f>(102.49*0.20)+102.49</f>
        <v>0</v>
      </c>
      <c r="H62" s="22">
        <v>-6.45</v>
      </c>
      <c r="I62" s="12">
        <v>2.28</v>
      </c>
      <c r="J62" s="22">
        <v>-3.2</v>
      </c>
      <c r="K62" s="22">
        <v>-1.38</v>
      </c>
      <c r="L62" s="22">
        <v>-19.11</v>
      </c>
      <c r="M62" s="22">
        <v>-95.06999999999999</v>
      </c>
    </row>
    <row r="63" spans="2:18">
      <c r="B63" s="2" t="s">
        <v>6</v>
      </c>
      <c r="C63" s="2">
        <v>101.33</v>
      </c>
      <c r="D63" s="11">
        <f>(101.33*0.07)+101.33</f>
        <v>0</v>
      </c>
      <c r="E63" s="11">
        <f>(101.33*0.10)+101.33</f>
        <v>0</v>
      </c>
      <c r="F63" s="11">
        <f>(101.33*0.15)+101.33</f>
        <v>0</v>
      </c>
      <c r="G63" s="11">
        <f>(101.33*0.20)+101.33</f>
        <v>0</v>
      </c>
      <c r="H63" s="22">
        <v>-7.51</v>
      </c>
      <c r="I63" s="12">
        <v>1.12</v>
      </c>
      <c r="J63" s="22">
        <v>-4.3</v>
      </c>
      <c r="K63" s="22">
        <v>-2.49</v>
      </c>
      <c r="L63" s="22">
        <v>-20.02</v>
      </c>
      <c r="M63" s="22">
        <v>-95.13</v>
      </c>
      <c r="O63" s="4" t="s">
        <v>51</v>
      </c>
      <c r="P63" s="4"/>
      <c r="Q63" s="4"/>
      <c r="R63" s="5" t="s">
        <v>44</v>
      </c>
    </row>
    <row r="65" spans="15:18">
      <c r="O65" s="7" t="s">
        <v>20</v>
      </c>
      <c r="P65" s="21">
        <v>-18.2</v>
      </c>
      <c r="Q65" s="21">
        <v>-4.3</v>
      </c>
      <c r="R65" s="9" t="s">
        <v>21</v>
      </c>
    </row>
    <row r="67" spans="15:18">
      <c r="O67" s="4" t="s">
        <v>32</v>
      </c>
      <c r="P67" s="4"/>
      <c r="Q67" s="4"/>
      <c r="R67" s="5" t="s">
        <v>45</v>
      </c>
    </row>
    <row r="69" spans="15:18">
      <c r="O69" s="7" t="s">
        <v>20</v>
      </c>
      <c r="P69" s="21">
        <v>-10.36</v>
      </c>
      <c r="Q69" s="21">
        <v>-2.49</v>
      </c>
      <c r="R69" s="9" t="s">
        <v>21</v>
      </c>
    </row>
    <row r="71" spans="15:18">
      <c r="O71" s="4" t="s">
        <v>52</v>
      </c>
      <c r="P71" s="4"/>
      <c r="Q71" s="4"/>
      <c r="R71" s="5" t="s">
        <v>46</v>
      </c>
    </row>
    <row r="73" spans="15:18">
      <c r="O73" s="7" t="s">
        <v>20</v>
      </c>
      <c r="P73" s="21">
        <v>-101.48</v>
      </c>
      <c r="Q73" s="21">
        <v>-20.02</v>
      </c>
      <c r="R73" s="9" t="s">
        <v>21</v>
      </c>
    </row>
    <row r="75" spans="15:18">
      <c r="O75" s="4" t="s">
        <v>53</v>
      </c>
      <c r="P75" s="4"/>
      <c r="Q75" s="4"/>
      <c r="R75" s="5" t="s">
        <v>47</v>
      </c>
    </row>
    <row r="77" spans="15:18">
      <c r="O77" s="7" t="s">
        <v>20</v>
      </c>
      <c r="P77" s="21">
        <v>-1978.51</v>
      </c>
      <c r="Q77" s="21">
        <v>-95.13</v>
      </c>
      <c r="R77" s="9" t="s">
        <v>21</v>
      </c>
    </row>
    <row r="81" spans="1:19">
      <c r="Q81" s="7" t="s">
        <v>23</v>
      </c>
      <c r="R81" s="23">
        <v>-2358.46</v>
      </c>
    </row>
    <row r="84" spans="1:19">
      <c r="R84" s="14" t="s">
        <v>24</v>
      </c>
      <c r="S84" s="15">
        <v>8134.27</v>
      </c>
    </row>
    <row r="85" spans="1:19">
      <c r="R85" s="16"/>
      <c r="S85" s="17"/>
    </row>
    <row r="86" spans="1:19">
      <c r="R86" s="18" t="s">
        <v>25</v>
      </c>
      <c r="S86" s="24">
        <v>-2358.46</v>
      </c>
    </row>
    <row r="88" spans="1:19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</row>
    <row r="89" spans="1:19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</row>
    <row r="92" spans="1:19">
      <c r="C92" s="1" t="s">
        <v>54</v>
      </c>
      <c r="D92" s="1" t="s">
        <v>55</v>
      </c>
    </row>
    <row r="93" spans="1:19">
      <c r="B93" s="2" t="s">
        <v>56</v>
      </c>
      <c r="C93" s="2" t="s">
        <v>57</v>
      </c>
      <c r="D93" s="3">
        <v>141.43</v>
      </c>
    </row>
    <row r="94" spans="1:19">
      <c r="B94" s="2" t="s">
        <v>58</v>
      </c>
      <c r="C94" s="2" t="s">
        <v>59</v>
      </c>
      <c r="D94" s="3">
        <v>140.95</v>
      </c>
    </row>
    <row r="95" spans="1:19">
      <c r="B95" s="2" t="s">
        <v>58</v>
      </c>
      <c r="C95" s="2" t="s">
        <v>60</v>
      </c>
      <c r="D95" s="3">
        <v>138.5</v>
      </c>
    </row>
    <row r="96" spans="1:19">
      <c r="B96" s="2" t="s">
        <v>58</v>
      </c>
      <c r="C96" s="2" t="s">
        <v>29</v>
      </c>
      <c r="D96" s="3">
        <v>134.28</v>
      </c>
    </row>
    <row r="97" spans="2:17">
      <c r="B97" s="2" t="s">
        <v>56</v>
      </c>
      <c r="C97" s="2" t="s">
        <v>61</v>
      </c>
      <c r="D97" s="3">
        <v>139.43</v>
      </c>
      <c r="N97" s="4" t="s">
        <v>76</v>
      </c>
      <c r="O97" s="4"/>
      <c r="P97" s="4"/>
      <c r="Q97" s="5" t="s">
        <v>15</v>
      </c>
    </row>
    <row r="98" spans="2:17">
      <c r="B98" s="6" t="s">
        <v>62</v>
      </c>
      <c r="C98" s="2" t="s">
        <v>6</v>
      </c>
      <c r="D98" s="3">
        <v>694.59</v>
      </c>
    </row>
    <row r="99" spans="2:17">
      <c r="N99" s="7" t="s">
        <v>20</v>
      </c>
      <c r="O99" s="8">
        <v>135.6</v>
      </c>
      <c r="P99" s="8">
        <v>9.59</v>
      </c>
      <c r="Q99" s="9" t="s">
        <v>21</v>
      </c>
    </row>
    <row r="100" spans="2:17">
      <c r="E100" s="3" t="s">
        <v>7</v>
      </c>
      <c r="F100" s="3">
        <v>139.65</v>
      </c>
    </row>
    <row r="101" spans="2:17">
      <c r="N101" s="4" t="s">
        <v>77</v>
      </c>
      <c r="O101" s="4"/>
      <c r="P101" s="4"/>
      <c r="Q101" s="5" t="s">
        <v>16</v>
      </c>
    </row>
    <row r="102" spans="2:17">
      <c r="C102" s="2" t="s">
        <v>8</v>
      </c>
      <c r="D102" s="2" t="s">
        <v>9</v>
      </c>
      <c r="E102" s="2" t="s">
        <v>10</v>
      </c>
      <c r="F102" s="2" t="s">
        <v>11</v>
      </c>
      <c r="G102" s="2" t="s">
        <v>12</v>
      </c>
      <c r="H102" s="10" t="s">
        <v>15</v>
      </c>
    </row>
    <row r="103" spans="2:17">
      <c r="B103" s="2" t="s">
        <v>57</v>
      </c>
      <c r="C103" s="2" t="s">
        <v>63</v>
      </c>
      <c r="D103" s="11">
        <f>(149.64*0.07)+149.64</f>
        <v>0</v>
      </c>
      <c r="E103" s="11">
        <f>(149.64*0.10)+149.64</f>
        <v>0</v>
      </c>
      <c r="F103" s="11">
        <f>(149.64*0.15)+149.64</f>
        <v>0</v>
      </c>
      <c r="G103" s="11">
        <f>(149.64*0.20)+149.64</f>
        <v>0</v>
      </c>
      <c r="H103" s="12">
        <v>5.8</v>
      </c>
      <c r="N103" s="7" t="s">
        <v>20</v>
      </c>
      <c r="O103" s="8">
        <v>42.12</v>
      </c>
      <c r="P103" s="8">
        <v>9.960000000000001</v>
      </c>
      <c r="Q103" s="9" t="s">
        <v>21</v>
      </c>
    </row>
    <row r="104" spans="2:17">
      <c r="B104" s="2" t="s">
        <v>64</v>
      </c>
      <c r="C104" s="2" t="s">
        <v>65</v>
      </c>
      <c r="D104" s="11">
        <f>(145.38*0.07)+145.38</f>
        <v>0</v>
      </c>
      <c r="E104" s="11">
        <f>(145.38*0.10)+145.38</f>
        <v>0</v>
      </c>
      <c r="F104" s="11">
        <f>(145.38*0.15)+145.38</f>
        <v>0</v>
      </c>
      <c r="G104" s="11">
        <f>(145.38*0.20)+145.38</f>
        <v>0</v>
      </c>
      <c r="H104" s="12">
        <v>2.79</v>
      </c>
      <c r="I104" s="10" t="s">
        <v>16</v>
      </c>
    </row>
    <row r="105" spans="2:17">
      <c r="B105" s="2" t="s">
        <v>66</v>
      </c>
      <c r="C105" s="2" t="s">
        <v>67</v>
      </c>
      <c r="D105" s="11">
        <f>(132.26*0.07)+132.26</f>
        <v>0</v>
      </c>
      <c r="E105" s="11">
        <f>(132.26*0.10)+132.26</f>
        <v>0</v>
      </c>
      <c r="F105" s="11">
        <f>(132.26*0.15)+132.26</f>
        <v>0</v>
      </c>
      <c r="G105" s="11">
        <f>(132.26*0.20)+132.26</f>
        <v>0</v>
      </c>
      <c r="H105" s="22">
        <v>-6.48</v>
      </c>
      <c r="I105" s="22">
        <v>-6.17</v>
      </c>
      <c r="J105" s="10" t="s">
        <v>44</v>
      </c>
      <c r="N105" s="4" t="s">
        <v>78</v>
      </c>
      <c r="O105" s="4"/>
      <c r="P105" s="4"/>
      <c r="Q105" s="5" t="s">
        <v>44</v>
      </c>
    </row>
    <row r="106" spans="2:17">
      <c r="B106" s="2" t="s">
        <v>68</v>
      </c>
      <c r="C106" s="2" t="s">
        <v>69</v>
      </c>
      <c r="D106" s="11">
        <f>(136.18*0.07)+136.18</f>
        <v>0</v>
      </c>
      <c r="E106" s="11">
        <f>(136.18*0.10)+136.18</f>
        <v>0</v>
      </c>
      <c r="F106" s="11">
        <f>(136.18*0.15)+136.18</f>
        <v>0</v>
      </c>
      <c r="G106" s="11">
        <f>(136.18*0.20)+136.18</f>
        <v>0</v>
      </c>
      <c r="H106" s="22">
        <v>-3.71</v>
      </c>
      <c r="I106" s="22">
        <v>-3.38</v>
      </c>
      <c r="J106" s="22">
        <v>-1.68</v>
      </c>
    </row>
    <row r="107" spans="2:17">
      <c r="B107" s="2" t="s">
        <v>70</v>
      </c>
      <c r="C107" s="2" t="s">
        <v>71</v>
      </c>
      <c r="D107" s="11">
        <f>(149.70*0.07)+149.70</f>
        <v>0</v>
      </c>
      <c r="E107" s="11">
        <f>(149.70*0.10)+149.70</f>
        <v>0</v>
      </c>
      <c r="F107" s="11">
        <f>(149.70*0.15)+149.70</f>
        <v>0</v>
      </c>
      <c r="G107" s="11">
        <f>(149.70*0.20)+149.70</f>
        <v>0</v>
      </c>
      <c r="H107" s="12">
        <v>5.85</v>
      </c>
      <c r="I107" s="12">
        <v>6.21</v>
      </c>
      <c r="J107" s="12">
        <v>8.09</v>
      </c>
      <c r="N107" s="7" t="s">
        <v>20</v>
      </c>
      <c r="O107" s="8">
        <v>49.47</v>
      </c>
      <c r="P107" s="8">
        <v>11.91</v>
      </c>
      <c r="Q107" s="9" t="s">
        <v>21</v>
      </c>
    </row>
    <row r="108" spans="2:17">
      <c r="B108" s="2" t="s">
        <v>72</v>
      </c>
      <c r="C108" s="2" t="s">
        <v>73</v>
      </c>
      <c r="D108" s="11">
        <f>(130.15*0.07)+130.15</f>
        <v>0</v>
      </c>
      <c r="E108" s="11">
        <f>(130.15*0.10)+130.15</f>
        <v>0</v>
      </c>
      <c r="F108" s="11">
        <f>(130.15*0.15)+130.15</f>
        <v>0</v>
      </c>
      <c r="G108" s="11">
        <f>(130.15*0.20)+130.15</f>
        <v>0</v>
      </c>
      <c r="H108" s="22">
        <v>-7.98</v>
      </c>
      <c r="I108" s="22">
        <v>-7.66</v>
      </c>
      <c r="J108" s="22">
        <v>-6.03</v>
      </c>
      <c r="K108" s="10" t="s">
        <v>45</v>
      </c>
      <c r="L108" s="10" t="s">
        <v>46</v>
      </c>
    </row>
    <row r="109" spans="2:17">
      <c r="B109" s="2" t="s">
        <v>13</v>
      </c>
      <c r="C109" s="2" t="s">
        <v>74</v>
      </c>
      <c r="D109" s="11">
        <f>(154.5*0.07)+154.5</f>
        <v>0</v>
      </c>
      <c r="E109" s="11">
        <f>(154.5*0.10)+154.5</f>
        <v>0</v>
      </c>
      <c r="F109" s="11">
        <f>(154.5*0.15)+154.5</f>
        <v>0</v>
      </c>
      <c r="G109" s="11">
        <f>(154.5*0.20)+154.5</f>
        <v>0</v>
      </c>
      <c r="H109" s="12">
        <v>9.24</v>
      </c>
      <c r="I109" s="12">
        <v>9.609999999999999</v>
      </c>
      <c r="J109" s="12">
        <v>11.55</v>
      </c>
      <c r="K109" s="12">
        <v>15.06</v>
      </c>
      <c r="L109" s="12">
        <v>10.81</v>
      </c>
      <c r="N109" s="4" t="s">
        <v>32</v>
      </c>
      <c r="O109" s="4"/>
      <c r="P109" s="4"/>
      <c r="Q109" s="5" t="s">
        <v>45</v>
      </c>
    </row>
    <row r="110" spans="2:17">
      <c r="B110" s="2" t="s">
        <v>17</v>
      </c>
      <c r="C110" s="2" t="s">
        <v>75</v>
      </c>
      <c r="D110" s="11">
        <f>(151.79*0.07)+151.79</f>
        <v>0</v>
      </c>
      <c r="E110" s="11">
        <f>(151.79*0.10)+151.79</f>
        <v>0</v>
      </c>
      <c r="F110" s="11">
        <f>(151.79*0.15)+151.79</f>
        <v>0</v>
      </c>
      <c r="G110" s="11">
        <f>(151.79*0.20)+151.79</f>
        <v>0</v>
      </c>
      <c r="H110" s="12">
        <v>7.33</v>
      </c>
      <c r="I110" s="12">
        <v>7.69</v>
      </c>
      <c r="J110" s="12">
        <v>9.6</v>
      </c>
      <c r="K110" s="12">
        <v>13.04</v>
      </c>
      <c r="L110" s="12">
        <v>8.869999999999999</v>
      </c>
    </row>
    <row r="111" spans="2:17">
      <c r="B111" s="2" t="s">
        <v>6</v>
      </c>
      <c r="C111" s="2">
        <v>154.99</v>
      </c>
      <c r="D111" s="11">
        <f>(154.99*0.07)+154.99</f>
        <v>0</v>
      </c>
      <c r="E111" s="11">
        <f>(154.99*0.10)+154.99</f>
        <v>0</v>
      </c>
      <c r="F111" s="11">
        <f>(154.99*0.15)+154.99</f>
        <v>0</v>
      </c>
      <c r="G111" s="11">
        <f>(154.99*0.20)+154.99</f>
        <v>0</v>
      </c>
      <c r="H111" s="12">
        <v>9.59</v>
      </c>
      <c r="I111" s="12">
        <v>9.960000000000001</v>
      </c>
      <c r="J111" s="12">
        <v>11.91</v>
      </c>
      <c r="K111" s="12">
        <v>15.42</v>
      </c>
      <c r="L111" s="12">
        <v>11.16</v>
      </c>
      <c r="N111" s="7" t="s">
        <v>20</v>
      </c>
      <c r="O111" s="8">
        <v>62.13</v>
      </c>
      <c r="P111" s="8">
        <v>15.42</v>
      </c>
      <c r="Q111" s="9" t="s">
        <v>21</v>
      </c>
    </row>
    <row r="113" spans="1:18">
      <c r="N113" s="4" t="s">
        <v>79</v>
      </c>
      <c r="O113" s="4"/>
      <c r="P113" s="4"/>
      <c r="Q113" s="5" t="s">
        <v>46</v>
      </c>
    </row>
    <row r="115" spans="1:18">
      <c r="N115" s="7" t="s">
        <v>20</v>
      </c>
      <c r="O115" s="8">
        <v>155.62</v>
      </c>
      <c r="P115" s="8">
        <v>11.16</v>
      </c>
      <c r="Q115" s="9" t="s">
        <v>21</v>
      </c>
    </row>
    <row r="119" spans="1:18">
      <c r="P119" s="7" t="s">
        <v>23</v>
      </c>
      <c r="Q119" s="13">
        <v>444.94</v>
      </c>
    </row>
    <row r="122" spans="1:18">
      <c r="Q122" s="14" t="s">
        <v>24</v>
      </c>
      <c r="R122" s="15">
        <v>4049.77</v>
      </c>
    </row>
    <row r="123" spans="1:18">
      <c r="Q123" s="16"/>
      <c r="R123" s="17"/>
    </row>
    <row r="124" spans="1:18">
      <c r="Q124" s="18" t="s">
        <v>25</v>
      </c>
      <c r="R124" s="19">
        <v>444.94</v>
      </c>
    </row>
    <row r="126" spans="1:18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</row>
    <row r="127" spans="1:18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</row>
    <row r="130" spans="1:14">
      <c r="C130" s="1" t="s">
        <v>80</v>
      </c>
      <c r="D130" s="1" t="s">
        <v>81</v>
      </c>
    </row>
    <row r="131" spans="1:14">
      <c r="B131" s="2" t="s">
        <v>82</v>
      </c>
      <c r="C131" s="2" t="s">
        <v>83</v>
      </c>
      <c r="D131" s="3">
        <v>33.91</v>
      </c>
      <c r="J131" s="4" t="s">
        <v>86</v>
      </c>
      <c r="K131" s="4"/>
      <c r="L131" s="4"/>
      <c r="M131" s="5" t="s">
        <v>15</v>
      </c>
    </row>
    <row r="132" spans="1:14">
      <c r="B132" s="6" t="s">
        <v>82</v>
      </c>
      <c r="C132" s="2" t="s">
        <v>6</v>
      </c>
      <c r="D132" s="3">
        <v>33.91</v>
      </c>
    </row>
    <row r="133" spans="1:14">
      <c r="J133" s="7" t="s">
        <v>20</v>
      </c>
      <c r="K133" s="8">
        <v>45.98</v>
      </c>
      <c r="L133" s="8">
        <v>9.039999999999999</v>
      </c>
      <c r="M133" s="9" t="s">
        <v>21</v>
      </c>
    </row>
    <row r="134" spans="1:14">
      <c r="E134" s="3" t="s">
        <v>7</v>
      </c>
      <c r="F134" s="3">
        <v>33.91</v>
      </c>
    </row>
    <row r="136" spans="1:14">
      <c r="C136" s="2" t="s">
        <v>8</v>
      </c>
      <c r="D136" s="2" t="s">
        <v>9</v>
      </c>
      <c r="E136" s="2" t="s">
        <v>10</v>
      </c>
      <c r="F136" s="2" t="s">
        <v>11</v>
      </c>
      <c r="G136" s="2" t="s">
        <v>12</v>
      </c>
      <c r="H136" s="10" t="s">
        <v>15</v>
      </c>
    </row>
    <row r="137" spans="1:14">
      <c r="B137" s="2" t="s">
        <v>13</v>
      </c>
      <c r="C137" s="2" t="s">
        <v>84</v>
      </c>
      <c r="D137" s="11">
        <f>(36.43*0.07)+36.43</f>
        <v>0</v>
      </c>
      <c r="E137" s="11">
        <f>(36.43*0.10)+36.43</f>
        <v>0</v>
      </c>
      <c r="F137" s="11">
        <f>(36.43*0.15)+36.43</f>
        <v>0</v>
      </c>
      <c r="G137" s="11">
        <f>(36.43*0.20)+36.43</f>
        <v>0</v>
      </c>
      <c r="H137" s="12">
        <v>7.43</v>
      </c>
      <c r="L137" s="7" t="s">
        <v>23</v>
      </c>
      <c r="M137" s="13">
        <v>45.98</v>
      </c>
    </row>
    <row r="138" spans="1:14">
      <c r="B138" s="2" t="s">
        <v>17</v>
      </c>
      <c r="C138" s="2" t="s">
        <v>85</v>
      </c>
      <c r="D138" s="11">
        <f>(36.355*0.07)+36.355</f>
        <v>0</v>
      </c>
      <c r="E138" s="11">
        <f>(36.355*0.10)+36.355</f>
        <v>0</v>
      </c>
      <c r="F138" s="11">
        <f>(36.355*0.15)+36.355</f>
        <v>0</v>
      </c>
      <c r="G138" s="11">
        <f>(36.355*0.20)+36.355</f>
        <v>0</v>
      </c>
      <c r="H138" s="12">
        <v>7.21</v>
      </c>
    </row>
    <row r="139" spans="1:14">
      <c r="B139" s="2" t="s">
        <v>6</v>
      </c>
      <c r="C139" s="2">
        <v>36.975</v>
      </c>
      <c r="D139" s="11">
        <f>(36.975*0.07)+36.975</f>
        <v>0</v>
      </c>
      <c r="E139" s="11">
        <f>(36.975*0.10)+36.975</f>
        <v>0</v>
      </c>
      <c r="F139" s="11">
        <f>(36.975*0.15)+36.975</f>
        <v>0</v>
      </c>
      <c r="G139" s="11">
        <f>(36.975*0.20)+36.975</f>
        <v>0</v>
      </c>
      <c r="H139" s="12">
        <v>9.039999999999999</v>
      </c>
    </row>
    <row r="140" spans="1:14">
      <c r="M140" s="14" t="s">
        <v>24</v>
      </c>
      <c r="N140" s="15">
        <v>508.65</v>
      </c>
    </row>
    <row r="141" spans="1:14">
      <c r="M141" s="16"/>
      <c r="N141" s="17"/>
    </row>
    <row r="142" spans="1:14">
      <c r="M142" s="18" t="s">
        <v>25</v>
      </c>
      <c r="N142" s="19">
        <v>45.98</v>
      </c>
    </row>
    <row r="144" spans="1:14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</row>
    <row r="145" spans="1:17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</row>
    <row r="148" spans="1:17">
      <c r="C148" s="1" t="s">
        <v>87</v>
      </c>
      <c r="D148" s="1" t="s">
        <v>88</v>
      </c>
    </row>
    <row r="149" spans="1:17">
      <c r="B149" s="2" t="s">
        <v>89</v>
      </c>
      <c r="C149" s="2" t="s">
        <v>90</v>
      </c>
      <c r="D149" s="3">
        <v>11.02</v>
      </c>
    </row>
    <row r="150" spans="1:17">
      <c r="B150" s="2" t="s">
        <v>91</v>
      </c>
      <c r="C150" s="2" t="s">
        <v>39</v>
      </c>
      <c r="D150" s="3">
        <v>9.33</v>
      </c>
    </row>
    <row r="151" spans="1:17">
      <c r="B151" s="2" t="s">
        <v>91</v>
      </c>
      <c r="C151" s="2" t="s">
        <v>29</v>
      </c>
      <c r="D151" s="3">
        <v>10.02</v>
      </c>
    </row>
    <row r="152" spans="1:17">
      <c r="B152" s="2" t="s">
        <v>92</v>
      </c>
      <c r="C152" s="2" t="s">
        <v>4</v>
      </c>
      <c r="D152" s="3">
        <v>13.29</v>
      </c>
    </row>
    <row r="153" spans="1:17">
      <c r="B153" s="2" t="s">
        <v>93</v>
      </c>
      <c r="C153" s="2" t="s">
        <v>4</v>
      </c>
      <c r="D153" s="3">
        <v>13.31</v>
      </c>
      <c r="N153" s="4" t="s">
        <v>97</v>
      </c>
      <c r="O153" s="4"/>
      <c r="P153" s="4"/>
      <c r="Q153" s="5" t="s">
        <v>15</v>
      </c>
    </row>
    <row r="154" spans="1:17">
      <c r="B154" s="6" t="s">
        <v>94</v>
      </c>
      <c r="C154" s="2" t="s">
        <v>6</v>
      </c>
      <c r="D154" s="3">
        <v>56.96</v>
      </c>
    </row>
    <row r="155" spans="1:17">
      <c r="N155" s="7" t="s">
        <v>20</v>
      </c>
      <c r="O155" s="8">
        <v>147.96</v>
      </c>
      <c r="P155" s="8">
        <v>9.800000000000001</v>
      </c>
      <c r="Q155" s="9" t="s">
        <v>21</v>
      </c>
    </row>
    <row r="156" spans="1:17">
      <c r="E156" s="3" t="s">
        <v>7</v>
      </c>
      <c r="F156" s="3">
        <v>11.33</v>
      </c>
    </row>
    <row r="157" spans="1:17">
      <c r="N157" s="4" t="s">
        <v>51</v>
      </c>
      <c r="O157" s="4"/>
      <c r="P157" s="4"/>
      <c r="Q157" s="5" t="s">
        <v>16</v>
      </c>
    </row>
    <row r="158" spans="1:17">
      <c r="C158" s="2" t="s">
        <v>8</v>
      </c>
      <c r="D158" s="2" t="s">
        <v>9</v>
      </c>
      <c r="E158" s="2" t="s">
        <v>10</v>
      </c>
      <c r="F158" s="2" t="s">
        <v>11</v>
      </c>
      <c r="G158" s="2" t="s">
        <v>12</v>
      </c>
      <c r="H158" s="10" t="s">
        <v>15</v>
      </c>
      <c r="I158" s="10" t="s">
        <v>16</v>
      </c>
      <c r="J158" s="10" t="s">
        <v>44</v>
      </c>
      <c r="K158" s="10" t="s">
        <v>45</v>
      </c>
      <c r="L158" s="10" t="s">
        <v>46</v>
      </c>
    </row>
    <row r="159" spans="1:17">
      <c r="B159" s="2" t="s">
        <v>13</v>
      </c>
      <c r="C159" s="2" t="s">
        <v>95</v>
      </c>
      <c r="D159" s="11">
        <f>(11.8*0.07)+11.8</f>
        <v>0</v>
      </c>
      <c r="E159" s="11">
        <f>(11.8*0.10)+11.8</f>
        <v>0</v>
      </c>
      <c r="F159" s="11">
        <f>(11.8*0.15)+11.8</f>
        <v>0</v>
      </c>
      <c r="G159" s="11">
        <f>(11.8*0.20)+11.8</f>
        <v>0</v>
      </c>
      <c r="H159" s="12">
        <v>7.08</v>
      </c>
      <c r="I159" s="12">
        <v>26.52</v>
      </c>
      <c r="J159" s="12">
        <v>17.82</v>
      </c>
      <c r="K159" s="22">
        <v>-11.18</v>
      </c>
      <c r="L159" s="22">
        <v>-11.34</v>
      </c>
      <c r="N159" s="7" t="s">
        <v>20</v>
      </c>
      <c r="O159" s="8">
        <v>138.68</v>
      </c>
      <c r="P159" s="8">
        <v>29.74</v>
      </c>
      <c r="Q159" s="9" t="s">
        <v>21</v>
      </c>
    </row>
    <row r="160" spans="1:17">
      <c r="B160" s="2" t="s">
        <v>17</v>
      </c>
      <c r="C160" s="2" t="s">
        <v>96</v>
      </c>
      <c r="D160" s="11">
        <f>(11.715*0.07)+11.715</f>
        <v>0</v>
      </c>
      <c r="E160" s="11">
        <f>(11.715*0.10)+11.715</f>
        <v>0</v>
      </c>
      <c r="F160" s="11">
        <f>(11.715*0.15)+11.715</f>
        <v>0</v>
      </c>
      <c r="G160" s="11">
        <f>(11.715*0.20)+11.715</f>
        <v>0</v>
      </c>
      <c r="H160" s="12">
        <v>6.31</v>
      </c>
      <c r="I160" s="12">
        <v>25.61</v>
      </c>
      <c r="J160" s="12">
        <v>16.97</v>
      </c>
      <c r="K160" s="22">
        <v>-11.82</v>
      </c>
      <c r="L160" s="22">
        <v>-11.98</v>
      </c>
    </row>
    <row r="161" spans="2:17">
      <c r="B161" s="2" t="s">
        <v>6</v>
      </c>
      <c r="C161" s="2">
        <v>12.1</v>
      </c>
      <c r="D161" s="11">
        <f>(12.1*0.07)+12.1</f>
        <v>0</v>
      </c>
      <c r="E161" s="11">
        <f>(12.1*0.10)+12.1</f>
        <v>0</v>
      </c>
      <c r="F161" s="11">
        <f>(12.1*0.15)+12.1</f>
        <v>0</v>
      </c>
      <c r="G161" s="11">
        <f>(12.1*0.20)+12.1</f>
        <v>0</v>
      </c>
      <c r="H161" s="12">
        <v>9.800000000000001</v>
      </c>
      <c r="I161" s="12">
        <v>29.74</v>
      </c>
      <c r="J161" s="12">
        <v>20.82</v>
      </c>
      <c r="K161" s="22">
        <v>-8.92</v>
      </c>
      <c r="L161" s="22">
        <v>-9.09</v>
      </c>
      <c r="N161" s="4" t="s">
        <v>32</v>
      </c>
      <c r="O161" s="4"/>
      <c r="P161" s="4"/>
      <c r="Q161" s="5" t="s">
        <v>44</v>
      </c>
    </row>
    <row r="163" spans="2:17">
      <c r="N163" s="7" t="s">
        <v>20</v>
      </c>
      <c r="O163" s="8">
        <v>104.25</v>
      </c>
      <c r="P163" s="8">
        <v>20.82</v>
      </c>
      <c r="Q163" s="9" t="s">
        <v>21</v>
      </c>
    </row>
    <row r="165" spans="2:17">
      <c r="N165" s="4" t="s">
        <v>22</v>
      </c>
      <c r="O165" s="4"/>
      <c r="P165" s="4"/>
      <c r="Q165" s="5" t="s">
        <v>45</v>
      </c>
    </row>
    <row r="167" spans="2:17">
      <c r="N167" s="7" t="s">
        <v>20</v>
      </c>
      <c r="O167" s="21">
        <v>-82.95</v>
      </c>
      <c r="P167" s="21">
        <v>-8.92</v>
      </c>
      <c r="Q167" s="9" t="s">
        <v>21</v>
      </c>
    </row>
    <row r="169" spans="2:17">
      <c r="N169" s="4" t="s">
        <v>22</v>
      </c>
      <c r="O169" s="4"/>
      <c r="P169" s="4"/>
      <c r="Q169" s="5" t="s">
        <v>46</v>
      </c>
    </row>
    <row r="171" spans="2:17">
      <c r="N171" s="7" t="s">
        <v>20</v>
      </c>
      <c r="O171" s="21">
        <v>-44.76</v>
      </c>
      <c r="P171" s="21">
        <v>-9.09</v>
      </c>
      <c r="Q171" s="9" t="s">
        <v>21</v>
      </c>
    </row>
    <row r="175" spans="2:17">
      <c r="P175" s="7" t="s">
        <v>23</v>
      </c>
      <c r="Q175" s="13">
        <v>263.19</v>
      </c>
    </row>
    <row r="178" spans="1:18">
      <c r="Q178" s="14" t="s">
        <v>24</v>
      </c>
      <c r="R178" s="15">
        <v>3899.21</v>
      </c>
    </row>
    <row r="179" spans="1:18">
      <c r="Q179" s="16"/>
      <c r="R179" s="17"/>
    </row>
    <row r="180" spans="1:18">
      <c r="Q180" s="18" t="s">
        <v>25</v>
      </c>
      <c r="R180" s="19">
        <v>263.19</v>
      </c>
    </row>
    <row r="182" spans="1:18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</row>
    <row r="183" spans="1:18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</row>
    <row r="186" spans="1:18">
      <c r="C186" s="1" t="s">
        <v>98</v>
      </c>
      <c r="D186" s="1" t="s">
        <v>99</v>
      </c>
    </row>
    <row r="187" spans="1:18">
      <c r="B187" s="2" t="s">
        <v>93</v>
      </c>
      <c r="C187" s="2" t="s">
        <v>3</v>
      </c>
      <c r="D187" s="3">
        <v>49.06</v>
      </c>
    </row>
    <row r="188" spans="1:18">
      <c r="B188" s="2" t="s">
        <v>100</v>
      </c>
      <c r="C188" s="2" t="s">
        <v>39</v>
      </c>
      <c r="D188" s="3">
        <v>46.23</v>
      </c>
    </row>
    <row r="189" spans="1:18">
      <c r="B189" s="2" t="s">
        <v>100</v>
      </c>
      <c r="C189" s="2" t="s">
        <v>29</v>
      </c>
      <c r="D189" s="3">
        <v>45.99</v>
      </c>
    </row>
    <row r="190" spans="1:18">
      <c r="B190" s="2" t="s">
        <v>101</v>
      </c>
      <c r="C190" s="2" t="s">
        <v>40</v>
      </c>
      <c r="D190" s="3">
        <v>51.6</v>
      </c>
    </row>
    <row r="191" spans="1:18">
      <c r="B191" s="2" t="s">
        <v>56</v>
      </c>
      <c r="C191" s="2" t="s">
        <v>102</v>
      </c>
      <c r="D191" s="3">
        <v>53.26</v>
      </c>
      <c r="N191" s="4" t="s">
        <v>19</v>
      </c>
      <c r="O191" s="4"/>
      <c r="P191" s="4"/>
      <c r="Q191" s="5" t="s">
        <v>15</v>
      </c>
    </row>
    <row r="192" spans="1:18">
      <c r="B192" s="6" t="s">
        <v>103</v>
      </c>
      <c r="C192" s="2" t="s">
        <v>6</v>
      </c>
      <c r="D192" s="3">
        <v>246.14</v>
      </c>
    </row>
    <row r="193" spans="2:17">
      <c r="N193" s="7" t="s">
        <v>20</v>
      </c>
      <c r="O193" s="8">
        <v>98.42</v>
      </c>
      <c r="P193" s="8">
        <v>5.42</v>
      </c>
      <c r="Q193" s="9" t="s">
        <v>21</v>
      </c>
    </row>
    <row r="194" spans="2:17">
      <c r="E194" s="3" t="s">
        <v>7</v>
      </c>
      <c r="F194" s="3">
        <v>48.92</v>
      </c>
    </row>
    <row r="195" spans="2:17">
      <c r="N195" s="4" t="s">
        <v>51</v>
      </c>
      <c r="O195" s="4"/>
      <c r="P195" s="4"/>
      <c r="Q195" s="5" t="s">
        <v>16</v>
      </c>
    </row>
    <row r="196" spans="2:17">
      <c r="C196" s="2" t="s">
        <v>8</v>
      </c>
      <c r="D196" s="2" t="s">
        <v>9</v>
      </c>
      <c r="E196" s="2" t="s">
        <v>10</v>
      </c>
      <c r="F196" s="2" t="s">
        <v>11</v>
      </c>
      <c r="G196" s="2" t="s">
        <v>12</v>
      </c>
      <c r="H196" s="10" t="s">
        <v>15</v>
      </c>
      <c r="I196" s="10" t="s">
        <v>16</v>
      </c>
      <c r="J196" s="10" t="s">
        <v>44</v>
      </c>
      <c r="K196" s="10" t="s">
        <v>45</v>
      </c>
      <c r="L196" s="10" t="s">
        <v>46</v>
      </c>
    </row>
    <row r="197" spans="2:17">
      <c r="B197" s="2" t="s">
        <v>13</v>
      </c>
      <c r="C197" s="2" t="s">
        <v>104</v>
      </c>
      <c r="D197" s="11">
        <f>(50.95*0.07)+50.95</f>
        <v>0</v>
      </c>
      <c r="E197" s="11">
        <f>(50.95*0.10)+50.95</f>
        <v>0</v>
      </c>
      <c r="F197" s="11">
        <f>(50.95*0.15)+50.95</f>
        <v>0</v>
      </c>
      <c r="G197" s="11">
        <f>(50.95*0.20)+50.95</f>
        <v>0</v>
      </c>
      <c r="H197" s="12">
        <v>3.85</v>
      </c>
      <c r="I197" s="12">
        <v>10.21</v>
      </c>
      <c r="J197" s="12">
        <v>10.79</v>
      </c>
      <c r="K197" s="22">
        <v>-1.26</v>
      </c>
      <c r="L197" s="22">
        <v>-4.34</v>
      </c>
      <c r="N197" s="7" t="s">
        <v>20</v>
      </c>
      <c r="O197" s="8">
        <v>60.39</v>
      </c>
      <c r="P197" s="8">
        <v>11.88</v>
      </c>
      <c r="Q197" s="9" t="s">
        <v>21</v>
      </c>
    </row>
    <row r="198" spans="2:17">
      <c r="B198" s="2" t="s">
        <v>17</v>
      </c>
      <c r="C198" s="2" t="s">
        <v>105</v>
      </c>
      <c r="D198" s="11">
        <f>(50.86*0.07)+50.86</f>
        <v>0</v>
      </c>
      <c r="E198" s="11">
        <f>(50.86*0.10)+50.86</f>
        <v>0</v>
      </c>
      <c r="F198" s="11">
        <f>(50.86*0.15)+50.86</f>
        <v>0</v>
      </c>
      <c r="G198" s="11">
        <f>(50.86*0.20)+50.86</f>
        <v>0</v>
      </c>
      <c r="H198" s="12">
        <v>3.67</v>
      </c>
      <c r="I198" s="12">
        <v>10.02</v>
      </c>
      <c r="J198" s="12">
        <v>10.59</v>
      </c>
      <c r="K198" s="22">
        <v>-1.43</v>
      </c>
      <c r="L198" s="22">
        <v>-4.51</v>
      </c>
    </row>
    <row r="199" spans="2:17">
      <c r="B199" s="2" t="s">
        <v>6</v>
      </c>
      <c r="C199" s="2">
        <v>51.72</v>
      </c>
      <c r="D199" s="11">
        <f>(51.72*0.07)+51.72</f>
        <v>0</v>
      </c>
      <c r="E199" s="11">
        <f>(51.72*0.10)+51.72</f>
        <v>0</v>
      </c>
      <c r="F199" s="11">
        <f>(51.72*0.15)+51.72</f>
        <v>0</v>
      </c>
      <c r="G199" s="11">
        <f>(51.72*0.20)+51.72</f>
        <v>0</v>
      </c>
      <c r="H199" s="12">
        <v>5.42</v>
      </c>
      <c r="I199" s="12">
        <v>11.88</v>
      </c>
      <c r="J199" s="12">
        <v>12.46</v>
      </c>
      <c r="K199" s="12">
        <v>0.23</v>
      </c>
      <c r="L199" s="22">
        <v>-2.89</v>
      </c>
      <c r="N199" s="4" t="s">
        <v>32</v>
      </c>
      <c r="O199" s="4"/>
      <c r="P199" s="4"/>
      <c r="Q199" s="5" t="s">
        <v>44</v>
      </c>
    </row>
    <row r="201" spans="2:17">
      <c r="N201" s="7" t="s">
        <v>20</v>
      </c>
      <c r="O201" s="8">
        <v>63.03</v>
      </c>
      <c r="P201" s="8">
        <v>12.46</v>
      </c>
      <c r="Q201" s="9" t="s">
        <v>21</v>
      </c>
    </row>
    <row r="203" spans="2:17">
      <c r="N203" s="4" t="s">
        <v>52</v>
      </c>
      <c r="O203" s="4"/>
      <c r="P203" s="4"/>
      <c r="Q203" s="5" t="s">
        <v>45</v>
      </c>
    </row>
    <row r="205" spans="2:17">
      <c r="N205" s="7" t="s">
        <v>20</v>
      </c>
      <c r="O205" s="8">
        <v>0.6</v>
      </c>
      <c r="P205" s="8">
        <v>0.23</v>
      </c>
      <c r="Q205" s="9" t="s">
        <v>21</v>
      </c>
    </row>
    <row r="207" spans="2:17">
      <c r="N207" s="4" t="s">
        <v>106</v>
      </c>
      <c r="O207" s="4"/>
      <c r="P207" s="4"/>
      <c r="Q207" s="5" t="s">
        <v>46</v>
      </c>
    </row>
    <row r="209" spans="1:18">
      <c r="N209" s="7" t="s">
        <v>20</v>
      </c>
      <c r="O209" s="21">
        <v>-15.4</v>
      </c>
      <c r="P209" s="21">
        <v>-2.89</v>
      </c>
      <c r="Q209" s="9" t="s">
        <v>21</v>
      </c>
    </row>
    <row r="213" spans="1:18">
      <c r="P213" s="7" t="s">
        <v>23</v>
      </c>
      <c r="Q213" s="13">
        <v>207.04</v>
      </c>
    </row>
    <row r="216" spans="1:18">
      <c r="Q216" s="14" t="s">
        <v>24</v>
      </c>
      <c r="R216" s="15">
        <v>3620.24</v>
      </c>
    </row>
    <row r="217" spans="1:18">
      <c r="Q217" s="16"/>
      <c r="R217" s="17"/>
    </row>
    <row r="218" spans="1:18">
      <c r="Q218" s="18" t="s">
        <v>25</v>
      </c>
      <c r="R218" s="19">
        <v>207.04</v>
      </c>
    </row>
    <row r="220" spans="1:18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</row>
    <row r="221" spans="1:18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</row>
    <row r="224" spans="1:18">
      <c r="C224" s="1" t="s">
        <v>107</v>
      </c>
      <c r="D224" s="1" t="s">
        <v>108</v>
      </c>
    </row>
    <row r="225" spans="2:16">
      <c r="B225" s="2" t="s">
        <v>2</v>
      </c>
      <c r="C225" s="2" t="s">
        <v>109</v>
      </c>
      <c r="D225" s="3">
        <v>462.35</v>
      </c>
    </row>
    <row r="226" spans="2:16">
      <c r="B226" s="2" t="s">
        <v>28</v>
      </c>
      <c r="C226" s="2" t="s">
        <v>39</v>
      </c>
      <c r="D226" s="3">
        <v>447.48</v>
      </c>
    </row>
    <row r="227" spans="2:16">
      <c r="B227" s="2" t="s">
        <v>28</v>
      </c>
      <c r="C227" s="2" t="s">
        <v>29</v>
      </c>
      <c r="D227" s="3">
        <v>454.29</v>
      </c>
    </row>
    <row r="228" spans="2:16">
      <c r="B228" s="2" t="s">
        <v>30</v>
      </c>
      <c r="C228" s="2" t="s">
        <v>4</v>
      </c>
      <c r="D228" s="3">
        <v>453.61</v>
      </c>
      <c r="M228" s="4" t="s">
        <v>114</v>
      </c>
      <c r="N228" s="4"/>
      <c r="O228" s="4"/>
      <c r="P228" s="5" t="s">
        <v>15</v>
      </c>
    </row>
    <row r="229" spans="2:16">
      <c r="B229" s="6" t="s">
        <v>5</v>
      </c>
      <c r="C229" s="2" t="s">
        <v>6</v>
      </c>
      <c r="D229" s="3">
        <v>1817.73</v>
      </c>
    </row>
    <row r="230" spans="2:16">
      <c r="M230" s="7" t="s">
        <v>20</v>
      </c>
      <c r="N230" s="8">
        <v>217.06</v>
      </c>
      <c r="O230" s="8">
        <v>11.74</v>
      </c>
      <c r="P230" s="9" t="s">
        <v>21</v>
      </c>
    </row>
    <row r="231" spans="2:16">
      <c r="E231" s="3" t="s">
        <v>7</v>
      </c>
      <c r="F231" s="3">
        <v>457.3</v>
      </c>
    </row>
    <row r="232" spans="2:16">
      <c r="M232" s="4" t="s">
        <v>51</v>
      </c>
      <c r="N232" s="4"/>
      <c r="O232" s="4"/>
      <c r="P232" s="5" t="s">
        <v>16</v>
      </c>
    </row>
    <row r="233" spans="2:16">
      <c r="C233" s="2" t="s">
        <v>8</v>
      </c>
      <c r="D233" s="2" t="s">
        <v>9</v>
      </c>
      <c r="E233" s="2" t="s">
        <v>10</v>
      </c>
      <c r="F233" s="2" t="s">
        <v>11</v>
      </c>
      <c r="G233" s="2" t="s">
        <v>12</v>
      </c>
      <c r="H233" s="10" t="s">
        <v>15</v>
      </c>
      <c r="I233" s="10" t="s">
        <v>16</v>
      </c>
      <c r="J233" s="10" t="s">
        <v>44</v>
      </c>
      <c r="K233" s="10" t="s">
        <v>45</v>
      </c>
    </row>
    <row r="234" spans="2:16">
      <c r="B234" s="2" t="s">
        <v>110</v>
      </c>
      <c r="C234" s="2" t="s">
        <v>111</v>
      </c>
      <c r="D234" s="11">
        <f>(489.12*0.07)+489.12</f>
        <v>0</v>
      </c>
      <c r="E234" s="11">
        <f>(489.12*0.10)+489.12</f>
        <v>0</v>
      </c>
      <c r="F234" s="11">
        <f>(489.12*0.15)+489.12</f>
        <v>0</v>
      </c>
      <c r="G234" s="11">
        <f>(489.12*0.20)+489.12</f>
        <v>0</v>
      </c>
      <c r="H234" s="12">
        <v>5.79</v>
      </c>
      <c r="I234" s="12">
        <v>9.31</v>
      </c>
      <c r="J234" s="12">
        <v>7.67</v>
      </c>
      <c r="K234" s="12">
        <v>7.83</v>
      </c>
      <c r="M234" s="7" t="s">
        <v>20</v>
      </c>
      <c r="N234" s="8">
        <v>69.14</v>
      </c>
      <c r="O234" s="8">
        <v>15.45</v>
      </c>
      <c r="P234" s="9" t="s">
        <v>21</v>
      </c>
    </row>
    <row r="235" spans="2:16">
      <c r="B235" s="2" t="s">
        <v>13</v>
      </c>
      <c r="C235" s="2" t="s">
        <v>112</v>
      </c>
      <c r="D235" s="11">
        <f>(514.8*0.07)+514.8</f>
        <v>0</v>
      </c>
      <c r="E235" s="11">
        <f>(514.8*0.10)+514.8</f>
        <v>0</v>
      </c>
      <c r="F235" s="11">
        <f>(514.8*0.15)+514.8</f>
        <v>0</v>
      </c>
      <c r="G235" s="11">
        <f>(514.8*0.20)+514.8</f>
        <v>0</v>
      </c>
      <c r="H235" s="12">
        <v>11.34</v>
      </c>
      <c r="I235" s="12">
        <v>15.04</v>
      </c>
      <c r="J235" s="12">
        <v>13.32</v>
      </c>
      <c r="K235" s="12">
        <v>13.49</v>
      </c>
    </row>
    <row r="236" spans="2:16">
      <c r="B236" s="2" t="s">
        <v>17</v>
      </c>
      <c r="C236" s="2" t="s">
        <v>113</v>
      </c>
      <c r="D236" s="11">
        <f>(514.74*0.07)+514.74</f>
        <v>0</v>
      </c>
      <c r="E236" s="11">
        <f>(514.74*0.10)+514.74</f>
        <v>0</v>
      </c>
      <c r="F236" s="11">
        <f>(514.74*0.15)+514.74</f>
        <v>0</v>
      </c>
      <c r="G236" s="11">
        <f>(514.74*0.20)+514.74</f>
        <v>0</v>
      </c>
      <c r="H236" s="12">
        <v>11.33</v>
      </c>
      <c r="I236" s="12">
        <v>15.03</v>
      </c>
      <c r="J236" s="12">
        <v>13.31</v>
      </c>
      <c r="K236" s="12">
        <v>13.48</v>
      </c>
      <c r="M236" s="4" t="s">
        <v>32</v>
      </c>
      <c r="N236" s="4"/>
      <c r="O236" s="4"/>
      <c r="P236" s="5" t="s">
        <v>44</v>
      </c>
    </row>
    <row r="237" spans="2:16">
      <c r="B237" s="2" t="s">
        <v>6</v>
      </c>
      <c r="C237" s="2">
        <v>516.615</v>
      </c>
      <c r="D237" s="11">
        <f>(516.615*0.07)+516.615</f>
        <v>0</v>
      </c>
      <c r="E237" s="11">
        <f>(516.615*0.10)+516.615</f>
        <v>0</v>
      </c>
      <c r="F237" s="11">
        <f>(516.615*0.15)+516.615</f>
        <v>0</v>
      </c>
      <c r="G237" s="11">
        <f>(516.615*0.20)+516.615</f>
        <v>0</v>
      </c>
      <c r="H237" s="12">
        <v>11.74</v>
      </c>
      <c r="I237" s="12">
        <v>15.45</v>
      </c>
      <c r="J237" s="12">
        <v>13.72</v>
      </c>
      <c r="K237" s="12">
        <v>13.89</v>
      </c>
    </row>
    <row r="238" spans="2:16">
      <c r="M238" s="7" t="s">
        <v>20</v>
      </c>
      <c r="N238" s="8">
        <v>62.33</v>
      </c>
      <c r="O238" s="8">
        <v>13.72</v>
      </c>
      <c r="P238" s="9" t="s">
        <v>21</v>
      </c>
    </row>
    <row r="240" spans="2:16">
      <c r="M240" s="4" t="s">
        <v>22</v>
      </c>
      <c r="N240" s="4"/>
      <c r="O240" s="4"/>
      <c r="P240" s="5" t="s">
        <v>45</v>
      </c>
    </row>
    <row r="242" spans="1:17">
      <c r="M242" s="7" t="s">
        <v>20</v>
      </c>
      <c r="N242" s="8">
        <v>126.01</v>
      </c>
      <c r="O242" s="8">
        <v>13.89</v>
      </c>
      <c r="P242" s="9" t="s">
        <v>21</v>
      </c>
    </row>
    <row r="246" spans="1:17">
      <c r="O246" s="7" t="s">
        <v>23</v>
      </c>
      <c r="P246" s="13">
        <v>474.53</v>
      </c>
    </row>
    <row r="249" spans="1:17">
      <c r="P249" s="14" t="s">
        <v>24</v>
      </c>
      <c r="Q249" s="15">
        <v>3658.39</v>
      </c>
    </row>
    <row r="250" spans="1:17">
      <c r="P250" s="16"/>
      <c r="Q250" s="17"/>
    </row>
    <row r="251" spans="1:17">
      <c r="P251" s="18" t="s">
        <v>25</v>
      </c>
      <c r="Q251" s="19">
        <v>474.53</v>
      </c>
    </row>
    <row r="253" spans="1:17">
      <c r="A253" s="20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</row>
    <row r="254" spans="1:17">
      <c r="A254" s="20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</row>
    <row r="257" spans="2:15">
      <c r="C257" s="1" t="s">
        <v>115</v>
      </c>
      <c r="D257" s="1" t="s">
        <v>116</v>
      </c>
    </row>
    <row r="258" spans="2:15">
      <c r="B258" s="2" t="s">
        <v>101</v>
      </c>
      <c r="C258" s="2" t="s">
        <v>90</v>
      </c>
      <c r="D258" s="3">
        <v>215.33</v>
      </c>
    </row>
    <row r="259" spans="2:15">
      <c r="B259" s="2" t="s">
        <v>101</v>
      </c>
      <c r="C259" s="2" t="s">
        <v>4</v>
      </c>
      <c r="D259" s="3">
        <v>211.32</v>
      </c>
      <c r="K259" s="4" t="s">
        <v>97</v>
      </c>
      <c r="L259" s="4"/>
      <c r="M259" s="4"/>
      <c r="N259" s="5" t="s">
        <v>15</v>
      </c>
    </row>
    <row r="260" spans="2:15">
      <c r="B260" s="6" t="s">
        <v>56</v>
      </c>
      <c r="C260" s="2" t="s">
        <v>6</v>
      </c>
      <c r="D260" s="3">
        <v>426.65</v>
      </c>
    </row>
    <row r="261" spans="2:15">
      <c r="K261" s="7" t="s">
        <v>20</v>
      </c>
      <c r="L261" s="21">
        <v>-26.55</v>
      </c>
      <c r="M261" s="21">
        <v>-2.47</v>
      </c>
      <c r="N261" s="9" t="s">
        <v>21</v>
      </c>
    </row>
    <row r="262" spans="2:15">
      <c r="E262" s="3" t="s">
        <v>7</v>
      </c>
      <c r="F262" s="3">
        <v>213.33</v>
      </c>
    </row>
    <row r="263" spans="2:15">
      <c r="K263" s="4" t="s">
        <v>22</v>
      </c>
      <c r="L263" s="4"/>
      <c r="M263" s="4"/>
      <c r="N263" s="5" t="s">
        <v>16</v>
      </c>
    </row>
    <row r="264" spans="2:15">
      <c r="C264" s="2" t="s">
        <v>8</v>
      </c>
      <c r="D264" s="2" t="s">
        <v>9</v>
      </c>
      <c r="E264" s="2" t="s">
        <v>10</v>
      </c>
      <c r="F264" s="2" t="s">
        <v>11</v>
      </c>
      <c r="G264" s="2" t="s">
        <v>12</v>
      </c>
      <c r="H264" s="10" t="s">
        <v>15</v>
      </c>
      <c r="I264" s="10" t="s">
        <v>16</v>
      </c>
    </row>
    <row r="265" spans="2:15">
      <c r="B265" s="2" t="s">
        <v>13</v>
      </c>
      <c r="C265" s="2" t="s">
        <v>117</v>
      </c>
      <c r="D265" s="11">
        <f>(214.67*0.07)+214.67</f>
        <v>0</v>
      </c>
      <c r="E265" s="11">
        <f>(214.67*0.10)+214.67</f>
        <v>0</v>
      </c>
      <c r="F265" s="11">
        <f>(214.67*0.15)+214.67</f>
        <v>0</v>
      </c>
      <c r="G265" s="11">
        <f>(214.67*0.20)+214.67</f>
        <v>0</v>
      </c>
      <c r="H265" s="22">
        <v>-0.31</v>
      </c>
      <c r="I265" s="12">
        <v>1.58</v>
      </c>
      <c r="K265" s="7" t="s">
        <v>20</v>
      </c>
      <c r="L265" s="21">
        <v>-6.52</v>
      </c>
      <c r="M265" s="21">
        <v>-0.62</v>
      </c>
      <c r="N265" s="9" t="s">
        <v>21</v>
      </c>
    </row>
    <row r="266" spans="2:15">
      <c r="B266" s="2" t="s">
        <v>17</v>
      </c>
      <c r="C266" s="2" t="s">
        <v>118</v>
      </c>
      <c r="D266" s="11">
        <f>(210.04*0.07)+210.04</f>
        <v>0</v>
      </c>
      <c r="E266" s="11">
        <f>(210.04*0.10)+210.04</f>
        <v>0</v>
      </c>
      <c r="F266" s="11">
        <f>(210.04*0.15)+210.04</f>
        <v>0</v>
      </c>
      <c r="G266" s="11">
        <f>(210.04*0.20)+210.04</f>
        <v>0</v>
      </c>
      <c r="H266" s="22">
        <v>-2.46</v>
      </c>
      <c r="I266" s="22">
        <v>-0.61</v>
      </c>
    </row>
    <row r="267" spans="2:15">
      <c r="B267" s="2" t="s">
        <v>6</v>
      </c>
      <c r="C267" s="2">
        <v>210.02</v>
      </c>
      <c r="D267" s="11">
        <f>(210.02*0.07)+210.02</f>
        <v>0</v>
      </c>
      <c r="E267" s="11">
        <f>(210.02*0.10)+210.02</f>
        <v>0</v>
      </c>
      <c r="F267" s="11">
        <f>(210.02*0.15)+210.02</f>
        <v>0</v>
      </c>
      <c r="G267" s="11">
        <f>(210.02*0.20)+210.02</f>
        <v>0</v>
      </c>
      <c r="H267" s="22">
        <v>-2.47</v>
      </c>
      <c r="I267" s="22">
        <v>-0.62</v>
      </c>
    </row>
    <row r="269" spans="2:15">
      <c r="M269" s="7" t="s">
        <v>23</v>
      </c>
      <c r="N269" s="23">
        <v>-33.08</v>
      </c>
    </row>
    <row r="272" spans="2:15">
      <c r="N272" s="14" t="s">
        <v>24</v>
      </c>
      <c r="O272" s="15">
        <v>2133.28</v>
      </c>
    </row>
    <row r="273" spans="1:15">
      <c r="N273" s="16"/>
      <c r="O273" s="17"/>
    </row>
    <row r="274" spans="1:15">
      <c r="N274" s="18" t="s">
        <v>25</v>
      </c>
      <c r="O274" s="24">
        <v>-33.08</v>
      </c>
    </row>
    <row r="276" spans="1:15">
      <c r="A276" s="20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</row>
    <row r="277" spans="1:15">
      <c r="A277" s="20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</row>
    <row r="280" spans="1:15">
      <c r="C280" s="1" t="s">
        <v>119</v>
      </c>
      <c r="D280" s="1" t="s">
        <v>120</v>
      </c>
    </row>
    <row r="281" spans="1:15">
      <c r="B281" s="2" t="s">
        <v>121</v>
      </c>
      <c r="C281" s="2" t="s">
        <v>4</v>
      </c>
      <c r="D281" s="3">
        <v>13.11</v>
      </c>
      <c r="J281" s="4" t="s">
        <v>22</v>
      </c>
      <c r="K281" s="4"/>
      <c r="L281" s="4"/>
      <c r="M281" s="5" t="s">
        <v>15</v>
      </c>
    </row>
    <row r="282" spans="1:15">
      <c r="B282" s="6" t="s">
        <v>121</v>
      </c>
      <c r="C282" s="2" t="s">
        <v>6</v>
      </c>
      <c r="D282" s="3">
        <v>13.11</v>
      </c>
    </row>
    <row r="283" spans="1:15">
      <c r="J283" s="7" t="s">
        <v>20</v>
      </c>
      <c r="K283" s="8">
        <v>27.75</v>
      </c>
      <c r="L283" s="8">
        <v>2.78</v>
      </c>
      <c r="M283" s="9" t="s">
        <v>21</v>
      </c>
    </row>
    <row r="284" spans="1:15">
      <c r="E284" s="3" t="s">
        <v>7</v>
      </c>
      <c r="F284" s="3">
        <v>13.11</v>
      </c>
    </row>
    <row r="286" spans="1:15">
      <c r="C286" s="2" t="s">
        <v>8</v>
      </c>
      <c r="D286" s="2" t="s">
        <v>9</v>
      </c>
      <c r="E286" s="2" t="s">
        <v>10</v>
      </c>
      <c r="F286" s="2" t="s">
        <v>11</v>
      </c>
      <c r="G286" s="2" t="s">
        <v>12</v>
      </c>
      <c r="H286" s="10" t="s">
        <v>15</v>
      </c>
    </row>
    <row r="287" spans="1:15">
      <c r="B287" s="2" t="s">
        <v>17</v>
      </c>
      <c r="C287" s="2" t="s">
        <v>122</v>
      </c>
      <c r="D287" s="11">
        <f>(13.045*0.07)+13.045</f>
        <v>0</v>
      </c>
      <c r="E287" s="11">
        <f>(13.045*0.10)+13.045</f>
        <v>0</v>
      </c>
      <c r="F287" s="11">
        <f>(13.045*0.15)+13.045</f>
        <v>0</v>
      </c>
      <c r="G287" s="11">
        <f>(13.045*0.20)+13.045</f>
        <v>0</v>
      </c>
      <c r="H287" s="22">
        <v>-0.5</v>
      </c>
      <c r="L287" s="7" t="s">
        <v>23</v>
      </c>
      <c r="M287" s="13">
        <v>27.75</v>
      </c>
    </row>
    <row r="288" spans="1:15">
      <c r="B288" s="2" t="s">
        <v>6</v>
      </c>
      <c r="C288" s="2">
        <v>13.475</v>
      </c>
      <c r="D288" s="11">
        <f>(13.475*0.07)+13.475</f>
        <v>0</v>
      </c>
      <c r="E288" s="11">
        <f>(13.475*0.10)+13.475</f>
        <v>0</v>
      </c>
      <c r="F288" s="11">
        <f>(13.475*0.15)+13.475</f>
        <v>0</v>
      </c>
      <c r="G288" s="11">
        <f>(13.475*0.20)+13.475</f>
        <v>0</v>
      </c>
      <c r="H288" s="12">
        <v>2.78</v>
      </c>
    </row>
    <row r="290" spans="1:14">
      <c r="M290" s="14" t="s">
        <v>24</v>
      </c>
      <c r="N290" s="15">
        <v>996.35</v>
      </c>
    </row>
    <row r="291" spans="1:14">
      <c r="M291" s="16"/>
      <c r="N291" s="17"/>
    </row>
    <row r="292" spans="1:14">
      <c r="M292" s="18" t="s">
        <v>25</v>
      </c>
      <c r="N292" s="19">
        <v>27.75</v>
      </c>
    </row>
    <row r="294" spans="1:14">
      <c r="A294" s="20"/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</row>
    <row r="295" spans="1:14">
      <c r="A295" s="20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</row>
    <row r="298" spans="1:14">
      <c r="C298" s="1" t="s">
        <v>123</v>
      </c>
      <c r="D298" s="1" t="s">
        <v>124</v>
      </c>
    </row>
    <row r="299" spans="1:14">
      <c r="B299" s="2" t="s">
        <v>125</v>
      </c>
      <c r="C299" s="2" t="s">
        <v>29</v>
      </c>
      <c r="D299" s="3">
        <v>67.79000000000001</v>
      </c>
    </row>
    <row r="300" spans="1:14">
      <c r="B300" s="2" t="s">
        <v>125</v>
      </c>
      <c r="C300" s="2" t="s">
        <v>4</v>
      </c>
      <c r="D300" s="3">
        <v>77.44</v>
      </c>
      <c r="K300" s="4" t="s">
        <v>32</v>
      </c>
      <c r="L300" s="4"/>
      <c r="M300" s="4"/>
      <c r="N300" s="5" t="s">
        <v>15</v>
      </c>
    </row>
    <row r="301" spans="1:14">
      <c r="B301" s="6" t="s">
        <v>126</v>
      </c>
      <c r="C301" s="2" t="s">
        <v>6</v>
      </c>
      <c r="D301" s="3">
        <v>145.22</v>
      </c>
    </row>
    <row r="302" spans="1:14">
      <c r="K302" s="7" t="s">
        <v>20</v>
      </c>
      <c r="L302" s="8">
        <v>98.65000000000001</v>
      </c>
      <c r="M302" s="8">
        <v>20.79</v>
      </c>
      <c r="N302" s="9" t="s">
        <v>21</v>
      </c>
    </row>
    <row r="303" spans="1:14">
      <c r="E303" s="3" t="s">
        <v>7</v>
      </c>
      <c r="F303" s="3">
        <v>72.61</v>
      </c>
    </row>
    <row r="304" spans="1:14">
      <c r="K304" s="4" t="s">
        <v>22</v>
      </c>
      <c r="L304" s="4"/>
      <c r="M304" s="4"/>
      <c r="N304" s="5" t="s">
        <v>16</v>
      </c>
    </row>
    <row r="305" spans="1:15">
      <c r="C305" s="2" t="s">
        <v>8</v>
      </c>
      <c r="D305" s="2" t="s">
        <v>9</v>
      </c>
      <c r="E305" s="2" t="s">
        <v>10</v>
      </c>
      <c r="F305" s="2" t="s">
        <v>11</v>
      </c>
      <c r="G305" s="2" t="s">
        <v>12</v>
      </c>
      <c r="H305" s="10" t="s">
        <v>15</v>
      </c>
      <c r="I305" s="10" t="s">
        <v>16</v>
      </c>
    </row>
    <row r="306" spans="1:15">
      <c r="B306" s="2" t="s">
        <v>17</v>
      </c>
      <c r="C306" s="2" t="s">
        <v>127</v>
      </c>
      <c r="D306" s="11">
        <f>(82.17*0.07)+82.17</f>
        <v>0</v>
      </c>
      <c r="E306" s="11">
        <f>(82.17*0.10)+82.17</f>
        <v>0</v>
      </c>
      <c r="F306" s="11">
        <f>(82.17*0.15)+82.17</f>
        <v>0</v>
      </c>
      <c r="G306" s="11">
        <f>(82.17*0.20)+82.17</f>
        <v>0</v>
      </c>
      <c r="H306" s="12">
        <v>21.22</v>
      </c>
      <c r="I306" s="12">
        <v>6.11</v>
      </c>
      <c r="K306" s="7" t="s">
        <v>20</v>
      </c>
      <c r="L306" s="8">
        <v>31.11</v>
      </c>
      <c r="M306" s="8">
        <v>5.74</v>
      </c>
      <c r="N306" s="9" t="s">
        <v>21</v>
      </c>
    </row>
    <row r="307" spans="1:15">
      <c r="B307" s="2" t="s">
        <v>6</v>
      </c>
      <c r="C307" s="2">
        <v>81.88</v>
      </c>
      <c r="D307" s="11">
        <f>(81.88*0.07)+81.88</f>
        <v>0</v>
      </c>
      <c r="E307" s="11">
        <f>(81.88*0.10)+81.88</f>
        <v>0</v>
      </c>
      <c r="F307" s="11">
        <f>(81.88*0.15)+81.88</f>
        <v>0</v>
      </c>
      <c r="G307" s="11">
        <f>(81.88*0.20)+81.88</f>
        <v>0</v>
      </c>
      <c r="H307" s="12">
        <v>20.79</v>
      </c>
      <c r="I307" s="12">
        <v>5.74</v>
      </c>
    </row>
    <row r="310" spans="1:15">
      <c r="M310" s="7" t="s">
        <v>23</v>
      </c>
      <c r="N310" s="13">
        <v>129.76</v>
      </c>
    </row>
    <row r="313" spans="1:15">
      <c r="N313" s="14" t="s">
        <v>24</v>
      </c>
      <c r="O313" s="15">
        <v>1016.56</v>
      </c>
    </row>
    <row r="314" spans="1:15">
      <c r="N314" s="16"/>
      <c r="O314" s="17"/>
    </row>
    <row r="315" spans="1:15">
      <c r="N315" s="18" t="s">
        <v>25</v>
      </c>
      <c r="O315" s="19">
        <v>129.76</v>
      </c>
    </row>
    <row r="317" spans="1:15">
      <c r="A317" s="20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</row>
    <row r="318" spans="1:15">
      <c r="A318" s="20"/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</row>
    <row r="321" spans="1:14">
      <c r="C321" s="1" t="s">
        <v>128</v>
      </c>
      <c r="D321" s="1" t="s">
        <v>129</v>
      </c>
    </row>
    <row r="322" spans="1:14">
      <c r="B322" s="2" t="s">
        <v>2</v>
      </c>
      <c r="C322" s="2" t="s">
        <v>130</v>
      </c>
      <c r="D322" s="3">
        <v>293.95</v>
      </c>
      <c r="J322" s="4" t="s">
        <v>133</v>
      </c>
      <c r="K322" s="4"/>
      <c r="L322" s="4"/>
      <c r="M322" s="5" t="s">
        <v>15</v>
      </c>
    </row>
    <row r="323" spans="1:14">
      <c r="B323" s="6" t="s">
        <v>2</v>
      </c>
      <c r="C323" s="2" t="s">
        <v>6</v>
      </c>
      <c r="D323" s="3">
        <v>293.95</v>
      </c>
    </row>
    <row r="324" spans="1:14">
      <c r="J324" s="7" t="s">
        <v>20</v>
      </c>
      <c r="K324" s="8">
        <v>62.8</v>
      </c>
      <c r="L324" s="8">
        <v>5.34</v>
      </c>
      <c r="M324" s="9" t="s">
        <v>21</v>
      </c>
    </row>
    <row r="325" spans="1:14">
      <c r="E325" s="3" t="s">
        <v>7</v>
      </c>
      <c r="F325" s="3">
        <v>293.95</v>
      </c>
    </row>
    <row r="327" spans="1:14">
      <c r="C327" s="2" t="s">
        <v>8</v>
      </c>
      <c r="D327" s="2" t="s">
        <v>9</v>
      </c>
      <c r="E327" s="2" t="s">
        <v>10</v>
      </c>
      <c r="F327" s="2" t="s">
        <v>11</v>
      </c>
      <c r="G327" s="2" t="s">
        <v>12</v>
      </c>
      <c r="H327" s="10" t="s">
        <v>15</v>
      </c>
    </row>
    <row r="328" spans="1:14">
      <c r="B328" s="2" t="s">
        <v>13</v>
      </c>
      <c r="C328" s="2" t="s">
        <v>131</v>
      </c>
      <c r="D328" s="11">
        <f>(306.18*0.07)+306.18</f>
        <v>0</v>
      </c>
      <c r="E328" s="11">
        <f>(306.18*0.10)+306.18</f>
        <v>0</v>
      </c>
      <c r="F328" s="11">
        <f>(306.18*0.15)+306.18</f>
        <v>0</v>
      </c>
      <c r="G328" s="11">
        <f>(306.18*0.20)+306.18</f>
        <v>0</v>
      </c>
      <c r="H328" s="12">
        <v>4.16</v>
      </c>
      <c r="L328" s="7" t="s">
        <v>23</v>
      </c>
      <c r="M328" s="13">
        <v>62.8</v>
      </c>
    </row>
    <row r="329" spans="1:14">
      <c r="B329" s="2" t="s">
        <v>17</v>
      </c>
      <c r="C329" s="2" t="s">
        <v>132</v>
      </c>
      <c r="D329" s="11">
        <f>(303.04*0.07)+303.04</f>
        <v>0</v>
      </c>
      <c r="E329" s="11">
        <f>(303.04*0.10)+303.04</f>
        <v>0</v>
      </c>
      <c r="F329" s="11">
        <f>(303.04*0.15)+303.04</f>
        <v>0</v>
      </c>
      <c r="G329" s="11">
        <f>(303.04*0.20)+303.04</f>
        <v>0</v>
      </c>
      <c r="H329" s="12">
        <v>3.09</v>
      </c>
    </row>
    <row r="330" spans="1:14">
      <c r="B330" s="2" t="s">
        <v>6</v>
      </c>
      <c r="C330" s="2">
        <v>309.65</v>
      </c>
      <c r="D330" s="11">
        <f>(309.65*0.07)+309.65</f>
        <v>0</v>
      </c>
      <c r="E330" s="11">
        <f>(309.65*0.10)+309.65</f>
        <v>0</v>
      </c>
      <c r="F330" s="11">
        <f>(309.65*0.15)+309.65</f>
        <v>0</v>
      </c>
      <c r="G330" s="11">
        <f>(309.65*0.20)+309.65</f>
        <v>0</v>
      </c>
      <c r="H330" s="12">
        <v>5.34</v>
      </c>
    </row>
    <row r="331" spans="1:14">
      <c r="M331" s="14" t="s">
        <v>24</v>
      </c>
      <c r="N331" s="15">
        <v>1175.8</v>
      </c>
    </row>
    <row r="332" spans="1:14">
      <c r="M332" s="16"/>
      <c r="N332" s="17"/>
    </row>
    <row r="333" spans="1:14">
      <c r="M333" s="18" t="s">
        <v>25</v>
      </c>
      <c r="N333" s="19">
        <v>62.8</v>
      </c>
    </row>
    <row r="335" spans="1:14">
      <c r="A335" s="20"/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</row>
    <row r="336" spans="1:14">
      <c r="A336" s="20"/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</row>
    <row r="339" spans="2:16">
      <c r="C339" s="1" t="s">
        <v>134</v>
      </c>
      <c r="D339" s="1" t="s">
        <v>135</v>
      </c>
    </row>
    <row r="340" spans="2:16">
      <c r="B340" s="2" t="s">
        <v>2</v>
      </c>
      <c r="C340" s="2" t="s">
        <v>136</v>
      </c>
      <c r="D340" s="3">
        <v>112.81</v>
      </c>
    </row>
    <row r="341" spans="2:16">
      <c r="B341" s="2" t="s">
        <v>2</v>
      </c>
      <c r="C341" s="2" t="s">
        <v>29</v>
      </c>
      <c r="D341" s="3">
        <v>116.3</v>
      </c>
    </row>
    <row r="342" spans="2:16">
      <c r="B342" s="2" t="s">
        <v>58</v>
      </c>
      <c r="C342" s="2" t="s">
        <v>40</v>
      </c>
      <c r="D342" s="3">
        <v>130.68</v>
      </c>
    </row>
    <row r="343" spans="2:16">
      <c r="B343" s="2" t="s">
        <v>58</v>
      </c>
      <c r="C343" s="2" t="s">
        <v>102</v>
      </c>
      <c r="D343" s="3">
        <v>130.96</v>
      </c>
      <c r="M343" s="4" t="s">
        <v>139</v>
      </c>
      <c r="N343" s="4"/>
      <c r="O343" s="4"/>
      <c r="P343" s="5" t="s">
        <v>15</v>
      </c>
    </row>
    <row r="344" spans="2:16">
      <c r="B344" s="6" t="s">
        <v>126</v>
      </c>
      <c r="C344" s="2" t="s">
        <v>6</v>
      </c>
      <c r="D344" s="3">
        <v>490.74</v>
      </c>
    </row>
    <row r="345" spans="2:16">
      <c r="M345" s="7" t="s">
        <v>20</v>
      </c>
      <c r="N345" s="8">
        <v>125.66</v>
      </c>
      <c r="O345" s="8">
        <v>27.85</v>
      </c>
      <c r="P345" s="9" t="s">
        <v>21</v>
      </c>
    </row>
    <row r="346" spans="2:16">
      <c r="E346" s="3" t="s">
        <v>7</v>
      </c>
      <c r="F346" s="3">
        <v>121.52</v>
      </c>
    </row>
    <row r="347" spans="2:16">
      <c r="M347" s="4" t="s">
        <v>32</v>
      </c>
      <c r="N347" s="4"/>
      <c r="O347" s="4"/>
      <c r="P347" s="5" t="s">
        <v>16</v>
      </c>
    </row>
    <row r="348" spans="2:16">
      <c r="C348" s="2" t="s">
        <v>8</v>
      </c>
      <c r="D348" s="2" t="s">
        <v>9</v>
      </c>
      <c r="E348" s="2" t="s">
        <v>10</v>
      </c>
      <c r="F348" s="2" t="s">
        <v>11</v>
      </c>
      <c r="G348" s="2" t="s">
        <v>12</v>
      </c>
      <c r="H348" s="10" t="s">
        <v>15</v>
      </c>
      <c r="I348" s="10" t="s">
        <v>16</v>
      </c>
      <c r="J348" s="10" t="s">
        <v>44</v>
      </c>
      <c r="K348" s="10" t="s">
        <v>45</v>
      </c>
    </row>
    <row r="349" spans="2:16">
      <c r="B349" s="2" t="s">
        <v>13</v>
      </c>
      <c r="C349" s="2" t="s">
        <v>137</v>
      </c>
      <c r="D349" s="11">
        <f>(141.09*0.07)+141.09</f>
        <v>0</v>
      </c>
      <c r="E349" s="11">
        <f>(141.09*0.10)+141.09</f>
        <v>0</v>
      </c>
      <c r="F349" s="11">
        <f>(141.09*0.15)+141.09</f>
        <v>0</v>
      </c>
      <c r="G349" s="11">
        <f>(141.09*0.20)+141.09</f>
        <v>0</v>
      </c>
      <c r="H349" s="12">
        <v>25.07</v>
      </c>
      <c r="I349" s="12">
        <v>21.32</v>
      </c>
      <c r="J349" s="12">
        <v>7.97</v>
      </c>
      <c r="K349" s="12">
        <v>7.74</v>
      </c>
      <c r="M349" s="7" t="s">
        <v>20</v>
      </c>
      <c r="N349" s="8">
        <v>111.71</v>
      </c>
      <c r="O349" s="8">
        <v>24.01</v>
      </c>
      <c r="P349" s="9" t="s">
        <v>21</v>
      </c>
    </row>
    <row r="350" spans="2:16">
      <c r="B350" s="2" t="s">
        <v>17</v>
      </c>
      <c r="C350" s="2" t="s">
        <v>138</v>
      </c>
      <c r="D350" s="11">
        <f>(141.715*0.07)+141.715</f>
        <v>0</v>
      </c>
      <c r="E350" s="11">
        <f>(141.715*0.10)+141.715</f>
        <v>0</v>
      </c>
      <c r="F350" s="11">
        <f>(141.715*0.15)+141.715</f>
        <v>0</v>
      </c>
      <c r="G350" s="11">
        <f>(141.715*0.20)+141.715</f>
        <v>0</v>
      </c>
      <c r="H350" s="12">
        <v>25.62</v>
      </c>
      <c r="I350" s="12">
        <v>21.85</v>
      </c>
      <c r="J350" s="12">
        <v>8.449999999999999</v>
      </c>
      <c r="K350" s="12">
        <v>8.220000000000001</v>
      </c>
    </row>
    <row r="351" spans="2:16">
      <c r="B351" s="2" t="s">
        <v>6</v>
      </c>
      <c r="C351" s="2">
        <v>144.225</v>
      </c>
      <c r="D351" s="11">
        <f>(144.225*0.07)+144.225</f>
        <v>0</v>
      </c>
      <c r="E351" s="11">
        <f>(144.225*0.10)+144.225</f>
        <v>0</v>
      </c>
      <c r="F351" s="11">
        <f>(144.225*0.15)+144.225</f>
        <v>0</v>
      </c>
      <c r="G351" s="11">
        <f>(144.225*0.20)+144.225</f>
        <v>0</v>
      </c>
      <c r="H351" s="12">
        <v>27.85</v>
      </c>
      <c r="I351" s="12">
        <v>24.01</v>
      </c>
      <c r="J351" s="12">
        <v>10.37</v>
      </c>
      <c r="K351" s="12">
        <v>10.13</v>
      </c>
      <c r="M351" s="4" t="s">
        <v>52</v>
      </c>
      <c r="N351" s="4"/>
      <c r="O351" s="4"/>
      <c r="P351" s="5" t="s">
        <v>44</v>
      </c>
    </row>
    <row r="353" spans="1:17">
      <c r="M353" s="7" t="s">
        <v>20</v>
      </c>
      <c r="N353" s="8">
        <v>40.64</v>
      </c>
      <c r="O353" s="8">
        <v>10.37</v>
      </c>
      <c r="P353" s="9" t="s">
        <v>21</v>
      </c>
    </row>
    <row r="355" spans="1:17">
      <c r="M355" s="4" t="s">
        <v>106</v>
      </c>
      <c r="N355" s="4"/>
      <c r="O355" s="4"/>
      <c r="P355" s="5" t="s">
        <v>45</v>
      </c>
    </row>
    <row r="357" spans="1:17">
      <c r="M357" s="7" t="s">
        <v>20</v>
      </c>
      <c r="N357" s="8">
        <v>39.81</v>
      </c>
      <c r="O357" s="8">
        <v>10.13</v>
      </c>
      <c r="P357" s="9" t="s">
        <v>21</v>
      </c>
    </row>
    <row r="361" spans="1:17">
      <c r="O361" s="7" t="s">
        <v>23</v>
      </c>
      <c r="P361" s="13">
        <v>317.82</v>
      </c>
    </row>
    <row r="364" spans="1:17">
      <c r="P364" s="14" t="s">
        <v>24</v>
      </c>
      <c r="Q364" s="15">
        <v>1701.33</v>
      </c>
    </row>
    <row r="365" spans="1:17">
      <c r="P365" s="16"/>
      <c r="Q365" s="17"/>
    </row>
    <row r="366" spans="1:17">
      <c r="P366" s="18" t="s">
        <v>25</v>
      </c>
      <c r="Q366" s="19">
        <v>317.82</v>
      </c>
    </row>
    <row r="368" spans="1:17">
      <c r="A368" s="20"/>
      <c r="B368" s="20"/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</row>
    <row r="369" spans="1:17">
      <c r="A369" s="20"/>
      <c r="B369" s="20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</row>
    <row r="372" spans="1:17">
      <c r="C372" s="1" t="s">
        <v>140</v>
      </c>
      <c r="D372" s="1" t="s">
        <v>141</v>
      </c>
    </row>
    <row r="373" spans="1:17">
      <c r="B373" s="2" t="s">
        <v>58</v>
      </c>
      <c r="C373" s="2" t="s">
        <v>136</v>
      </c>
      <c r="D373" s="3">
        <v>169.42</v>
      </c>
    </row>
    <row r="374" spans="1:17">
      <c r="B374" s="2" t="s">
        <v>58</v>
      </c>
      <c r="C374" s="2" t="s">
        <v>29</v>
      </c>
      <c r="D374" s="3">
        <v>171.49</v>
      </c>
      <c r="K374" s="4" t="s">
        <v>139</v>
      </c>
      <c r="L374" s="4"/>
      <c r="M374" s="4"/>
      <c r="N374" s="5" t="s">
        <v>15</v>
      </c>
    </row>
    <row r="375" spans="1:17">
      <c r="B375" s="6" t="s">
        <v>142</v>
      </c>
      <c r="C375" s="2" t="s">
        <v>6</v>
      </c>
      <c r="D375" s="3">
        <v>340.91</v>
      </c>
    </row>
    <row r="376" spans="1:17">
      <c r="K376" s="7" t="s">
        <v>20</v>
      </c>
      <c r="L376" s="21">
        <v>-19.92</v>
      </c>
      <c r="M376" s="21">
        <v>-3.92</v>
      </c>
      <c r="N376" s="9" t="s">
        <v>21</v>
      </c>
    </row>
    <row r="377" spans="1:17">
      <c r="E377" s="3" t="s">
        <v>7</v>
      </c>
      <c r="F377" s="3">
        <v>170.45</v>
      </c>
    </row>
    <row r="378" spans="1:17">
      <c r="K378" s="4" t="s">
        <v>32</v>
      </c>
      <c r="L378" s="4"/>
      <c r="M378" s="4"/>
      <c r="N378" s="5" t="s">
        <v>16</v>
      </c>
    </row>
    <row r="379" spans="1:17">
      <c r="C379" s="2" t="s">
        <v>8</v>
      </c>
      <c r="D379" s="2" t="s">
        <v>9</v>
      </c>
      <c r="E379" s="2" t="s">
        <v>10</v>
      </c>
      <c r="F379" s="2" t="s">
        <v>11</v>
      </c>
      <c r="G379" s="2" t="s">
        <v>12</v>
      </c>
      <c r="H379" s="10" t="s">
        <v>15</v>
      </c>
      <c r="I379" s="10" t="s">
        <v>16</v>
      </c>
    </row>
    <row r="380" spans="1:17">
      <c r="B380" s="2" t="s">
        <v>13</v>
      </c>
      <c r="C380" s="2" t="s">
        <v>143</v>
      </c>
      <c r="D380" s="11">
        <f>(164.61*0.07)+164.61</f>
        <v>0</v>
      </c>
      <c r="E380" s="11">
        <f>(164.61*0.10)+164.61</f>
        <v>0</v>
      </c>
      <c r="F380" s="11">
        <f>(164.61*0.15)+164.61</f>
        <v>0</v>
      </c>
      <c r="G380" s="11">
        <f>(164.61*0.20)+164.61</f>
        <v>0</v>
      </c>
      <c r="H380" s="22">
        <v>-2.84</v>
      </c>
      <c r="I380" s="22">
        <v>-4.01</v>
      </c>
      <c r="K380" s="7" t="s">
        <v>20</v>
      </c>
      <c r="L380" s="21">
        <v>-26.12</v>
      </c>
      <c r="M380" s="21">
        <v>-5.08</v>
      </c>
      <c r="N380" s="9" t="s">
        <v>21</v>
      </c>
    </row>
    <row r="381" spans="1:17">
      <c r="B381" s="2" t="s">
        <v>17</v>
      </c>
      <c r="C381" s="2" t="s">
        <v>144</v>
      </c>
      <c r="D381" s="11">
        <f>(163.355*0.07)+163.355</f>
        <v>0</v>
      </c>
      <c r="E381" s="11">
        <f>(163.355*0.10)+163.355</f>
        <v>0</v>
      </c>
      <c r="F381" s="11">
        <f>(163.355*0.15)+163.355</f>
        <v>0</v>
      </c>
      <c r="G381" s="11">
        <f>(163.355*0.20)+163.355</f>
        <v>0</v>
      </c>
      <c r="H381" s="22">
        <v>-3.58</v>
      </c>
      <c r="I381" s="22">
        <v>-4.74</v>
      </c>
    </row>
    <row r="382" spans="1:17">
      <c r="B382" s="2" t="s">
        <v>6</v>
      </c>
      <c r="C382" s="2">
        <v>162.78</v>
      </c>
      <c r="D382" s="11">
        <f>(162.78*0.07)+162.78</f>
        <v>0</v>
      </c>
      <c r="E382" s="11">
        <f>(162.78*0.10)+162.78</f>
        <v>0</v>
      </c>
      <c r="F382" s="11">
        <f>(162.78*0.15)+162.78</f>
        <v>0</v>
      </c>
      <c r="G382" s="11">
        <f>(162.78*0.20)+162.78</f>
        <v>0</v>
      </c>
      <c r="H382" s="22">
        <v>-3.92</v>
      </c>
      <c r="I382" s="22">
        <v>-5.08</v>
      </c>
    </row>
    <row r="384" spans="1:17">
      <c r="M384" s="7" t="s">
        <v>23</v>
      </c>
      <c r="N384" s="23">
        <v>-46.04</v>
      </c>
    </row>
    <row r="387" spans="1:15">
      <c r="N387" s="14" t="s">
        <v>24</v>
      </c>
      <c r="O387" s="15">
        <v>1022.72</v>
      </c>
    </row>
    <row r="388" spans="1:15">
      <c r="N388" s="16"/>
      <c r="O388" s="17"/>
    </row>
    <row r="389" spans="1:15">
      <c r="N389" s="18" t="s">
        <v>25</v>
      </c>
      <c r="O389" s="24">
        <v>-46.04</v>
      </c>
    </row>
    <row r="391" spans="1:15">
      <c r="A391" s="20"/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</row>
    <row r="392" spans="1:15">
      <c r="A392" s="20"/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</row>
    <row r="395" spans="1:15">
      <c r="C395" s="1" t="s">
        <v>145</v>
      </c>
      <c r="D395" s="1" t="s">
        <v>146</v>
      </c>
    </row>
    <row r="396" spans="1:15">
      <c r="B396" s="2" t="s">
        <v>101</v>
      </c>
      <c r="C396" s="2" t="s">
        <v>4</v>
      </c>
      <c r="D396" s="3">
        <v>188.93</v>
      </c>
    </row>
    <row r="397" spans="1:15">
      <c r="B397" s="2" t="s">
        <v>101</v>
      </c>
      <c r="C397" s="2" t="s">
        <v>147</v>
      </c>
      <c r="D397" s="3">
        <v>192.93</v>
      </c>
      <c r="K397" s="4" t="s">
        <v>22</v>
      </c>
      <c r="L397" s="4"/>
      <c r="M397" s="4"/>
      <c r="N397" s="5" t="s">
        <v>15</v>
      </c>
    </row>
    <row r="398" spans="1:15">
      <c r="B398" s="6" t="s">
        <v>56</v>
      </c>
      <c r="C398" s="2" t="s">
        <v>6</v>
      </c>
      <c r="D398" s="3">
        <v>381.86</v>
      </c>
    </row>
    <row r="399" spans="1:15">
      <c r="K399" s="7" t="s">
        <v>20</v>
      </c>
      <c r="L399" s="8">
        <v>22.97</v>
      </c>
      <c r="M399" s="8">
        <v>2.43</v>
      </c>
      <c r="N399" s="9" t="s">
        <v>21</v>
      </c>
    </row>
    <row r="400" spans="1:15">
      <c r="E400" s="3" t="s">
        <v>7</v>
      </c>
      <c r="F400" s="3">
        <v>190.93</v>
      </c>
    </row>
    <row r="401" spans="1:15">
      <c r="K401" s="4" t="s">
        <v>150</v>
      </c>
      <c r="L401" s="4"/>
      <c r="M401" s="4"/>
      <c r="N401" s="5" t="s">
        <v>16</v>
      </c>
    </row>
    <row r="402" spans="1:15">
      <c r="C402" s="2" t="s">
        <v>8</v>
      </c>
      <c r="D402" s="2" t="s">
        <v>9</v>
      </c>
      <c r="E402" s="2" t="s">
        <v>10</v>
      </c>
      <c r="F402" s="2" t="s">
        <v>11</v>
      </c>
      <c r="G402" s="2" t="s">
        <v>12</v>
      </c>
      <c r="H402" s="10" t="s">
        <v>15</v>
      </c>
      <c r="I402" s="10" t="s">
        <v>16</v>
      </c>
    </row>
    <row r="403" spans="1:15">
      <c r="B403" s="2" t="s">
        <v>13</v>
      </c>
      <c r="C403" s="2" t="s">
        <v>148</v>
      </c>
      <c r="D403" s="11">
        <f>(186.53*0.07)+186.53</f>
        <v>0</v>
      </c>
      <c r="E403" s="11">
        <f>(186.53*0.10)+186.53</f>
        <v>0</v>
      </c>
      <c r="F403" s="11">
        <f>(186.53*0.15)+186.53</f>
        <v>0</v>
      </c>
      <c r="G403" s="11">
        <f>(186.53*0.20)+186.53</f>
        <v>0</v>
      </c>
      <c r="H403" s="22">
        <v>-1.27</v>
      </c>
      <c r="I403" s="22">
        <v>-3.32</v>
      </c>
      <c r="K403" s="7" t="s">
        <v>20</v>
      </c>
      <c r="L403" s="8">
        <v>2.95</v>
      </c>
      <c r="M403" s="8">
        <v>0.31</v>
      </c>
      <c r="N403" s="9" t="s">
        <v>21</v>
      </c>
    </row>
    <row r="404" spans="1:15">
      <c r="B404" s="2" t="s">
        <v>17</v>
      </c>
      <c r="C404" s="2" t="s">
        <v>149</v>
      </c>
      <c r="D404" s="11">
        <f>(185.99*0.07)+185.99</f>
        <v>0</v>
      </c>
      <c r="E404" s="11">
        <f>(185.99*0.10)+185.99</f>
        <v>0</v>
      </c>
      <c r="F404" s="11">
        <f>(185.99*0.15)+185.99</f>
        <v>0</v>
      </c>
      <c r="G404" s="11">
        <f>(185.99*0.20)+185.99</f>
        <v>0</v>
      </c>
      <c r="H404" s="22">
        <v>-1.55</v>
      </c>
      <c r="I404" s="22">
        <v>-3.6</v>
      </c>
    </row>
    <row r="405" spans="1:15">
      <c r="B405" s="2" t="s">
        <v>6</v>
      </c>
      <c r="C405" s="2">
        <v>193.52</v>
      </c>
      <c r="D405" s="11">
        <f>(193.52*0.07)+193.52</f>
        <v>0</v>
      </c>
      <c r="E405" s="11">
        <f>(193.52*0.10)+193.52</f>
        <v>0</v>
      </c>
      <c r="F405" s="11">
        <f>(193.52*0.15)+193.52</f>
        <v>0</v>
      </c>
      <c r="G405" s="11">
        <f>(193.52*0.20)+193.52</f>
        <v>0</v>
      </c>
      <c r="H405" s="12">
        <v>2.43</v>
      </c>
      <c r="I405" s="12">
        <v>0.31</v>
      </c>
    </row>
    <row r="407" spans="1:15">
      <c r="M407" s="7" t="s">
        <v>23</v>
      </c>
      <c r="N407" s="13">
        <v>25.92</v>
      </c>
    </row>
    <row r="410" spans="1:15">
      <c r="N410" s="14" t="s">
        <v>24</v>
      </c>
      <c r="O410" s="15">
        <v>1909.28</v>
      </c>
    </row>
    <row r="411" spans="1:15">
      <c r="N411" s="16"/>
      <c r="O411" s="17"/>
    </row>
    <row r="412" spans="1:15">
      <c r="N412" s="18" t="s">
        <v>25</v>
      </c>
      <c r="O412" s="19">
        <v>25.92</v>
      </c>
    </row>
    <row r="414" spans="1:15">
      <c r="A414" s="20"/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</row>
    <row r="415" spans="1:15">
      <c r="A415" s="20"/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</row>
    <row r="418" spans="2:14">
      <c r="C418" s="1" t="s">
        <v>151</v>
      </c>
      <c r="D418" s="1" t="s">
        <v>152</v>
      </c>
    </row>
    <row r="419" spans="2:14">
      <c r="B419" s="2" t="s">
        <v>30</v>
      </c>
      <c r="C419" s="2" t="s">
        <v>40</v>
      </c>
      <c r="D419" s="3">
        <v>270.7</v>
      </c>
    </row>
    <row r="420" spans="2:14">
      <c r="B420" s="2" t="s">
        <v>2</v>
      </c>
      <c r="C420" s="2" t="s">
        <v>102</v>
      </c>
      <c r="D420" s="3">
        <v>270.48</v>
      </c>
      <c r="K420" s="4" t="s">
        <v>52</v>
      </c>
      <c r="L420" s="4"/>
      <c r="M420" s="4"/>
      <c r="N420" s="5" t="s">
        <v>15</v>
      </c>
    </row>
    <row r="421" spans="2:14">
      <c r="B421" s="6" t="s">
        <v>142</v>
      </c>
      <c r="C421" s="2" t="s">
        <v>6</v>
      </c>
      <c r="D421" s="3">
        <v>541.1799999999999</v>
      </c>
    </row>
    <row r="422" spans="2:14">
      <c r="K422" s="7" t="s">
        <v>20</v>
      </c>
      <c r="L422" s="21">
        <v>-5.27</v>
      </c>
      <c r="M422" s="21">
        <v>-0.97</v>
      </c>
      <c r="N422" s="9" t="s">
        <v>21</v>
      </c>
    </row>
    <row r="423" spans="2:14">
      <c r="E423" s="3" t="s">
        <v>7</v>
      </c>
      <c r="F423" s="3">
        <v>270.55</v>
      </c>
    </row>
    <row r="424" spans="2:14">
      <c r="K424" s="4" t="s">
        <v>106</v>
      </c>
      <c r="L424" s="4"/>
      <c r="M424" s="4"/>
      <c r="N424" s="5" t="s">
        <v>16</v>
      </c>
    </row>
    <row r="425" spans="2:14">
      <c r="C425" s="2" t="s">
        <v>8</v>
      </c>
      <c r="D425" s="2" t="s">
        <v>9</v>
      </c>
      <c r="E425" s="2" t="s">
        <v>10</v>
      </c>
      <c r="F425" s="2" t="s">
        <v>11</v>
      </c>
      <c r="G425" s="2" t="s">
        <v>12</v>
      </c>
      <c r="H425" s="10" t="s">
        <v>15</v>
      </c>
      <c r="I425" s="10" t="s">
        <v>16</v>
      </c>
    </row>
    <row r="426" spans="2:14">
      <c r="B426" s="2" t="s">
        <v>17</v>
      </c>
      <c r="C426" s="2" t="s">
        <v>153</v>
      </c>
      <c r="D426" s="11">
        <f>(256.56*0.07)+256.56</f>
        <v>0</v>
      </c>
      <c r="E426" s="11">
        <f>(256.56*0.10)+256.56</f>
        <v>0</v>
      </c>
      <c r="F426" s="11">
        <f>(256.56*0.15)+256.56</f>
        <v>0</v>
      </c>
      <c r="G426" s="11">
        <f>(256.56*0.20)+256.56</f>
        <v>0</v>
      </c>
      <c r="H426" s="22">
        <v>-5.22</v>
      </c>
      <c r="I426" s="22">
        <v>-5.15</v>
      </c>
      <c r="K426" s="7" t="s">
        <v>20</v>
      </c>
      <c r="L426" s="21">
        <v>-9.68</v>
      </c>
      <c r="M426" s="21">
        <v>-0.89</v>
      </c>
      <c r="N426" s="9" t="s">
        <v>21</v>
      </c>
    </row>
    <row r="427" spans="2:14">
      <c r="B427" s="2" t="s">
        <v>6</v>
      </c>
      <c r="C427" s="2">
        <v>268.06</v>
      </c>
      <c r="D427" s="11">
        <f>(268.06*0.07)+268.06</f>
        <v>0</v>
      </c>
      <c r="E427" s="11">
        <f>(268.06*0.10)+268.06</f>
        <v>0</v>
      </c>
      <c r="F427" s="11">
        <f>(268.06*0.15)+268.06</f>
        <v>0</v>
      </c>
      <c r="G427" s="11">
        <f>(268.06*0.20)+268.06</f>
        <v>0</v>
      </c>
      <c r="H427" s="22">
        <v>-0.97</v>
      </c>
      <c r="I427" s="22">
        <v>-0.89</v>
      </c>
    </row>
    <row r="430" spans="2:14">
      <c r="M430" s="7" t="s">
        <v>23</v>
      </c>
      <c r="N430" s="23">
        <v>-14.95</v>
      </c>
    </row>
    <row r="433" spans="1:15">
      <c r="N433" s="14" t="s">
        <v>24</v>
      </c>
      <c r="O433" s="15">
        <v>1623.31</v>
      </c>
    </row>
    <row r="434" spans="1:15">
      <c r="N434" s="16"/>
      <c r="O434" s="17"/>
    </row>
    <row r="435" spans="1:15">
      <c r="N435" s="18" t="s">
        <v>25</v>
      </c>
      <c r="O435" s="24">
        <v>-14.95</v>
      </c>
    </row>
    <row r="437" spans="1:15">
      <c r="A437" s="20"/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</row>
    <row r="438" spans="1:15">
      <c r="A438" s="20"/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</row>
    <row r="441" spans="1:15">
      <c r="C441" s="1" t="s">
        <v>154</v>
      </c>
      <c r="D441" s="1" t="s">
        <v>155</v>
      </c>
    </row>
    <row r="442" spans="1:15">
      <c r="B442" s="2" t="s">
        <v>142</v>
      </c>
      <c r="C442" s="2" t="s">
        <v>156</v>
      </c>
      <c r="D442" s="3">
        <v>86.95</v>
      </c>
    </row>
    <row r="443" spans="1:15">
      <c r="B443" s="2" t="s">
        <v>142</v>
      </c>
      <c r="C443" s="2" t="s">
        <v>136</v>
      </c>
      <c r="D443" s="3">
        <v>73.41</v>
      </c>
    </row>
    <row r="444" spans="1:15">
      <c r="B444" s="2" t="s">
        <v>142</v>
      </c>
      <c r="C444" s="2" t="s">
        <v>29</v>
      </c>
      <c r="D444" s="3">
        <v>75.42</v>
      </c>
      <c r="L444" s="4" t="s">
        <v>160</v>
      </c>
      <c r="M444" s="4"/>
      <c r="N444" s="4"/>
      <c r="O444" s="5" t="s">
        <v>15</v>
      </c>
    </row>
    <row r="445" spans="1:15">
      <c r="B445" s="6" t="s">
        <v>157</v>
      </c>
      <c r="C445" s="2" t="s">
        <v>6</v>
      </c>
      <c r="D445" s="3">
        <v>235.78</v>
      </c>
    </row>
    <row r="446" spans="1:15">
      <c r="L446" s="7" t="s">
        <v>20</v>
      </c>
      <c r="M446" s="8">
        <v>76.95</v>
      </c>
      <c r="N446" s="8">
        <v>14.75</v>
      </c>
      <c r="O446" s="9" t="s">
        <v>21</v>
      </c>
    </row>
    <row r="447" spans="1:15">
      <c r="E447" s="3" t="s">
        <v>7</v>
      </c>
      <c r="F447" s="3">
        <v>78.59</v>
      </c>
    </row>
    <row r="448" spans="1:15">
      <c r="L448" s="4" t="s">
        <v>139</v>
      </c>
      <c r="M448" s="4"/>
      <c r="N448" s="4"/>
      <c r="O448" s="5" t="s">
        <v>16</v>
      </c>
    </row>
    <row r="449" spans="2:16">
      <c r="C449" s="2" t="s">
        <v>8</v>
      </c>
      <c r="D449" s="2" t="s">
        <v>9</v>
      </c>
      <c r="E449" s="2" t="s">
        <v>10</v>
      </c>
      <c r="F449" s="2" t="s">
        <v>11</v>
      </c>
      <c r="G449" s="2" t="s">
        <v>12</v>
      </c>
      <c r="H449" s="10" t="s">
        <v>15</v>
      </c>
      <c r="I449" s="10" t="s">
        <v>16</v>
      </c>
      <c r="J449" s="10" t="s">
        <v>44</v>
      </c>
    </row>
    <row r="450" spans="2:16">
      <c r="B450" s="2" t="s">
        <v>13</v>
      </c>
      <c r="C450" s="2" t="s">
        <v>158</v>
      </c>
      <c r="D450" s="11">
        <f>(99.43*0.07)+99.43</f>
        <v>0</v>
      </c>
      <c r="E450" s="11">
        <f>(99.43*0.10)+99.43</f>
        <v>0</v>
      </c>
      <c r="F450" s="11">
        <f>(99.43*0.15)+99.43</f>
        <v>0</v>
      </c>
      <c r="G450" s="11">
        <f>(99.43*0.20)+99.43</f>
        <v>0</v>
      </c>
      <c r="H450" s="12">
        <v>14.35</v>
      </c>
      <c r="I450" s="12">
        <v>35.45</v>
      </c>
      <c r="J450" s="12">
        <v>31.84</v>
      </c>
      <c r="L450" s="7" t="s">
        <v>20</v>
      </c>
      <c r="M450" s="8">
        <v>158.19</v>
      </c>
      <c r="N450" s="8">
        <v>35.92</v>
      </c>
      <c r="O450" s="9" t="s">
        <v>21</v>
      </c>
    </row>
    <row r="451" spans="2:16">
      <c r="B451" s="2" t="s">
        <v>17</v>
      </c>
      <c r="C451" s="2" t="s">
        <v>159</v>
      </c>
      <c r="D451" s="11">
        <f>(98.74*0.07)+98.74</f>
        <v>0</v>
      </c>
      <c r="E451" s="11">
        <f>(98.74*0.10)+98.74</f>
        <v>0</v>
      </c>
      <c r="F451" s="11">
        <f>(98.74*0.15)+98.74</f>
        <v>0</v>
      </c>
      <c r="G451" s="11">
        <f>(98.74*0.20)+98.74</f>
        <v>0</v>
      </c>
      <c r="H451" s="12">
        <v>13.56</v>
      </c>
      <c r="I451" s="12">
        <v>34.51</v>
      </c>
      <c r="J451" s="12">
        <v>30.92</v>
      </c>
    </row>
    <row r="452" spans="2:16">
      <c r="B452" s="2" t="s">
        <v>6</v>
      </c>
      <c r="C452" s="2">
        <v>99.77500000000001</v>
      </c>
      <c r="D452" s="11">
        <f>(99.775*0.07)+99.775</f>
        <v>0</v>
      </c>
      <c r="E452" s="11">
        <f>(99.775*0.10)+99.775</f>
        <v>0</v>
      </c>
      <c r="F452" s="11">
        <f>(99.775*0.15)+99.775</f>
        <v>0</v>
      </c>
      <c r="G452" s="11">
        <f>(99.775*0.20)+99.775</f>
        <v>0</v>
      </c>
      <c r="H452" s="12">
        <v>14.75</v>
      </c>
      <c r="I452" s="12">
        <v>35.92</v>
      </c>
      <c r="J452" s="12">
        <v>32.29</v>
      </c>
      <c r="L452" s="4" t="s">
        <v>32</v>
      </c>
      <c r="M452" s="4"/>
      <c r="N452" s="4"/>
      <c r="O452" s="5" t="s">
        <v>44</v>
      </c>
    </row>
    <row r="454" spans="2:16">
      <c r="L454" s="7" t="s">
        <v>20</v>
      </c>
      <c r="M454" s="8">
        <v>146.13</v>
      </c>
      <c r="N454" s="8">
        <v>32.29</v>
      </c>
      <c r="O454" s="9" t="s">
        <v>21</v>
      </c>
    </row>
    <row r="458" spans="2:16">
      <c r="N458" s="7" t="s">
        <v>23</v>
      </c>
      <c r="O458" s="13">
        <v>381.27</v>
      </c>
    </row>
    <row r="461" spans="2:16">
      <c r="O461" s="14" t="s">
        <v>24</v>
      </c>
      <c r="P461" s="15">
        <v>1414.68</v>
      </c>
    </row>
    <row r="462" spans="2:16">
      <c r="O462" s="16"/>
      <c r="P462" s="17"/>
    </row>
    <row r="463" spans="2:16">
      <c r="O463" s="18" t="s">
        <v>25</v>
      </c>
      <c r="P463" s="19">
        <v>381.27</v>
      </c>
    </row>
    <row r="465" spans="1:16">
      <c r="A465" s="20"/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</row>
    <row r="466" spans="1:16">
      <c r="A466" s="20"/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</row>
    <row r="469" spans="1:16">
      <c r="C469" s="1" t="s">
        <v>161</v>
      </c>
      <c r="D469" s="1" t="s">
        <v>162</v>
      </c>
    </row>
    <row r="470" spans="1:16">
      <c r="B470" s="2" t="s">
        <v>56</v>
      </c>
      <c r="C470" s="2" t="s">
        <v>163</v>
      </c>
      <c r="D470" s="3">
        <v>74.25</v>
      </c>
    </row>
    <row r="471" spans="1:16">
      <c r="B471" s="2" t="s">
        <v>125</v>
      </c>
      <c r="C471" s="2" t="s">
        <v>102</v>
      </c>
      <c r="D471" s="3">
        <v>84.36</v>
      </c>
      <c r="K471" s="4" t="s">
        <v>167</v>
      </c>
      <c r="L471" s="4"/>
      <c r="M471" s="4"/>
      <c r="N471" s="5" t="s">
        <v>15</v>
      </c>
    </row>
    <row r="472" spans="1:16">
      <c r="B472" s="6" t="s">
        <v>164</v>
      </c>
      <c r="C472" s="2" t="s">
        <v>6</v>
      </c>
      <c r="D472" s="3">
        <v>158.61</v>
      </c>
    </row>
    <row r="473" spans="1:16">
      <c r="K473" s="7" t="s">
        <v>20</v>
      </c>
      <c r="L473" s="8">
        <v>90.20999999999999</v>
      </c>
      <c r="M473" s="8">
        <v>12.15</v>
      </c>
      <c r="N473" s="9" t="s">
        <v>21</v>
      </c>
    </row>
    <row r="474" spans="1:16">
      <c r="E474" s="3" t="s">
        <v>7</v>
      </c>
      <c r="F474" s="3">
        <v>78.41</v>
      </c>
    </row>
    <row r="475" spans="1:16">
      <c r="K475" s="4" t="s">
        <v>106</v>
      </c>
      <c r="L475" s="4"/>
      <c r="M475" s="4"/>
      <c r="N475" s="5" t="s">
        <v>16</v>
      </c>
    </row>
    <row r="476" spans="1:16">
      <c r="C476" s="2" t="s">
        <v>8</v>
      </c>
      <c r="D476" s="2" t="s">
        <v>9</v>
      </c>
      <c r="E476" s="2" t="s">
        <v>10</v>
      </c>
      <c r="F476" s="2" t="s">
        <v>11</v>
      </c>
      <c r="G476" s="2" t="s">
        <v>12</v>
      </c>
      <c r="H476" s="10" t="s">
        <v>15</v>
      </c>
      <c r="I476" s="10" t="s">
        <v>16</v>
      </c>
    </row>
    <row r="477" spans="1:16">
      <c r="B477" s="2" t="s">
        <v>13</v>
      </c>
      <c r="C477" s="2" t="s">
        <v>165</v>
      </c>
      <c r="D477" s="11">
        <f>(85.52*0.07)+85.52</f>
        <v>0</v>
      </c>
      <c r="E477" s="11">
        <f>(85.52*0.10)+85.52</f>
        <v>0</v>
      </c>
      <c r="F477" s="11">
        <f>(85.52*0.15)+85.52</f>
        <v>0</v>
      </c>
      <c r="G477" s="11">
        <f>(85.52*0.20)+85.52</f>
        <v>0</v>
      </c>
      <c r="H477" s="12">
        <v>15.18</v>
      </c>
      <c r="I477" s="12">
        <v>1.38</v>
      </c>
      <c r="K477" s="7" t="s">
        <v>20</v>
      </c>
      <c r="L477" s="21">
        <v>-7.62</v>
      </c>
      <c r="M477" s="21">
        <v>-1.29</v>
      </c>
      <c r="N477" s="9" t="s">
        <v>21</v>
      </c>
    </row>
    <row r="478" spans="1:16">
      <c r="B478" s="2" t="s">
        <v>17</v>
      </c>
      <c r="C478" s="2" t="s">
        <v>166</v>
      </c>
      <c r="D478" s="11">
        <f>(82.395*0.07)+82.395</f>
        <v>0</v>
      </c>
      <c r="E478" s="11">
        <f>(82.395*0.10)+82.395</f>
        <v>0</v>
      </c>
      <c r="F478" s="11">
        <f>(82.395*0.15)+82.395</f>
        <v>0</v>
      </c>
      <c r="G478" s="11">
        <f>(82.395*0.20)+82.395</f>
        <v>0</v>
      </c>
      <c r="H478" s="12">
        <v>10.97</v>
      </c>
      <c r="I478" s="22">
        <v>-2.33</v>
      </c>
    </row>
    <row r="479" spans="1:16">
      <c r="B479" s="2" t="s">
        <v>6</v>
      </c>
      <c r="C479" s="2">
        <v>83.27</v>
      </c>
      <c r="D479" s="11">
        <f>(83.27*0.07)+83.27</f>
        <v>0</v>
      </c>
      <c r="E479" s="11">
        <f>(83.27*0.10)+83.27</f>
        <v>0</v>
      </c>
      <c r="F479" s="11">
        <f>(83.27*0.15)+83.27</f>
        <v>0</v>
      </c>
      <c r="G479" s="11">
        <f>(83.27*0.20)+83.27</f>
        <v>0</v>
      </c>
      <c r="H479" s="12">
        <v>12.15</v>
      </c>
      <c r="I479" s="22">
        <v>-1.29</v>
      </c>
    </row>
    <row r="481" spans="1:15">
      <c r="M481" s="7" t="s">
        <v>23</v>
      </c>
      <c r="N481" s="13">
        <v>82.59</v>
      </c>
    </row>
    <row r="484" spans="1:15">
      <c r="N484" s="14" t="s">
        <v>24</v>
      </c>
      <c r="O484" s="15">
        <v>1333</v>
      </c>
    </row>
    <row r="485" spans="1:15">
      <c r="N485" s="16"/>
      <c r="O485" s="17"/>
    </row>
    <row r="486" spans="1:15">
      <c r="N486" s="18" t="s">
        <v>25</v>
      </c>
      <c r="O486" s="19">
        <v>82.59</v>
      </c>
    </row>
    <row r="488" spans="1:15">
      <c r="A488" s="20"/>
      <c r="B488" s="20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</row>
    <row r="489" spans="1:15">
      <c r="A489" s="20"/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</row>
    <row r="492" spans="1:15">
      <c r="C492" s="1" t="s">
        <v>168</v>
      </c>
      <c r="D492" s="1" t="s">
        <v>169</v>
      </c>
    </row>
    <row r="493" spans="1:15">
      <c r="B493" s="2" t="s">
        <v>28</v>
      </c>
      <c r="C493" s="2" t="s">
        <v>110</v>
      </c>
      <c r="D493" s="3">
        <v>100</v>
      </c>
    </row>
    <row r="494" spans="1:15">
      <c r="B494" s="2" t="s">
        <v>30</v>
      </c>
      <c r="C494" s="2" t="s">
        <v>29</v>
      </c>
      <c r="D494" s="3">
        <v>377.85</v>
      </c>
      <c r="K494" s="4" t="s">
        <v>173</v>
      </c>
      <c r="L494" s="4"/>
      <c r="M494" s="4"/>
      <c r="N494" s="5" t="s">
        <v>15</v>
      </c>
    </row>
    <row r="495" spans="1:15">
      <c r="B495" s="6" t="s">
        <v>58</v>
      </c>
      <c r="C495" s="2" t="s">
        <v>6</v>
      </c>
      <c r="D495" s="3">
        <v>477.85</v>
      </c>
    </row>
    <row r="496" spans="1:15">
      <c r="K496" s="7" t="s">
        <v>20</v>
      </c>
      <c r="L496" s="8">
        <v>314.75</v>
      </c>
      <c r="M496" s="8">
        <v>314.75</v>
      </c>
      <c r="N496" s="9" t="s">
        <v>21</v>
      </c>
    </row>
    <row r="497" spans="1:15">
      <c r="E497" s="3" t="s">
        <v>7</v>
      </c>
      <c r="F497" s="3">
        <v>285.23</v>
      </c>
    </row>
    <row r="498" spans="1:15">
      <c r="K498" s="4" t="s">
        <v>32</v>
      </c>
      <c r="L498" s="4"/>
      <c r="M498" s="4"/>
      <c r="N498" s="5" t="s">
        <v>16</v>
      </c>
    </row>
    <row r="499" spans="1:15">
      <c r="C499" s="2" t="s">
        <v>8</v>
      </c>
      <c r="D499" s="2" t="s">
        <v>9</v>
      </c>
      <c r="E499" s="2" t="s">
        <v>10</v>
      </c>
      <c r="F499" s="2" t="s">
        <v>11</v>
      </c>
      <c r="G499" s="2" t="s">
        <v>12</v>
      </c>
      <c r="H499" s="10" t="s">
        <v>15</v>
      </c>
      <c r="I499" s="10" t="s">
        <v>16</v>
      </c>
    </row>
    <row r="500" spans="1:15">
      <c r="B500" s="2" t="s">
        <v>110</v>
      </c>
      <c r="C500" s="2" t="s">
        <v>170</v>
      </c>
      <c r="D500" s="11">
        <f>(400.28*0.07)+400.28</f>
        <v>0</v>
      </c>
      <c r="E500" s="11">
        <f>(400.28*0.10)+400.28</f>
        <v>0</v>
      </c>
      <c r="F500" s="11">
        <f>(400.28*0.15)+400.28</f>
        <v>0</v>
      </c>
      <c r="G500" s="11">
        <f>(400.28*0.20)+400.28</f>
        <v>0</v>
      </c>
      <c r="H500" s="12">
        <v>300.28</v>
      </c>
      <c r="I500" s="12">
        <v>5.94</v>
      </c>
      <c r="K500" s="7" t="s">
        <v>20</v>
      </c>
      <c r="L500" s="8">
        <v>73.8</v>
      </c>
      <c r="M500" s="8">
        <v>9.77</v>
      </c>
      <c r="N500" s="9" t="s">
        <v>21</v>
      </c>
    </row>
    <row r="501" spans="1:15">
      <c r="B501" s="2" t="s">
        <v>13</v>
      </c>
      <c r="C501" s="2" t="s">
        <v>171</v>
      </c>
      <c r="D501" s="11">
        <f>(412.35*0.07)+412.35</f>
        <v>0</v>
      </c>
      <c r="E501" s="11">
        <f>(412.35*0.10)+412.35</f>
        <v>0</v>
      </c>
      <c r="F501" s="11">
        <f>(412.35*0.15)+412.35</f>
        <v>0</v>
      </c>
      <c r="G501" s="11">
        <f>(412.35*0.20)+412.35</f>
        <v>0</v>
      </c>
      <c r="H501" s="12">
        <v>312.35</v>
      </c>
      <c r="I501" s="12">
        <v>9.130000000000001</v>
      </c>
    </row>
    <row r="502" spans="1:15">
      <c r="B502" s="2" t="s">
        <v>17</v>
      </c>
      <c r="C502" s="2" t="s">
        <v>172</v>
      </c>
      <c r="D502" s="11">
        <f>(409.25*0.07)+409.25</f>
        <v>0</v>
      </c>
      <c r="E502" s="11">
        <f>(409.25*0.10)+409.25</f>
        <v>0</v>
      </c>
      <c r="F502" s="11">
        <f>(409.25*0.15)+409.25</f>
        <v>0</v>
      </c>
      <c r="G502" s="11">
        <f>(409.25*0.20)+409.25</f>
        <v>0</v>
      </c>
      <c r="H502" s="12">
        <v>309.25</v>
      </c>
      <c r="I502" s="12">
        <v>8.31</v>
      </c>
    </row>
    <row r="503" spans="1:15">
      <c r="B503" s="2" t="s">
        <v>6</v>
      </c>
      <c r="C503" s="2">
        <v>414.75</v>
      </c>
      <c r="D503" s="11">
        <f>(414.75*0.07)+414.75</f>
        <v>0</v>
      </c>
      <c r="E503" s="11">
        <f>(414.75*0.10)+414.75</f>
        <v>0</v>
      </c>
      <c r="F503" s="11">
        <f>(414.75*0.15)+414.75</f>
        <v>0</v>
      </c>
      <c r="G503" s="11">
        <f>(414.75*0.20)+414.75</f>
        <v>0</v>
      </c>
      <c r="H503" s="12">
        <v>314.75</v>
      </c>
      <c r="I503" s="12">
        <v>9.77</v>
      </c>
    </row>
    <row r="504" spans="1:15">
      <c r="M504" s="7" t="s">
        <v>23</v>
      </c>
      <c r="N504" s="13">
        <v>388.55</v>
      </c>
    </row>
    <row r="507" spans="1:15">
      <c r="N507" s="14" t="s">
        <v>24</v>
      </c>
      <c r="O507" s="15">
        <v>855.7</v>
      </c>
    </row>
    <row r="508" spans="1:15">
      <c r="N508" s="16"/>
      <c r="O508" s="17"/>
    </row>
    <row r="509" spans="1:15">
      <c r="N509" s="18" t="s">
        <v>25</v>
      </c>
      <c r="O509" s="19">
        <v>388.55</v>
      </c>
    </row>
    <row r="511" spans="1:15">
      <c r="A511" s="20"/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</row>
    <row r="512" spans="1:15">
      <c r="A512" s="20"/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</row>
    <row r="515" spans="2:14">
      <c r="C515" s="1" t="s">
        <v>174</v>
      </c>
      <c r="D515" s="1" t="s">
        <v>175</v>
      </c>
    </row>
    <row r="516" spans="2:14">
      <c r="B516" s="2" t="s">
        <v>101</v>
      </c>
      <c r="C516" s="2" t="s">
        <v>176</v>
      </c>
      <c r="D516" s="3">
        <v>179.9</v>
      </c>
    </row>
    <row r="517" spans="2:14">
      <c r="B517" s="2" t="s">
        <v>101</v>
      </c>
      <c r="C517" s="2" t="s">
        <v>177</v>
      </c>
      <c r="D517" s="3">
        <v>168.07</v>
      </c>
      <c r="K517" s="4" t="s">
        <v>180</v>
      </c>
      <c r="L517" s="4"/>
      <c r="M517" s="4"/>
      <c r="N517" s="5" t="s">
        <v>15</v>
      </c>
    </row>
    <row r="518" spans="2:14">
      <c r="B518" s="6" t="s">
        <v>56</v>
      </c>
      <c r="C518" s="2" t="s">
        <v>6</v>
      </c>
      <c r="D518" s="3">
        <v>347.97</v>
      </c>
    </row>
    <row r="519" spans="2:14">
      <c r="K519" s="7" t="s">
        <v>20</v>
      </c>
      <c r="L519" s="8">
        <v>83.55</v>
      </c>
      <c r="M519" s="8">
        <v>9.289999999999999</v>
      </c>
      <c r="N519" s="9" t="s">
        <v>21</v>
      </c>
    </row>
    <row r="520" spans="2:14">
      <c r="E520" s="3" t="s">
        <v>7</v>
      </c>
      <c r="F520" s="3">
        <v>173.98</v>
      </c>
    </row>
    <row r="521" spans="2:14">
      <c r="K521" s="4" t="s">
        <v>181</v>
      </c>
      <c r="L521" s="4"/>
      <c r="M521" s="4"/>
      <c r="N521" s="5" t="s">
        <v>16</v>
      </c>
    </row>
    <row r="522" spans="2:14">
      <c r="C522" s="2" t="s">
        <v>8</v>
      </c>
      <c r="D522" s="2" t="s">
        <v>9</v>
      </c>
      <c r="E522" s="2" t="s">
        <v>10</v>
      </c>
      <c r="F522" s="2" t="s">
        <v>11</v>
      </c>
      <c r="G522" s="2" t="s">
        <v>12</v>
      </c>
      <c r="H522" s="10" t="s">
        <v>15</v>
      </c>
      <c r="I522" s="10" t="s">
        <v>16</v>
      </c>
    </row>
    <row r="523" spans="2:14">
      <c r="B523" s="2" t="s">
        <v>13</v>
      </c>
      <c r="C523" s="2" t="s">
        <v>178</v>
      </c>
      <c r="D523" s="11">
        <f>(189.98*0.07)+189.98</f>
        <v>0</v>
      </c>
      <c r="E523" s="11">
        <f>(189.98*0.10)+189.98</f>
        <v>0</v>
      </c>
      <c r="F523" s="11">
        <f>(189.98*0.15)+189.98</f>
        <v>0</v>
      </c>
      <c r="G523" s="11">
        <f>(189.98*0.20)+189.98</f>
        <v>0</v>
      </c>
      <c r="H523" s="12">
        <v>5.6</v>
      </c>
      <c r="I523" s="12">
        <v>13.04</v>
      </c>
      <c r="K523" s="7" t="s">
        <v>20</v>
      </c>
      <c r="L523" s="8">
        <v>142.71</v>
      </c>
      <c r="M523" s="8">
        <v>16.98</v>
      </c>
      <c r="N523" s="9" t="s">
        <v>21</v>
      </c>
    </row>
    <row r="524" spans="2:14">
      <c r="B524" s="2" t="s">
        <v>17</v>
      </c>
      <c r="C524" s="2" t="s">
        <v>179</v>
      </c>
      <c r="D524" s="11">
        <f>(194.19*0.07)+194.19</f>
        <v>0</v>
      </c>
      <c r="E524" s="11">
        <f>(194.19*0.10)+194.19</f>
        <v>0</v>
      </c>
      <c r="F524" s="11">
        <f>(194.19*0.15)+194.19</f>
        <v>0</v>
      </c>
      <c r="G524" s="11">
        <f>(194.19*0.20)+194.19</f>
        <v>0</v>
      </c>
      <c r="H524" s="12">
        <v>7.94</v>
      </c>
      <c r="I524" s="12">
        <v>15.54</v>
      </c>
    </row>
    <row r="525" spans="2:14">
      <c r="B525" s="2" t="s">
        <v>6</v>
      </c>
      <c r="C525" s="2">
        <v>196.61</v>
      </c>
      <c r="D525" s="11">
        <f>(196.61*0.07)+196.61</f>
        <v>0</v>
      </c>
      <c r="E525" s="11">
        <f>(196.61*0.10)+196.61</f>
        <v>0</v>
      </c>
      <c r="F525" s="11">
        <f>(196.61*0.15)+196.61</f>
        <v>0</v>
      </c>
      <c r="G525" s="11">
        <f>(196.61*0.20)+196.61</f>
        <v>0</v>
      </c>
      <c r="H525" s="12">
        <v>9.289999999999999</v>
      </c>
      <c r="I525" s="12">
        <v>16.98</v>
      </c>
    </row>
    <row r="527" spans="2:14">
      <c r="M527" s="7" t="s">
        <v>23</v>
      </c>
      <c r="N527" s="13">
        <v>226.26</v>
      </c>
    </row>
    <row r="530" spans="1:15">
      <c r="N530" s="14" t="s">
        <v>24</v>
      </c>
      <c r="O530" s="15">
        <v>1739.84</v>
      </c>
    </row>
    <row r="531" spans="1:15">
      <c r="N531" s="16"/>
      <c r="O531" s="17"/>
    </row>
    <row r="532" spans="1:15">
      <c r="N532" s="18" t="s">
        <v>25</v>
      </c>
      <c r="O532" s="19">
        <v>226.26</v>
      </c>
    </row>
    <row r="534" spans="1:15">
      <c r="A534" s="20"/>
      <c r="B534" s="20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</row>
    <row r="535" spans="1:15">
      <c r="A535" s="20"/>
      <c r="B535" s="20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</row>
    <row r="538" spans="1:15">
      <c r="C538" s="1" t="s">
        <v>182</v>
      </c>
      <c r="D538" s="1" t="s">
        <v>183</v>
      </c>
    </row>
    <row r="539" spans="1:15">
      <c r="B539" s="2" t="s">
        <v>2</v>
      </c>
      <c r="C539" s="2" t="s">
        <v>110</v>
      </c>
      <c r="D539" s="3">
        <v>20</v>
      </c>
    </row>
    <row r="540" spans="1:15">
      <c r="B540" s="2" t="s">
        <v>82</v>
      </c>
      <c r="C540" s="2" t="s">
        <v>61</v>
      </c>
      <c r="D540" s="3">
        <v>101.96</v>
      </c>
      <c r="K540" s="4" t="s">
        <v>173</v>
      </c>
      <c r="L540" s="4"/>
      <c r="M540" s="4"/>
      <c r="N540" s="5" t="s">
        <v>15</v>
      </c>
    </row>
    <row r="541" spans="1:15">
      <c r="B541" s="6" t="s">
        <v>184</v>
      </c>
      <c r="C541" s="2" t="s">
        <v>6</v>
      </c>
      <c r="D541" s="3">
        <v>121.96</v>
      </c>
    </row>
    <row r="542" spans="1:15">
      <c r="K542" s="7" t="s">
        <v>20</v>
      </c>
      <c r="L542" s="8">
        <v>367.08</v>
      </c>
      <c r="M542" s="8">
        <v>458.85</v>
      </c>
      <c r="N542" s="9" t="s">
        <v>21</v>
      </c>
    </row>
    <row r="543" spans="1:15">
      <c r="E543" s="3" t="s">
        <v>7</v>
      </c>
      <c r="F543" s="3">
        <v>84.7</v>
      </c>
    </row>
    <row r="544" spans="1:15">
      <c r="K544" s="4" t="s">
        <v>79</v>
      </c>
      <c r="L544" s="4"/>
      <c r="M544" s="4"/>
      <c r="N544" s="5" t="s">
        <v>16</v>
      </c>
    </row>
    <row r="545" spans="1:15">
      <c r="C545" s="2" t="s">
        <v>8</v>
      </c>
      <c r="D545" s="2" t="s">
        <v>9</v>
      </c>
      <c r="E545" s="2" t="s">
        <v>10</v>
      </c>
      <c r="F545" s="2" t="s">
        <v>11</v>
      </c>
      <c r="G545" s="2" t="s">
        <v>12</v>
      </c>
      <c r="H545" s="10" t="s">
        <v>15</v>
      </c>
      <c r="I545" s="10" t="s">
        <v>16</v>
      </c>
    </row>
    <row r="546" spans="1:15">
      <c r="B546" s="2" t="s">
        <v>110</v>
      </c>
      <c r="C546" s="2" t="s">
        <v>185</v>
      </c>
      <c r="D546" s="11">
        <f>(106.22*0.07)+106.22</f>
        <v>0</v>
      </c>
      <c r="E546" s="11">
        <f>(106.22*0.10)+106.22</f>
        <v>0</v>
      </c>
      <c r="F546" s="11">
        <f>(106.22*0.15)+106.22</f>
        <v>0</v>
      </c>
      <c r="G546" s="11">
        <f>(106.22*0.20)+106.22</f>
        <v>0</v>
      </c>
      <c r="H546" s="12">
        <v>431.1</v>
      </c>
      <c r="I546" s="12">
        <v>4.18</v>
      </c>
      <c r="K546" s="7" t="s">
        <v>20</v>
      </c>
      <c r="L546" s="8">
        <v>147.19</v>
      </c>
      <c r="M546" s="8">
        <v>9.619999999999999</v>
      </c>
      <c r="N546" s="9" t="s">
        <v>21</v>
      </c>
    </row>
    <row r="547" spans="1:15">
      <c r="B547" s="2" t="s">
        <v>13</v>
      </c>
      <c r="C547" s="2" t="s">
        <v>186</v>
      </c>
      <c r="D547" s="11">
        <f>(110.71*0.07)+110.71</f>
        <v>0</v>
      </c>
      <c r="E547" s="11">
        <f>(110.71*0.10)+110.71</f>
        <v>0</v>
      </c>
      <c r="F547" s="11">
        <f>(110.71*0.15)+110.71</f>
        <v>0</v>
      </c>
      <c r="G547" s="11">
        <f>(110.71*0.20)+110.71</f>
        <v>0</v>
      </c>
      <c r="H547" s="12">
        <v>453.55</v>
      </c>
      <c r="I547" s="12">
        <v>8.58</v>
      </c>
    </row>
    <row r="548" spans="1:15">
      <c r="B548" s="2" t="s">
        <v>17</v>
      </c>
      <c r="C548" s="2" t="s">
        <v>187</v>
      </c>
      <c r="D548" s="11">
        <f>(109.405*0.07)+109.405</f>
        <v>0</v>
      </c>
      <c r="E548" s="11">
        <f>(109.405*0.10)+109.405</f>
        <v>0</v>
      </c>
      <c r="F548" s="11">
        <f>(109.405*0.15)+109.405</f>
        <v>0</v>
      </c>
      <c r="G548" s="11">
        <f>(109.405*0.20)+109.405</f>
        <v>0</v>
      </c>
      <c r="H548" s="12">
        <v>447.02</v>
      </c>
      <c r="I548" s="12">
        <v>7.3</v>
      </c>
    </row>
    <row r="549" spans="1:15">
      <c r="B549" s="2" t="s">
        <v>6</v>
      </c>
      <c r="C549" s="2">
        <v>111.77</v>
      </c>
      <c r="D549" s="11">
        <f>(111.77*0.07)+111.77</f>
        <v>0</v>
      </c>
      <c r="E549" s="11">
        <f>(111.77*0.10)+111.77</f>
        <v>0</v>
      </c>
      <c r="F549" s="11">
        <f>(111.77*0.15)+111.77</f>
        <v>0</v>
      </c>
      <c r="G549" s="11">
        <f>(111.77*0.20)+111.77</f>
        <v>0</v>
      </c>
      <c r="H549" s="12">
        <v>458.85</v>
      </c>
      <c r="I549" s="12">
        <v>9.619999999999999</v>
      </c>
    </row>
    <row r="550" spans="1:15">
      <c r="M550" s="7" t="s">
        <v>23</v>
      </c>
      <c r="N550" s="13">
        <v>514.27</v>
      </c>
    </row>
    <row r="553" spans="1:15">
      <c r="N553" s="14" t="s">
        <v>24</v>
      </c>
      <c r="O553" s="15">
        <v>1609.36</v>
      </c>
    </row>
    <row r="554" spans="1:15">
      <c r="N554" s="16"/>
      <c r="O554" s="17"/>
    </row>
    <row r="555" spans="1:15">
      <c r="N555" s="18" t="s">
        <v>25</v>
      </c>
      <c r="O555" s="19">
        <v>514.27</v>
      </c>
    </row>
    <row r="557" spans="1:15">
      <c r="A557" s="20"/>
      <c r="B557" s="20"/>
      <c r="C557" s="20"/>
      <c r="D557" s="20"/>
      <c r="E557" s="20"/>
      <c r="F557" s="20"/>
      <c r="G557" s="20"/>
      <c r="H557" s="20"/>
      <c r="I557" s="20"/>
      <c r="J557" s="20"/>
      <c r="K557" s="20"/>
      <c r="L557" s="20"/>
      <c r="M557" s="20"/>
      <c r="N557" s="20"/>
      <c r="O557" s="20"/>
    </row>
    <row r="558" spans="1:15">
      <c r="A558" s="20"/>
      <c r="B558" s="20"/>
      <c r="C558" s="20"/>
      <c r="D558" s="20"/>
      <c r="E558" s="20"/>
      <c r="F558" s="20"/>
      <c r="G558" s="20"/>
      <c r="H558" s="20"/>
      <c r="I558" s="20"/>
      <c r="J558" s="20"/>
      <c r="K558" s="20"/>
      <c r="L558" s="20"/>
      <c r="M558" s="20"/>
      <c r="N558" s="20"/>
      <c r="O558" s="20"/>
    </row>
    <row r="561" spans="1:14">
      <c r="C561" s="1" t="s">
        <v>188</v>
      </c>
      <c r="D561" s="1" t="s">
        <v>189</v>
      </c>
    </row>
    <row r="562" spans="1:14">
      <c r="B562" s="2" t="s">
        <v>56</v>
      </c>
      <c r="C562" s="2" t="s">
        <v>4</v>
      </c>
      <c r="D562" s="3">
        <v>125.17</v>
      </c>
      <c r="J562" s="4" t="s">
        <v>22</v>
      </c>
      <c r="K562" s="4"/>
      <c r="L562" s="4"/>
      <c r="M562" s="5" t="s">
        <v>15</v>
      </c>
    </row>
    <row r="563" spans="1:14">
      <c r="B563" s="6" t="s">
        <v>56</v>
      </c>
      <c r="C563" s="2" t="s">
        <v>6</v>
      </c>
      <c r="D563" s="3">
        <v>125.17</v>
      </c>
    </row>
    <row r="564" spans="1:14">
      <c r="J564" s="7" t="s">
        <v>20</v>
      </c>
      <c r="K564" s="8">
        <v>154.72</v>
      </c>
      <c r="L564" s="8">
        <v>12.36</v>
      </c>
      <c r="M564" s="9" t="s">
        <v>21</v>
      </c>
    </row>
    <row r="565" spans="1:14">
      <c r="E565" s="3" t="s">
        <v>7</v>
      </c>
      <c r="F565" s="3">
        <v>125.17</v>
      </c>
    </row>
    <row r="567" spans="1:14">
      <c r="C567" s="2" t="s">
        <v>8</v>
      </c>
      <c r="D567" s="2" t="s">
        <v>9</v>
      </c>
      <c r="E567" s="2" t="s">
        <v>10</v>
      </c>
      <c r="F567" s="2" t="s">
        <v>11</v>
      </c>
      <c r="G567" s="2" t="s">
        <v>12</v>
      </c>
      <c r="H567" s="10" t="s">
        <v>15</v>
      </c>
    </row>
    <row r="568" spans="1:14">
      <c r="B568" s="2" t="s">
        <v>17</v>
      </c>
      <c r="C568" s="2" t="s">
        <v>190</v>
      </c>
      <c r="D568" s="11">
        <f>(140.24*0.07)+140.24</f>
        <v>0</v>
      </c>
      <c r="E568" s="11">
        <f>(140.24*0.10)+140.24</f>
        <v>0</v>
      </c>
      <c r="F568" s="11">
        <f>(140.24*0.15)+140.24</f>
        <v>0</v>
      </c>
      <c r="G568" s="11">
        <f>(140.24*0.20)+140.24</f>
        <v>0</v>
      </c>
      <c r="H568" s="12">
        <v>12.04</v>
      </c>
      <c r="L568" s="7" t="s">
        <v>23</v>
      </c>
      <c r="M568" s="13">
        <v>154.72</v>
      </c>
    </row>
    <row r="569" spans="1:14">
      <c r="B569" s="2" t="s">
        <v>6</v>
      </c>
      <c r="C569" s="2">
        <v>140.64</v>
      </c>
      <c r="D569" s="11">
        <f>(140.64*0.07)+140.64</f>
        <v>0</v>
      </c>
      <c r="E569" s="11">
        <f>(140.64*0.10)+140.64</f>
        <v>0</v>
      </c>
      <c r="F569" s="11">
        <f>(140.64*0.15)+140.64</f>
        <v>0</v>
      </c>
      <c r="G569" s="11">
        <f>(140.64*0.20)+140.64</f>
        <v>0</v>
      </c>
      <c r="H569" s="12">
        <v>12.36</v>
      </c>
    </row>
    <row r="571" spans="1:14">
      <c r="M571" s="14" t="s">
        <v>24</v>
      </c>
      <c r="N571" s="15">
        <v>1251.68</v>
      </c>
    </row>
    <row r="572" spans="1:14">
      <c r="M572" s="16"/>
      <c r="N572" s="17"/>
    </row>
    <row r="573" spans="1:14">
      <c r="M573" s="18" t="s">
        <v>25</v>
      </c>
      <c r="N573" s="19">
        <v>154.72</v>
      </c>
    </row>
    <row r="575" spans="1:14">
      <c r="A575" s="20"/>
      <c r="B575" s="20"/>
      <c r="C575" s="20"/>
      <c r="D575" s="20"/>
      <c r="E575" s="20"/>
      <c r="F575" s="20"/>
      <c r="G575" s="20"/>
      <c r="H575" s="20"/>
      <c r="I575" s="20"/>
      <c r="J575" s="20"/>
      <c r="K575" s="20"/>
      <c r="L575" s="20"/>
      <c r="M575" s="20"/>
      <c r="N575" s="20"/>
    </row>
    <row r="576" spans="1:14">
      <c r="A576" s="20"/>
      <c r="B576" s="20"/>
      <c r="C576" s="20"/>
      <c r="D576" s="20"/>
      <c r="E576" s="20"/>
      <c r="F576" s="20"/>
      <c r="G576" s="20"/>
      <c r="H576" s="20"/>
      <c r="I576" s="20"/>
      <c r="J576" s="20"/>
      <c r="K576" s="20"/>
      <c r="L576" s="20"/>
      <c r="M576" s="20"/>
      <c r="N576" s="20"/>
    </row>
    <row r="584" spans="1:14">
      <c r="A584" s="20"/>
      <c r="B584" s="20"/>
      <c r="C584" s="20"/>
      <c r="D584" s="20"/>
      <c r="E584" s="20"/>
      <c r="F584" s="20"/>
      <c r="G584" s="20"/>
      <c r="H584" s="20"/>
      <c r="I584" s="20"/>
      <c r="J584" s="20"/>
      <c r="K584" s="20"/>
      <c r="L584" s="20"/>
      <c r="M584" s="20"/>
      <c r="N584" s="20"/>
    </row>
    <row r="585" spans="1:14">
      <c r="A585" s="20"/>
      <c r="B585" s="20"/>
      <c r="C585" s="20"/>
      <c r="D585" s="20"/>
      <c r="E585" s="20"/>
      <c r="F585" s="20"/>
      <c r="G585" s="20"/>
      <c r="H585" s="20"/>
      <c r="I585" s="20"/>
      <c r="J585" s="20"/>
      <c r="K585" s="20"/>
      <c r="L585" s="20"/>
      <c r="M585" s="20"/>
      <c r="N585" s="20"/>
    </row>
    <row r="588" spans="1:14">
      <c r="E588" s="25" t="s">
        <v>191</v>
      </c>
      <c r="F588" s="25" t="s">
        <v>192</v>
      </c>
      <c r="G588" s="25" t="s">
        <v>23</v>
      </c>
      <c r="H588" s="25" t="s">
        <v>193</v>
      </c>
    </row>
    <row r="589" spans="1:14">
      <c r="C589" s="26" t="s">
        <v>0</v>
      </c>
      <c r="D589" s="27" t="s">
        <v>1</v>
      </c>
      <c r="E589" s="27">
        <v>18</v>
      </c>
      <c r="F589" s="27">
        <v>177.7</v>
      </c>
      <c r="G589" s="27">
        <v>3198.6</v>
      </c>
      <c r="H589" s="27">
        <v>0.43</v>
      </c>
    </row>
    <row r="590" spans="1:14">
      <c r="C590" s="26" t="s">
        <v>26</v>
      </c>
      <c r="D590" s="27" t="s">
        <v>27</v>
      </c>
      <c r="E590" s="27">
        <v>20</v>
      </c>
      <c r="F590" s="27">
        <v>374.6</v>
      </c>
      <c r="G590" s="27">
        <v>7492.08</v>
      </c>
      <c r="H590" s="27">
        <v>1.02</v>
      </c>
    </row>
    <row r="591" spans="1:14">
      <c r="C591" s="26" t="s">
        <v>33</v>
      </c>
      <c r="D591" s="27" t="s">
        <v>34</v>
      </c>
      <c r="E591" s="27">
        <v>77</v>
      </c>
      <c r="F591" s="27">
        <v>202.94</v>
      </c>
      <c r="G591" s="27">
        <v>15626.35</v>
      </c>
      <c r="H591" s="27">
        <v>2.12</v>
      </c>
    </row>
    <row r="592" spans="1:14">
      <c r="C592" s="26" t="s">
        <v>54</v>
      </c>
      <c r="D592" s="27" t="s">
        <v>55</v>
      </c>
      <c r="E592" s="27">
        <v>106</v>
      </c>
      <c r="F592" s="27">
        <v>185.62</v>
      </c>
      <c r="G592" s="27">
        <v>19676.11</v>
      </c>
      <c r="H592" s="27">
        <v>2.67</v>
      </c>
    </row>
    <row r="593" spans="3:8">
      <c r="C593" s="26" t="s">
        <v>80</v>
      </c>
      <c r="D593" s="27" t="s">
        <v>81</v>
      </c>
      <c r="E593" s="27">
        <v>121</v>
      </c>
      <c r="F593" s="27">
        <v>166.82</v>
      </c>
      <c r="G593" s="27">
        <v>20184.76</v>
      </c>
      <c r="H593" s="27">
        <v>2.74</v>
      </c>
    </row>
    <row r="594" spans="3:8">
      <c r="C594" s="26" t="s">
        <v>87</v>
      </c>
      <c r="D594" s="27" t="s">
        <v>88</v>
      </c>
      <c r="E594" s="27">
        <v>465</v>
      </c>
      <c r="F594" s="27">
        <v>51.79</v>
      </c>
      <c r="G594" s="27">
        <v>24083.97</v>
      </c>
      <c r="H594" s="27">
        <v>3.27</v>
      </c>
    </row>
    <row r="595" spans="3:8">
      <c r="C595" s="26" t="s">
        <v>98</v>
      </c>
      <c r="D595" s="27" t="s">
        <v>99</v>
      </c>
      <c r="E595" s="27">
        <v>539</v>
      </c>
      <c r="F595" s="27">
        <v>51.4</v>
      </c>
      <c r="G595" s="27">
        <v>27704.21</v>
      </c>
      <c r="H595" s="27">
        <v>3.76</v>
      </c>
    </row>
    <row r="596" spans="3:8">
      <c r="C596" s="26" t="s">
        <v>107</v>
      </c>
      <c r="D596" s="27" t="s">
        <v>108</v>
      </c>
      <c r="E596" s="27">
        <v>547</v>
      </c>
      <c r="F596" s="27">
        <v>57.34</v>
      </c>
      <c r="G596" s="27">
        <v>31362.6</v>
      </c>
      <c r="H596" s="27">
        <v>4.25</v>
      </c>
    </row>
    <row r="597" spans="3:8">
      <c r="C597" s="26" t="s">
        <v>115</v>
      </c>
      <c r="D597" s="27" t="s">
        <v>116</v>
      </c>
      <c r="E597" s="27">
        <v>557</v>
      </c>
      <c r="F597" s="27">
        <v>60.14</v>
      </c>
      <c r="G597" s="27">
        <v>33495.87</v>
      </c>
      <c r="H597" s="27">
        <v>4.54</v>
      </c>
    </row>
    <row r="598" spans="3:8">
      <c r="C598" s="26" t="s">
        <v>119</v>
      </c>
      <c r="D598" s="27" t="s">
        <v>120</v>
      </c>
      <c r="E598" s="27">
        <v>633</v>
      </c>
      <c r="F598" s="27">
        <v>54.49</v>
      </c>
      <c r="G598" s="27">
        <v>34492.22</v>
      </c>
      <c r="H598" s="27">
        <v>4.68</v>
      </c>
    </row>
    <row r="599" spans="3:8">
      <c r="C599" s="26" t="s">
        <v>123</v>
      </c>
      <c r="D599" s="27" t="s">
        <v>124</v>
      </c>
      <c r="E599" s="27">
        <v>647</v>
      </c>
      <c r="F599" s="27">
        <v>54.88</v>
      </c>
      <c r="G599" s="27">
        <v>35508.79</v>
      </c>
      <c r="H599" s="27">
        <v>4.81</v>
      </c>
    </row>
    <row r="600" spans="3:8">
      <c r="C600" s="26" t="s">
        <v>128</v>
      </c>
      <c r="D600" s="27" t="s">
        <v>129</v>
      </c>
      <c r="E600" s="27">
        <v>651</v>
      </c>
      <c r="F600" s="27">
        <v>56.35</v>
      </c>
      <c r="G600" s="27">
        <v>36684.59</v>
      </c>
      <c r="H600" s="27">
        <v>4.97</v>
      </c>
    </row>
    <row r="601" spans="3:8">
      <c r="C601" s="26" t="s">
        <v>134</v>
      </c>
      <c r="D601" s="27" t="s">
        <v>135</v>
      </c>
      <c r="E601" s="27">
        <v>665</v>
      </c>
      <c r="F601" s="27">
        <v>57.72</v>
      </c>
      <c r="G601" s="27">
        <v>38385.92</v>
      </c>
      <c r="H601" s="27">
        <v>5.21</v>
      </c>
    </row>
    <row r="602" spans="3:8">
      <c r="C602" s="26" t="s">
        <v>140</v>
      </c>
      <c r="D602" s="27" t="s">
        <v>141</v>
      </c>
      <c r="E602" s="27">
        <v>671</v>
      </c>
      <c r="F602" s="27">
        <v>58.73</v>
      </c>
      <c r="G602" s="27">
        <v>39408.64</v>
      </c>
      <c r="H602" s="27">
        <v>5.34</v>
      </c>
    </row>
    <row r="603" spans="3:8">
      <c r="C603" s="26" t="s">
        <v>145</v>
      </c>
      <c r="D603" s="27" t="s">
        <v>146</v>
      </c>
      <c r="E603" s="27">
        <v>681</v>
      </c>
      <c r="F603" s="27">
        <v>60.67</v>
      </c>
      <c r="G603" s="27">
        <v>41317.92</v>
      </c>
      <c r="H603" s="27">
        <v>5.6</v>
      </c>
    </row>
    <row r="604" spans="3:8">
      <c r="C604" s="26" t="s">
        <v>151</v>
      </c>
      <c r="D604" s="27" t="s">
        <v>152</v>
      </c>
      <c r="E604" s="27">
        <v>687</v>
      </c>
      <c r="F604" s="27">
        <v>62.51</v>
      </c>
      <c r="G604" s="27">
        <v>42941.24</v>
      </c>
      <c r="H604" s="27">
        <v>5.82</v>
      </c>
    </row>
    <row r="605" spans="3:8">
      <c r="C605" s="26" t="s">
        <v>154</v>
      </c>
      <c r="D605" s="27" t="s">
        <v>155</v>
      </c>
      <c r="E605" s="27">
        <v>705</v>
      </c>
      <c r="F605" s="27">
        <v>62.92</v>
      </c>
      <c r="G605" s="27">
        <v>44355.91</v>
      </c>
      <c r="H605" s="27">
        <v>6.01</v>
      </c>
    </row>
    <row r="606" spans="3:8">
      <c r="C606" s="26" t="s">
        <v>161</v>
      </c>
      <c r="D606" s="27" t="s">
        <v>162</v>
      </c>
      <c r="E606" s="27">
        <v>722</v>
      </c>
      <c r="F606" s="27">
        <v>63.28</v>
      </c>
      <c r="G606" s="27">
        <v>45688.91</v>
      </c>
      <c r="H606" s="27">
        <v>6.2</v>
      </c>
    </row>
    <row r="607" spans="3:8">
      <c r="C607" s="26" t="s">
        <v>168</v>
      </c>
      <c r="D607" s="27" t="s">
        <v>169</v>
      </c>
      <c r="E607" s="27">
        <v>725</v>
      </c>
      <c r="F607" s="27">
        <v>64.2</v>
      </c>
      <c r="G607" s="27">
        <v>46544.61</v>
      </c>
      <c r="H607" s="27">
        <v>6.31</v>
      </c>
    </row>
    <row r="608" spans="3:8">
      <c r="C608" s="26" t="s">
        <v>174</v>
      </c>
      <c r="D608" s="27" t="s">
        <v>175</v>
      </c>
      <c r="E608" s="27">
        <v>735</v>
      </c>
      <c r="F608" s="27">
        <v>65.69</v>
      </c>
      <c r="G608" s="27">
        <v>48284.45</v>
      </c>
      <c r="H608" s="27">
        <v>6.55</v>
      </c>
    </row>
    <row r="609" spans="3:8">
      <c r="C609" s="26" t="s">
        <v>182</v>
      </c>
      <c r="D609" s="27" t="s">
        <v>183</v>
      </c>
      <c r="E609" s="27">
        <v>754</v>
      </c>
      <c r="F609" s="27">
        <v>66.17</v>
      </c>
      <c r="G609" s="27">
        <v>49893.81</v>
      </c>
      <c r="H609" s="27">
        <v>6.77</v>
      </c>
    </row>
    <row r="610" spans="3:8">
      <c r="C610" s="26" t="s">
        <v>188</v>
      </c>
      <c r="D610" s="27" t="s">
        <v>189</v>
      </c>
      <c r="E610" s="27">
        <v>764</v>
      </c>
      <c r="F610" s="27">
        <v>66.94</v>
      </c>
      <c r="G610" s="27">
        <v>51145.49</v>
      </c>
      <c r="H610" s="27">
        <v>6.94</v>
      </c>
    </row>
    <row r="611" spans="3:8">
      <c r="G611" s="28">
        <v>737477.0600000001</v>
      </c>
      <c r="H611" s="28">
        <v>100</v>
      </c>
    </row>
  </sheetData>
  <mergeCells count="81">
    <mergeCell ref="K5:M5"/>
    <mergeCell ref="K9:M9"/>
    <mergeCell ref="A22:O23"/>
    <mergeCell ref="K28:M28"/>
    <mergeCell ref="K32:M32"/>
    <mergeCell ref="A45:O46"/>
    <mergeCell ref="O55:Q55"/>
    <mergeCell ref="O59:Q59"/>
    <mergeCell ref="O63:Q63"/>
    <mergeCell ref="O67:Q67"/>
    <mergeCell ref="O71:Q71"/>
    <mergeCell ref="O75:Q75"/>
    <mergeCell ref="A88:S89"/>
    <mergeCell ref="N97:P97"/>
    <mergeCell ref="N101:P101"/>
    <mergeCell ref="N105:P105"/>
    <mergeCell ref="N109:P109"/>
    <mergeCell ref="N113:P113"/>
    <mergeCell ref="A126:R127"/>
    <mergeCell ref="J131:L131"/>
    <mergeCell ref="A144:N145"/>
    <mergeCell ref="N153:P153"/>
    <mergeCell ref="N157:P157"/>
    <mergeCell ref="N161:P161"/>
    <mergeCell ref="N165:P165"/>
    <mergeCell ref="N169:P169"/>
    <mergeCell ref="A182:R183"/>
    <mergeCell ref="N191:P191"/>
    <mergeCell ref="N195:P195"/>
    <mergeCell ref="N199:P199"/>
    <mergeCell ref="N203:P203"/>
    <mergeCell ref="N207:P207"/>
    <mergeCell ref="A220:R221"/>
    <mergeCell ref="M228:O228"/>
    <mergeCell ref="M232:O232"/>
    <mergeCell ref="M236:O236"/>
    <mergeCell ref="M240:O240"/>
    <mergeCell ref="A253:Q254"/>
    <mergeCell ref="K259:M259"/>
    <mergeCell ref="K263:M263"/>
    <mergeCell ref="A276:O277"/>
    <mergeCell ref="J281:L281"/>
    <mergeCell ref="A294:N295"/>
    <mergeCell ref="K300:M300"/>
    <mergeCell ref="K304:M304"/>
    <mergeCell ref="A317:O318"/>
    <mergeCell ref="J322:L322"/>
    <mergeCell ref="A335:N336"/>
    <mergeCell ref="M343:O343"/>
    <mergeCell ref="M347:O347"/>
    <mergeCell ref="M351:O351"/>
    <mergeCell ref="M355:O355"/>
    <mergeCell ref="A368:Q369"/>
    <mergeCell ref="K374:M374"/>
    <mergeCell ref="K378:M378"/>
    <mergeCell ref="A391:O392"/>
    <mergeCell ref="K397:M397"/>
    <mergeCell ref="K401:M401"/>
    <mergeCell ref="A414:O415"/>
    <mergeCell ref="K420:M420"/>
    <mergeCell ref="K424:M424"/>
    <mergeCell ref="A437:O438"/>
    <mergeCell ref="L444:N444"/>
    <mergeCell ref="L448:N448"/>
    <mergeCell ref="L452:N452"/>
    <mergeCell ref="A465:P466"/>
    <mergeCell ref="K471:M471"/>
    <mergeCell ref="K475:M475"/>
    <mergeCell ref="A488:O489"/>
    <mergeCell ref="K494:M494"/>
    <mergeCell ref="K498:M498"/>
    <mergeCell ref="A511:O512"/>
    <mergeCell ref="K517:M517"/>
    <mergeCell ref="K521:M521"/>
    <mergeCell ref="A534:O535"/>
    <mergeCell ref="K540:M540"/>
    <mergeCell ref="K544:M544"/>
    <mergeCell ref="A557:O558"/>
    <mergeCell ref="J562:L562"/>
    <mergeCell ref="A575:N576"/>
    <mergeCell ref="A584:N58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JMQ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2023-02-07T17:58:22Z</dcterms:created>
  <dcterms:modified xsi:type="dcterms:W3CDTF">2023-02-07T17:58:22Z</dcterms:modified>
</cp:coreProperties>
</file>