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JMQ" sheetId="1" r:id="rId1"/>
  </sheets>
  <calcPr calcId="124519" fullCalcOnLoad="1"/>
</workbook>
</file>

<file path=xl/sharedStrings.xml><?xml version="1.0" encoding="utf-8"?>
<sst xmlns="http://schemas.openxmlformats.org/spreadsheetml/2006/main" count="987" uniqueCount="279">
  <si>
    <t>Air Products and Chemicals, Inc.</t>
  </si>
  <si>
    <t>APD</t>
  </si>
  <si>
    <t>4 stocks</t>
  </si>
  <si>
    <t>2022-5-26</t>
  </si>
  <si>
    <t>2023-03-23</t>
  </si>
  <si>
    <t>Promedio</t>
  </si>
  <si>
    <t>$</t>
  </si>
  <si>
    <t>7%</t>
  </si>
  <si>
    <t>11%</t>
  </si>
  <si>
    <t>15%</t>
  </si>
  <si>
    <t>20%</t>
  </si>
  <si>
    <t>2023-02-05</t>
  </si>
  <si>
    <t>285.02</t>
  </si>
  <si>
    <t>Junior 0</t>
  </si>
  <si>
    <t>2023-02-06</t>
  </si>
  <si>
    <t>281.33</t>
  </si>
  <si>
    <t>2023-02-07</t>
  </si>
  <si>
    <t>284.77</t>
  </si>
  <si>
    <t>2023-02-08</t>
  </si>
  <si>
    <t>288.75</t>
  </si>
  <si>
    <t>2023-02-09</t>
  </si>
  <si>
    <t>287.24</t>
  </si>
  <si>
    <t>2023-02-13</t>
  </si>
  <si>
    <t>286.82</t>
  </si>
  <si>
    <t>Se compro en: 2022-5-26</t>
  </si>
  <si>
    <t>Utilidad</t>
  </si>
  <si>
    <t>% util</t>
  </si>
  <si>
    <t>Total</t>
  </si>
  <si>
    <t>Valor</t>
  </si>
  <si>
    <t>Total perdida</t>
  </si>
  <si>
    <t>Alphabet Inc.</t>
  </si>
  <si>
    <t>GOOGL</t>
  </si>
  <si>
    <t>1 stocks</t>
  </si>
  <si>
    <t>2022-13-6</t>
  </si>
  <si>
    <t>2022-26-5</t>
  </si>
  <si>
    <t>2 stocks</t>
  </si>
  <si>
    <t>102.82</t>
  </si>
  <si>
    <t>Junior 1</t>
  </si>
  <si>
    <t>106.55</t>
  </si>
  <si>
    <t>98.35</t>
  </si>
  <si>
    <t>99.37</t>
  </si>
  <si>
    <t>94.38</t>
  </si>
  <si>
    <t>Se compro en: 2022-13-6</t>
  </si>
  <si>
    <t>Se compro en: 2022-26-5</t>
  </si>
  <si>
    <t>Amazon Com Inc Com</t>
  </si>
  <si>
    <t>AMZN</t>
  </si>
  <si>
    <t>20 stocks</t>
  </si>
  <si>
    <t>2022-5-24</t>
  </si>
  <si>
    <t>2022-6-6</t>
  </si>
  <si>
    <t>2022-6-13</t>
  </si>
  <si>
    <t>5 stocks</t>
  </si>
  <si>
    <t>2022-10-28</t>
  </si>
  <si>
    <t>37 stocks</t>
  </si>
  <si>
    <t>102.93</t>
  </si>
  <si>
    <t>Junior 2</t>
  </si>
  <si>
    <t>Junior 3</t>
  </si>
  <si>
    <t>Junior 4</t>
  </si>
  <si>
    <t>101.17</t>
  </si>
  <si>
    <t>102.04</t>
  </si>
  <si>
    <t>98.932</t>
  </si>
  <si>
    <t>Se compro en: 2022-5-24</t>
  </si>
  <si>
    <t>Se compro en: 2022-6-6</t>
  </si>
  <si>
    <t>Se compro en: 2022-6-13</t>
  </si>
  <si>
    <t>Se compro en: 2022-10-28</t>
  </si>
  <si>
    <t>Apple Inc.</t>
  </si>
  <si>
    <t>AAPL</t>
  </si>
  <si>
    <t>10 stocks</t>
  </si>
  <si>
    <t>2022-05-27</t>
  </si>
  <si>
    <t>3 stocks</t>
  </si>
  <si>
    <t>2022-06-13</t>
  </si>
  <si>
    <t>2022-06-17</t>
  </si>
  <si>
    <t>16 stocks</t>
  </si>
  <si>
    <t>149.64</t>
  </si>
  <si>
    <t>2022-06-03</t>
  </si>
  <si>
    <t>145.38</t>
  </si>
  <si>
    <t>2022-06-15</t>
  </si>
  <si>
    <t>132.26</t>
  </si>
  <si>
    <t>2022-06-22</t>
  </si>
  <si>
    <t>136.18</t>
  </si>
  <si>
    <t>2022-11-11</t>
  </si>
  <si>
    <t>149.70</t>
  </si>
  <si>
    <t>2022-09-01</t>
  </si>
  <si>
    <t>130.15</t>
  </si>
  <si>
    <t>154.5</t>
  </si>
  <si>
    <t>151.79</t>
  </si>
  <si>
    <t>154.99</t>
  </si>
  <si>
    <t>151.85</t>
  </si>
  <si>
    <t>151.92</t>
  </si>
  <si>
    <t>153.74</t>
  </si>
  <si>
    <t>Se compro en: 2022-05-27</t>
  </si>
  <si>
    <t>Se compro en: 2022-06-13</t>
  </si>
  <si>
    <t>Se compro en: 2022-06-17</t>
  </si>
  <si>
    <t>Bank of America Corporation</t>
  </si>
  <si>
    <t>BAC</t>
  </si>
  <si>
    <t>15 stocks</t>
  </si>
  <si>
    <t>2022-09-22</t>
  </si>
  <si>
    <t>36.43</t>
  </si>
  <si>
    <t>36.355</t>
  </si>
  <si>
    <t>36.975</t>
  </si>
  <si>
    <t>36.565</t>
  </si>
  <si>
    <t>36.5</t>
  </si>
  <si>
    <t>35.625</t>
  </si>
  <si>
    <t>Se compro en: 2022-09-22</t>
  </si>
  <si>
    <t>Carnival Corporation &amp; plc</t>
  </si>
  <si>
    <t>CCL</t>
  </si>
  <si>
    <t>2022-1-1</t>
  </si>
  <si>
    <t>50 stocks</t>
  </si>
  <si>
    <t>2022-6-17</t>
  </si>
  <si>
    <t>137 stocks</t>
  </si>
  <si>
    <t>11.8</t>
  </si>
  <si>
    <t>11.715</t>
  </si>
  <si>
    <t>12.1</t>
  </si>
  <si>
    <t>11.915</t>
  </si>
  <si>
    <t>11.87</t>
  </si>
  <si>
    <t>11.561</t>
  </si>
  <si>
    <t>Se compro en: 2022-1-1</t>
  </si>
  <si>
    <t>Se compro en: 2022-6-17</t>
  </si>
  <si>
    <t>Citigroup Inc.</t>
  </si>
  <si>
    <t>C</t>
  </si>
  <si>
    <t>11 stocks</t>
  </si>
  <si>
    <t>2022-5-31</t>
  </si>
  <si>
    <t>50.95</t>
  </si>
  <si>
    <t>50.86</t>
  </si>
  <si>
    <t>51.72</t>
  </si>
  <si>
    <t>50.99</t>
  </si>
  <si>
    <t>51.15</t>
  </si>
  <si>
    <t>50.975</t>
  </si>
  <si>
    <t>Se compro en: 2022-5-31</t>
  </si>
  <si>
    <t>Costco Wholesale Corporation</t>
  </si>
  <si>
    <t>COST</t>
  </si>
  <si>
    <t>2023-01-25</t>
  </si>
  <si>
    <t>489.12</t>
  </si>
  <si>
    <t>514.8</t>
  </si>
  <si>
    <t>514.74</t>
  </si>
  <si>
    <t>516.615</t>
  </si>
  <si>
    <t>505.99</t>
  </si>
  <si>
    <t>503.81</t>
  </si>
  <si>
    <t>504.68</t>
  </si>
  <si>
    <t>FedEx Corporation</t>
  </si>
  <si>
    <t>FDX</t>
  </si>
  <si>
    <t>214.67</t>
  </si>
  <si>
    <t>210.04</t>
  </si>
  <si>
    <t>210.02</t>
  </si>
  <si>
    <t>208.4</t>
  </si>
  <si>
    <t>209.48</t>
  </si>
  <si>
    <t>209.75</t>
  </si>
  <si>
    <t>Ford Motor Company</t>
  </si>
  <si>
    <t>F</t>
  </si>
  <si>
    <t>76 stocks</t>
  </si>
  <si>
    <t>13.045</t>
  </si>
  <si>
    <t>13.475</t>
  </si>
  <si>
    <t>13.425</t>
  </si>
  <si>
    <t>13.42</t>
  </si>
  <si>
    <t>12.965</t>
  </si>
  <si>
    <t>General Electric Company</t>
  </si>
  <si>
    <t>GE</t>
  </si>
  <si>
    <t>7 stocks</t>
  </si>
  <si>
    <t>14 stocks</t>
  </si>
  <si>
    <t>82.17</t>
  </si>
  <si>
    <t>81.88</t>
  </si>
  <si>
    <t>81.57</t>
  </si>
  <si>
    <t>81.96</t>
  </si>
  <si>
    <t>82.655</t>
  </si>
  <si>
    <t>Invesco QQQ Trust</t>
  </si>
  <si>
    <t>QQQ</t>
  </si>
  <si>
    <t>2022-9-14</t>
  </si>
  <si>
    <t>306.18</t>
  </si>
  <si>
    <t>303.04</t>
  </si>
  <si>
    <t>309.65</t>
  </si>
  <si>
    <t>303.97</t>
  </si>
  <si>
    <t>304.37</t>
  </si>
  <si>
    <t>304.18</t>
  </si>
  <si>
    <t>Se compro en: 2022-9-14</t>
  </si>
  <si>
    <t>JPMorgan Chase &amp; Co.</t>
  </si>
  <si>
    <t>JPM</t>
  </si>
  <si>
    <t>141.09</t>
  </si>
  <si>
    <t>141.715</t>
  </si>
  <si>
    <t>144.225</t>
  </si>
  <si>
    <t>143.37</t>
  </si>
  <si>
    <t>142.64</t>
  </si>
  <si>
    <t>142.24</t>
  </si>
  <si>
    <t>Johnson &amp; Johnson</t>
  </si>
  <si>
    <t>JNJ</t>
  </si>
  <si>
    <t>6 stocks</t>
  </si>
  <si>
    <t>164.61</t>
  </si>
  <si>
    <t>163.355</t>
  </si>
  <si>
    <t>162.78</t>
  </si>
  <si>
    <t>163.72</t>
  </si>
  <si>
    <t>163.61</t>
  </si>
  <si>
    <t>161.97</t>
  </si>
  <si>
    <t>Meta Platforms, Inc.</t>
  </si>
  <si>
    <t>META</t>
  </si>
  <si>
    <t>2023-1-1</t>
  </si>
  <si>
    <t>186.53</t>
  </si>
  <si>
    <t>185.99</t>
  </si>
  <si>
    <t>193.52</t>
  </si>
  <si>
    <t>183.17</t>
  </si>
  <si>
    <t>183.43</t>
  </si>
  <si>
    <t>179.29</t>
  </si>
  <si>
    <t>Se compro en: 2023-1-1</t>
  </si>
  <si>
    <t>Microsoft Corporation</t>
  </si>
  <si>
    <t>MSFT</t>
  </si>
  <si>
    <t>256.56</t>
  </si>
  <si>
    <t>268.06</t>
  </si>
  <si>
    <t>267.78</t>
  </si>
  <si>
    <t>266.73</t>
  </si>
  <si>
    <t>271.42</t>
  </si>
  <si>
    <t>Morgan Stanley</t>
  </si>
  <si>
    <t>MS</t>
  </si>
  <si>
    <t>2022-09-16</t>
  </si>
  <si>
    <t>18 stocks</t>
  </si>
  <si>
    <t>99.43</t>
  </si>
  <si>
    <t>98.74</t>
  </si>
  <si>
    <t>99.775</t>
  </si>
  <si>
    <t>99.34</t>
  </si>
  <si>
    <t>98.96</t>
  </si>
  <si>
    <t>99.68</t>
  </si>
  <si>
    <t>Se compro en: 2022-09-16</t>
  </si>
  <si>
    <t>PayPal Holdings, Inc.</t>
  </si>
  <si>
    <t>PYPL</t>
  </si>
  <si>
    <t>2022-6-21</t>
  </si>
  <si>
    <t>17 stocks</t>
  </si>
  <si>
    <t>85.52</t>
  </si>
  <si>
    <t>82.395</t>
  </si>
  <si>
    <t>83.27</t>
  </si>
  <si>
    <t>80.145</t>
  </si>
  <si>
    <t>79.72</t>
  </si>
  <si>
    <t>80.095</t>
  </si>
  <si>
    <t>Se compro en: 2022-6-21</t>
  </si>
  <si>
    <t>SPDR S&amp;P 500 ETF Trust</t>
  </si>
  <si>
    <t>SPY</t>
  </si>
  <si>
    <t>400.28</t>
  </si>
  <si>
    <t>412.35</t>
  </si>
  <si>
    <t>409.25</t>
  </si>
  <si>
    <t>414.75</t>
  </si>
  <si>
    <t>410.59</t>
  </si>
  <si>
    <t>410.65</t>
  </si>
  <si>
    <t>412.06</t>
  </si>
  <si>
    <t>Se compro en: 2023-01-25</t>
  </si>
  <si>
    <t>TT</t>
  </si>
  <si>
    <t>12 stocks</t>
  </si>
  <si>
    <t>2022-2-1</t>
  </si>
  <si>
    <t>24 stocks</t>
  </si>
  <si>
    <t>182.78</t>
  </si>
  <si>
    <t>186.307</t>
  </si>
  <si>
    <t>Se compro en: 2022-2-1</t>
  </si>
  <si>
    <t>Tesla, Inc.</t>
  </si>
  <si>
    <t>TSLA</t>
  </si>
  <si>
    <t>2022-09-11</t>
  </si>
  <si>
    <t>2022-11-22</t>
  </si>
  <si>
    <t>189.98</t>
  </si>
  <si>
    <t>194.19</t>
  </si>
  <si>
    <t>196.61</t>
  </si>
  <si>
    <t>198.51</t>
  </si>
  <si>
    <t>201.29</t>
  </si>
  <si>
    <t>194.285</t>
  </si>
  <si>
    <t>Se compro en: 2022-09-11</t>
  </si>
  <si>
    <t>Se compro en: 2022-11-22</t>
  </si>
  <si>
    <t>The Walt Disney Company</t>
  </si>
  <si>
    <t>DIS</t>
  </si>
  <si>
    <t>2022-5-25</t>
  </si>
  <si>
    <t>106.22</t>
  </si>
  <si>
    <t>110.71</t>
  </si>
  <si>
    <t>109.405</t>
  </si>
  <si>
    <t>111.77</t>
  </si>
  <si>
    <t>110.62</t>
  </si>
  <si>
    <t>111.78</t>
  </si>
  <si>
    <t>107.94</t>
  </si>
  <si>
    <t>Se compro en: 2022-5-25</t>
  </si>
  <si>
    <t>Walmart Inc.</t>
  </si>
  <si>
    <t>WMT</t>
  </si>
  <si>
    <t>140.24</t>
  </si>
  <si>
    <t>140.64</t>
  </si>
  <si>
    <t>140.44</t>
  </si>
  <si>
    <t>140.22</t>
  </si>
  <si>
    <t>145.465</t>
  </si>
  <si>
    <t>Nro. Acciones</t>
  </si>
  <si>
    <t>Costo</t>
  </si>
  <si>
    <t>% Cartera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</si>
</sst>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6"/>
      <color rgb="FF123456"/>
      <name val="Calibri"/>
      <family val="2"/>
      <scheme val="minor"/>
    </font>
    <font>
      <sz val="11"/>
      <color rgb="FF8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800080"/>
      <name val="Calibri"/>
      <family val="2"/>
      <scheme val="minor"/>
    </font>
    <font>
      <sz val="13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12"/>
      <color rgb="FF123456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2CA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8E4C9"/>
        <bgColor indexed="64"/>
      </patternFill>
    </fill>
    <fill>
      <patternFill patternType="solid">
        <fgColor rgb="FF43302E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0" fillId="0" borderId="0" xfId="0" applyAlignment="1">
      <alignment horizontal="centerContinuous" vertical="center"/>
    </xf>
    <xf numFmtId="0" fontId="2" fillId="0" borderId="1" xfId="0" applyFont="1" applyBorder="1" applyAlignment="1">
      <alignment horizontal="centerContinuous" vertical="center"/>
    </xf>
    <xf numFmtId="0" fontId="0" fillId="3" borderId="0" xfId="0" applyFill="1" applyAlignment="1">
      <alignment horizontal="centerContinuous"/>
    </xf>
    <xf numFmtId="0" fontId="0" fillId="4" borderId="0" xfId="0" applyFill="1" applyAlignment="1">
      <alignment horizontal="centerContinuous"/>
    </xf>
    <xf numFmtId="0" fontId="3" fillId="0" borderId="0" xfId="0" applyFont="1" applyAlignment="1">
      <alignment horizontal="centerContinuous" vertical="center"/>
    </xf>
    <xf numFmtId="0" fontId="4" fillId="0" borderId="2" xfId="0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4" fillId="0" borderId="4" xfId="0" applyFont="1" applyBorder="1" applyAlignment="1">
      <alignment horizontal="centerContinuous"/>
    </xf>
    <xf numFmtId="0" fontId="0" fillId="4" borderId="0" xfId="0" applyFill="1"/>
    <xf numFmtId="0" fontId="0" fillId="0" borderId="1" xfId="0" applyBorder="1" applyAlignment="1">
      <alignment horizontal="centerContinuous" vertical="center"/>
    </xf>
    <xf numFmtId="0" fontId="3" fillId="0" borderId="0" xfId="0" applyFont="1"/>
    <xf numFmtId="0" fontId="5" fillId="3" borderId="1" xfId="0" applyFont="1" applyFill="1" applyBorder="1" applyAlignment="1">
      <alignment horizontal="centerContinuous" wrapText="1"/>
    </xf>
    <xf numFmtId="0" fontId="4" fillId="0" borderId="5" xfId="0" applyFont="1" applyBorder="1" applyAlignment="1">
      <alignment horizontal="centerContinuous" wrapText="1"/>
    </xf>
    <xf numFmtId="0" fontId="4" fillId="0" borderId="6" xfId="0" applyFont="1" applyBorder="1" applyAlignment="1">
      <alignment horizontal="centerContinuous" wrapText="1"/>
    </xf>
    <xf numFmtId="0" fontId="4" fillId="0" borderId="7" xfId="0" applyFont="1" applyBorder="1" applyAlignment="1">
      <alignment horizontal="centerContinuous" wrapText="1"/>
    </xf>
    <xf numFmtId="0" fontId="4" fillId="0" borderId="8" xfId="0" applyFont="1" applyBorder="1" applyAlignment="1">
      <alignment horizontal="centerContinuous" wrapText="1"/>
    </xf>
    <xf numFmtId="0" fontId="4" fillId="0" borderId="9" xfId="0" applyFont="1" applyBorder="1" applyAlignment="1">
      <alignment horizontal="centerContinuous" wrapText="1"/>
    </xf>
    <xf numFmtId="0" fontId="3" fillId="0" borderId="10" xfId="0" applyFont="1" applyBorder="1"/>
    <xf numFmtId="0" fontId="0" fillId="5" borderId="0" xfId="0" applyFill="1"/>
    <xf numFmtId="0" fontId="6" fillId="0" borderId="3" xfId="0" applyFont="1" applyBorder="1" applyAlignment="1">
      <alignment horizontal="centerContinuous"/>
    </xf>
    <xf numFmtId="0" fontId="6" fillId="0" borderId="0" xfId="0" applyFont="1"/>
    <xf numFmtId="0" fontId="7" fillId="3" borderId="1" xfId="0" applyFont="1" applyFill="1" applyBorder="1" applyAlignment="1">
      <alignment horizontal="centerContinuous"/>
    </xf>
    <xf numFmtId="0" fontId="6" fillId="0" borderId="10" xfId="0" applyFont="1" applyBorder="1"/>
    <xf numFmtId="0" fontId="8" fillId="0" borderId="0" xfId="0" applyFont="1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horizontal="centerContinuous" vertical="center"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R595"/>
  <sheetViews>
    <sheetView tabSelected="1" workbookViewId="0"/>
  </sheetViews>
  <sheetFormatPr defaultRowHeight="15"/>
  <cols>
    <col min="2" max="2" width="10.7109375" customWidth="1"/>
    <col min="3" max="3" width="20.7109375" customWidth="1"/>
  </cols>
  <sheetData>
    <row r="3" spans="2:14">
      <c r="C3" s="1" t="s">
        <v>0</v>
      </c>
      <c r="D3" s="1" t="s">
        <v>1</v>
      </c>
    </row>
    <row r="4" spans="2:14">
      <c r="B4" s="2" t="s">
        <v>2</v>
      </c>
      <c r="C4" s="2" t="s">
        <v>3</v>
      </c>
      <c r="D4" s="3">
        <v>245.87</v>
      </c>
      <c r="J4" s="4" t="s">
        <v>24</v>
      </c>
      <c r="K4" s="4"/>
      <c r="L4" s="4"/>
      <c r="M4" s="5" t="s">
        <v>13</v>
      </c>
      <c r="N4" s="5">
        <v>983.48</v>
      </c>
    </row>
    <row r="5" spans="2:14">
      <c r="B5" s="6" t="s">
        <v>2</v>
      </c>
      <c r="C5" s="2" t="s">
        <v>4</v>
      </c>
      <c r="D5" s="3">
        <v>245.87</v>
      </c>
    </row>
    <row r="6" spans="2:14">
      <c r="J6" s="7" t="s">
        <v>25</v>
      </c>
      <c r="K6" s="8">
        <v>114.56</v>
      </c>
      <c r="L6" s="8">
        <v>11.65</v>
      </c>
      <c r="M6" s="9" t="s">
        <v>26</v>
      </c>
    </row>
    <row r="7" spans="2:14">
      <c r="E7" s="3" t="s">
        <v>5</v>
      </c>
      <c r="F7" s="3">
        <v>245.87</v>
      </c>
    </row>
    <row r="9" spans="2:14"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10" t="s">
        <v>13</v>
      </c>
    </row>
    <row r="10" spans="2:14">
      <c r="B10" s="2" t="s">
        <v>11</v>
      </c>
      <c r="C10" s="2" t="s">
        <v>12</v>
      </c>
      <c r="D10" s="11">
        <f>(285.02*0.07)+285.02</f>
        <v>0</v>
      </c>
      <c r="E10" s="11">
        <f>(285.02*0.10)+285.02</f>
        <v>0</v>
      </c>
      <c r="F10" s="11">
        <f>(285.02*0.15)+285.02</f>
        <v>0</v>
      </c>
      <c r="G10" s="11">
        <f>(285.02*0.20)+285.02</f>
        <v>0</v>
      </c>
      <c r="H10" s="12">
        <v>15.92</v>
      </c>
      <c r="L10" s="7" t="s">
        <v>27</v>
      </c>
      <c r="M10" s="13">
        <v>114.56</v>
      </c>
    </row>
    <row r="11" spans="2:14">
      <c r="B11" s="2" t="s">
        <v>14</v>
      </c>
      <c r="C11" s="2" t="s">
        <v>15</v>
      </c>
      <c r="D11" s="11">
        <f>(281.33*0.07)+281.33</f>
        <v>0</v>
      </c>
      <c r="E11" s="11">
        <f>(281.33*0.10)+281.33</f>
        <v>0</v>
      </c>
      <c r="F11" s="11">
        <f>(281.33*0.15)+281.33</f>
        <v>0</v>
      </c>
      <c r="G11" s="11">
        <f>(281.33*0.20)+281.33</f>
        <v>0</v>
      </c>
      <c r="H11" s="12">
        <v>14.42</v>
      </c>
    </row>
    <row r="12" spans="2:14">
      <c r="B12" s="2" t="s">
        <v>16</v>
      </c>
      <c r="C12" s="2" t="s">
        <v>17</v>
      </c>
      <c r="D12" s="11">
        <f>(284.77*0.07)+284.77</f>
        <v>0</v>
      </c>
      <c r="E12" s="11">
        <f>(284.77*0.10)+284.77</f>
        <v>0</v>
      </c>
      <c r="F12" s="11">
        <f>(284.77*0.15)+284.77</f>
        <v>0</v>
      </c>
      <c r="G12" s="11">
        <f>(284.77*0.20)+284.77</f>
        <v>0</v>
      </c>
      <c r="H12" s="12">
        <v>15.82</v>
      </c>
    </row>
    <row r="13" spans="2:14">
      <c r="B13" s="2" t="s">
        <v>18</v>
      </c>
      <c r="C13" s="2" t="s">
        <v>19</v>
      </c>
      <c r="D13" s="11">
        <f>(288.75*0.07)+288.75</f>
        <v>0</v>
      </c>
      <c r="E13" s="11">
        <f>(288.75*0.10)+288.75</f>
        <v>0</v>
      </c>
      <c r="F13" s="11">
        <f>(288.75*0.15)+288.75</f>
        <v>0</v>
      </c>
      <c r="G13" s="11">
        <f>(288.75*0.20)+288.75</f>
        <v>0</v>
      </c>
      <c r="H13" s="12">
        <v>17.44</v>
      </c>
      <c r="M13" s="14" t="s">
        <v>28</v>
      </c>
      <c r="N13" s="15">
        <v>983.48</v>
      </c>
    </row>
    <row r="14" spans="2:14">
      <c r="B14" s="2" t="s">
        <v>20</v>
      </c>
      <c r="C14" s="2" t="s">
        <v>21</v>
      </c>
      <c r="D14" s="11">
        <f>(287.24*0.07)+287.24</f>
        <v>0</v>
      </c>
      <c r="E14" s="11">
        <f>(287.24*0.10)+287.24</f>
        <v>0</v>
      </c>
      <c r="F14" s="11">
        <f>(287.24*0.15)+287.24</f>
        <v>0</v>
      </c>
      <c r="G14" s="11">
        <f>(287.24*0.20)+287.24</f>
        <v>0</v>
      </c>
      <c r="H14" s="12">
        <v>16.83</v>
      </c>
      <c r="M14" s="16"/>
      <c r="N14" s="17"/>
    </row>
    <row r="15" spans="2:14">
      <c r="B15" s="2" t="s">
        <v>22</v>
      </c>
      <c r="C15" s="2" t="s">
        <v>23</v>
      </c>
      <c r="D15" s="11">
        <f>(286.82*0.07)+286.82</f>
        <v>0</v>
      </c>
      <c r="E15" s="11">
        <f>(286.82*0.10)+286.82</f>
        <v>0</v>
      </c>
      <c r="F15" s="11">
        <f>(286.82*0.15)+286.82</f>
        <v>0</v>
      </c>
      <c r="G15" s="11">
        <f>(286.82*0.20)+286.82</f>
        <v>0</v>
      </c>
      <c r="H15" s="12">
        <v>16.66</v>
      </c>
      <c r="M15" s="18" t="s">
        <v>29</v>
      </c>
      <c r="N15" s="19">
        <v>114.56</v>
      </c>
    </row>
    <row r="16" spans="2:14">
      <c r="B16" s="2" t="s">
        <v>4</v>
      </c>
      <c r="C16" s="2">
        <v>274.51</v>
      </c>
      <c r="D16" s="11">
        <f>(274.51*0.07)+274.51</f>
        <v>0</v>
      </c>
      <c r="E16" s="11">
        <f>(274.51*0.10)+274.51</f>
        <v>0</v>
      </c>
      <c r="F16" s="11">
        <f>(274.51*0.15)+274.51</f>
        <v>0</v>
      </c>
      <c r="G16" s="11">
        <f>(274.51*0.20)+274.51</f>
        <v>0</v>
      </c>
      <c r="H16" s="12">
        <v>11.65</v>
      </c>
    </row>
    <row r="19" spans="1:1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1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3" spans="1:15">
      <c r="C23" s="1" t="s">
        <v>30</v>
      </c>
      <c r="D23" s="1" t="s">
        <v>31</v>
      </c>
    </row>
    <row r="24" spans="1:15">
      <c r="B24" s="2" t="s">
        <v>32</v>
      </c>
      <c r="C24" s="2" t="s">
        <v>33</v>
      </c>
      <c r="D24" s="3">
        <v>108.27</v>
      </c>
    </row>
    <row r="25" spans="1:15">
      <c r="B25" s="2" t="s">
        <v>32</v>
      </c>
      <c r="C25" s="2" t="s">
        <v>34</v>
      </c>
      <c r="D25" s="3">
        <v>108.4</v>
      </c>
      <c r="K25" s="4" t="s">
        <v>42</v>
      </c>
      <c r="L25" s="4"/>
      <c r="M25" s="4"/>
      <c r="N25" s="5" t="s">
        <v>13</v>
      </c>
      <c r="O25" s="5">
        <v>108.27</v>
      </c>
    </row>
    <row r="26" spans="1:15">
      <c r="B26" s="6" t="s">
        <v>35</v>
      </c>
      <c r="C26" s="2" t="s">
        <v>4</v>
      </c>
      <c r="D26" s="3">
        <v>216.67</v>
      </c>
    </row>
    <row r="27" spans="1:15">
      <c r="K27" s="7" t="s">
        <v>25</v>
      </c>
      <c r="L27" s="21">
        <v>-2.28</v>
      </c>
      <c r="M27" s="21">
        <v>-2.1</v>
      </c>
      <c r="N27" s="9" t="s">
        <v>26</v>
      </c>
    </row>
    <row r="28" spans="1:15">
      <c r="E28" s="3" t="s">
        <v>5</v>
      </c>
      <c r="F28" s="3">
        <v>108.34</v>
      </c>
    </row>
    <row r="29" spans="1:15">
      <c r="K29" s="4" t="s">
        <v>43</v>
      </c>
      <c r="L29" s="4"/>
      <c r="M29" s="4"/>
      <c r="N29" s="5" t="s">
        <v>37</v>
      </c>
      <c r="O29" s="5">
        <v>108.4</v>
      </c>
    </row>
    <row r="30" spans="1:15">
      <c r="C30" s="2" t="s">
        <v>6</v>
      </c>
      <c r="D30" s="2" t="s">
        <v>7</v>
      </c>
      <c r="E30" s="2" t="s">
        <v>8</v>
      </c>
      <c r="F30" s="2" t="s">
        <v>9</v>
      </c>
      <c r="G30" s="2" t="s">
        <v>10</v>
      </c>
      <c r="H30" s="10" t="s">
        <v>13</v>
      </c>
      <c r="I30" s="10" t="s">
        <v>37</v>
      </c>
    </row>
    <row r="31" spans="1:15">
      <c r="B31" s="2" t="s">
        <v>14</v>
      </c>
      <c r="C31" s="2" t="s">
        <v>36</v>
      </c>
      <c r="D31" s="11">
        <f>(102.82*0.07)+102.82</f>
        <v>0</v>
      </c>
      <c r="E31" s="11">
        <f>(102.82*0.10)+102.82</f>
        <v>0</v>
      </c>
      <c r="F31" s="11">
        <f>(102.82*0.15)+102.82</f>
        <v>0</v>
      </c>
      <c r="G31" s="11">
        <f>(102.82*0.20)+102.82</f>
        <v>0</v>
      </c>
      <c r="H31" s="22">
        <v>-5.04</v>
      </c>
      <c r="I31" s="22">
        <v>-5.15</v>
      </c>
      <c r="K31" s="7" t="s">
        <v>25</v>
      </c>
      <c r="L31" s="21">
        <v>-2.41</v>
      </c>
      <c r="M31" s="21">
        <v>-2.22</v>
      </c>
      <c r="N31" s="9" t="s">
        <v>26</v>
      </c>
    </row>
    <row r="32" spans="1:15">
      <c r="B32" s="2" t="s">
        <v>16</v>
      </c>
      <c r="C32" s="2" t="s">
        <v>38</v>
      </c>
      <c r="D32" s="11">
        <f>(106.55*0.07)+106.55</f>
        <v>0</v>
      </c>
      <c r="E32" s="11">
        <f>(106.55*0.10)+106.55</f>
        <v>0</v>
      </c>
      <c r="F32" s="11">
        <f>(106.55*0.15)+106.55</f>
        <v>0</v>
      </c>
      <c r="G32" s="11">
        <f>(106.55*0.20)+106.55</f>
        <v>0</v>
      </c>
      <c r="H32" s="22">
        <v>-1.59</v>
      </c>
      <c r="I32" s="22">
        <v>-1.71</v>
      </c>
    </row>
    <row r="33" spans="1:15">
      <c r="B33" s="2" t="s">
        <v>18</v>
      </c>
      <c r="C33" s="2" t="s">
        <v>39</v>
      </c>
      <c r="D33" s="11">
        <f>(98.35*0.07)+98.35</f>
        <v>0</v>
      </c>
      <c r="E33" s="11">
        <f>(98.35*0.10)+98.35</f>
        <v>0</v>
      </c>
      <c r="F33" s="11">
        <f>(98.35*0.15)+98.35</f>
        <v>0</v>
      </c>
      <c r="G33" s="11">
        <f>(98.35*0.20)+98.35</f>
        <v>0</v>
      </c>
      <c r="H33" s="22">
        <v>-9.16</v>
      </c>
      <c r="I33" s="22">
        <v>-9.27</v>
      </c>
    </row>
    <row r="34" spans="1:15">
      <c r="B34" s="2" t="s">
        <v>20</v>
      </c>
      <c r="C34" s="2" t="s">
        <v>40</v>
      </c>
      <c r="D34" s="11">
        <f>(99.37*0.07)+99.37</f>
        <v>0</v>
      </c>
      <c r="E34" s="11">
        <f>(99.37*0.10)+99.37</f>
        <v>0</v>
      </c>
      <c r="F34" s="11">
        <f>(99.37*0.15)+99.37</f>
        <v>0</v>
      </c>
      <c r="G34" s="11">
        <f>(99.37*0.20)+99.37</f>
        <v>0</v>
      </c>
      <c r="H34" s="22">
        <v>-8.220000000000001</v>
      </c>
      <c r="I34" s="22">
        <v>-8.33</v>
      </c>
    </row>
    <row r="35" spans="1:15">
      <c r="B35" s="2" t="s">
        <v>22</v>
      </c>
      <c r="C35" s="2" t="s">
        <v>41</v>
      </c>
      <c r="D35" s="11">
        <f>(94.38*0.07)+94.38</f>
        <v>0</v>
      </c>
      <c r="E35" s="11">
        <f>(94.38*0.10)+94.38</f>
        <v>0</v>
      </c>
      <c r="F35" s="11">
        <f>(94.38*0.15)+94.38</f>
        <v>0</v>
      </c>
      <c r="G35" s="11">
        <f>(94.38*0.20)+94.38</f>
        <v>0</v>
      </c>
      <c r="H35" s="22">
        <v>-12.83</v>
      </c>
      <c r="I35" s="22">
        <v>-12.93</v>
      </c>
      <c r="M35" s="7" t="s">
        <v>27</v>
      </c>
      <c r="N35" s="23">
        <v>-4.68</v>
      </c>
    </row>
    <row r="36" spans="1:15">
      <c r="B36" s="2" t="s">
        <v>4</v>
      </c>
      <c r="C36" s="2">
        <v>105.995</v>
      </c>
      <c r="D36" s="11">
        <f>(105.995*0.07)+105.995</f>
        <v>0</v>
      </c>
      <c r="E36" s="11">
        <f>(105.995*0.10)+105.995</f>
        <v>0</v>
      </c>
      <c r="F36" s="11">
        <f>(105.995*0.15)+105.995</f>
        <v>0</v>
      </c>
      <c r="G36" s="11">
        <f>(105.995*0.20)+105.995</f>
        <v>0</v>
      </c>
      <c r="H36" s="22">
        <v>-2.1</v>
      </c>
      <c r="I36" s="22">
        <v>-2.22</v>
      </c>
    </row>
    <row r="38" spans="1:15">
      <c r="N38" s="14" t="s">
        <v>28</v>
      </c>
      <c r="O38" s="15">
        <v>216.67</v>
      </c>
    </row>
    <row r="39" spans="1:15">
      <c r="N39" s="16"/>
      <c r="O39" s="17"/>
    </row>
    <row r="40" spans="1:15">
      <c r="N40" s="18" t="s">
        <v>29</v>
      </c>
      <c r="O40" s="24">
        <v>-4.68</v>
      </c>
    </row>
    <row r="42" spans="1:1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</row>
    <row r="43" spans="1:1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6" spans="1:15">
      <c r="C46" s="1" t="s">
        <v>44</v>
      </c>
      <c r="D46" s="1" t="s">
        <v>45</v>
      </c>
    </row>
    <row r="47" spans="1:15">
      <c r="B47" s="2" t="s">
        <v>46</v>
      </c>
      <c r="C47" s="2" t="s">
        <v>47</v>
      </c>
      <c r="D47" s="3">
        <v>104.99</v>
      </c>
    </row>
    <row r="48" spans="1:15">
      <c r="B48" s="2" t="s">
        <v>2</v>
      </c>
      <c r="C48" s="2" t="s">
        <v>48</v>
      </c>
      <c r="D48" s="3">
        <v>131.71</v>
      </c>
    </row>
    <row r="49" spans="2:18">
      <c r="B49" s="2" t="s">
        <v>2</v>
      </c>
      <c r="C49" s="2" t="s">
        <v>49</v>
      </c>
      <c r="D49" s="3">
        <v>108.92</v>
      </c>
    </row>
    <row r="50" spans="2:18">
      <c r="B50" s="2" t="s">
        <v>2</v>
      </c>
      <c r="C50" s="2" t="s">
        <v>49</v>
      </c>
      <c r="D50" s="3">
        <v>110.89</v>
      </c>
    </row>
    <row r="51" spans="2:18">
      <c r="B51" s="2" t="s">
        <v>50</v>
      </c>
      <c r="C51" s="2" t="s">
        <v>51</v>
      </c>
      <c r="D51" s="3">
        <v>101.88</v>
      </c>
      <c r="N51" s="4" t="s">
        <v>60</v>
      </c>
      <c r="O51" s="4"/>
      <c r="P51" s="4"/>
      <c r="Q51" s="5" t="s">
        <v>13</v>
      </c>
      <c r="R51" s="5">
        <v>2099.84</v>
      </c>
    </row>
    <row r="52" spans="2:18">
      <c r="B52" s="6" t="s">
        <v>52</v>
      </c>
      <c r="C52" s="2" t="s">
        <v>4</v>
      </c>
      <c r="D52" s="3">
        <v>558.39</v>
      </c>
    </row>
    <row r="53" spans="2:18">
      <c r="N53" s="7" t="s">
        <v>25</v>
      </c>
      <c r="O53" s="21">
        <v>-92.64</v>
      </c>
      <c r="P53" s="21">
        <v>-4.41</v>
      </c>
      <c r="Q53" s="9" t="s">
        <v>26</v>
      </c>
    </row>
    <row r="54" spans="2:18">
      <c r="E54" s="3" t="s">
        <v>5</v>
      </c>
      <c r="F54" s="3">
        <v>108.52</v>
      </c>
    </row>
    <row r="55" spans="2:18">
      <c r="N55" s="4" t="s">
        <v>61</v>
      </c>
      <c r="O55" s="4"/>
      <c r="P55" s="4"/>
      <c r="Q55" s="5" t="s">
        <v>37</v>
      </c>
      <c r="R55" s="5">
        <v>526.8200000000001</v>
      </c>
    </row>
    <row r="56" spans="2:18">
      <c r="C56" s="2" t="s">
        <v>6</v>
      </c>
      <c r="D56" s="2" t="s">
        <v>7</v>
      </c>
      <c r="E56" s="2" t="s">
        <v>8</v>
      </c>
      <c r="F56" s="2" t="s">
        <v>9</v>
      </c>
      <c r="G56" s="2" t="s">
        <v>10</v>
      </c>
      <c r="H56" s="10" t="s">
        <v>13</v>
      </c>
      <c r="I56" s="10" t="s">
        <v>37</v>
      </c>
      <c r="J56" s="10" t="s">
        <v>54</v>
      </c>
      <c r="K56" s="10" t="s">
        <v>55</v>
      </c>
      <c r="L56" s="10" t="s">
        <v>56</v>
      </c>
    </row>
    <row r="57" spans="2:18">
      <c r="B57" s="2" t="s">
        <v>14</v>
      </c>
      <c r="C57" s="2" t="s">
        <v>53</v>
      </c>
      <c r="D57" s="11">
        <f>(102.93*0.07)+102.93</f>
        <v>0</v>
      </c>
      <c r="E57" s="11">
        <f>(102.93*0.10)+102.93</f>
        <v>0</v>
      </c>
      <c r="F57" s="11">
        <f>(102.93*0.15)+102.93</f>
        <v>0</v>
      </c>
      <c r="G57" s="11">
        <f>(102.93*0.20)+102.93</f>
        <v>0</v>
      </c>
      <c r="H57" s="22">
        <v>-1.96</v>
      </c>
      <c r="I57" s="22">
        <v>-21.85</v>
      </c>
      <c r="J57" s="22">
        <v>-5.5</v>
      </c>
      <c r="K57" s="22">
        <v>-7.17</v>
      </c>
      <c r="L57" s="12">
        <v>1.03</v>
      </c>
      <c r="N57" s="7" t="s">
        <v>25</v>
      </c>
      <c r="O57" s="21">
        <v>-125.38</v>
      </c>
      <c r="P57" s="21">
        <v>-23.8</v>
      </c>
      <c r="Q57" s="9" t="s">
        <v>26</v>
      </c>
    </row>
    <row r="58" spans="2:18">
      <c r="B58" s="2" t="s">
        <v>16</v>
      </c>
      <c r="C58" s="2" t="s">
        <v>57</v>
      </c>
      <c r="D58" s="11">
        <f>(101.17*0.07)+101.17</f>
        <v>0</v>
      </c>
      <c r="E58" s="11">
        <f>(101.17*0.10)+101.17</f>
        <v>0</v>
      </c>
      <c r="F58" s="11">
        <f>(101.17*0.15)+101.17</f>
        <v>0</v>
      </c>
      <c r="G58" s="11">
        <f>(101.17*0.20)+101.17</f>
        <v>0</v>
      </c>
      <c r="H58" s="22">
        <v>-3.64</v>
      </c>
      <c r="I58" s="22">
        <v>-23.18</v>
      </c>
      <c r="J58" s="22">
        <v>-7.12</v>
      </c>
      <c r="K58" s="22">
        <v>-8.76</v>
      </c>
      <c r="L58" s="22">
        <v>-0.7</v>
      </c>
    </row>
    <row r="59" spans="2:18">
      <c r="B59" s="2" t="s">
        <v>18</v>
      </c>
      <c r="C59" s="2" t="s">
        <v>58</v>
      </c>
      <c r="D59" s="11">
        <f>(102.04*0.07)+102.04</f>
        <v>0</v>
      </c>
      <c r="E59" s="11">
        <f>(102.04*0.10)+102.04</f>
        <v>0</v>
      </c>
      <c r="F59" s="11">
        <f>(102.04*0.15)+102.04</f>
        <v>0</v>
      </c>
      <c r="G59" s="11">
        <f>(102.04*0.20)+102.04</f>
        <v>0</v>
      </c>
      <c r="H59" s="22">
        <v>-2.81</v>
      </c>
      <c r="I59" s="22">
        <v>-22.52</v>
      </c>
      <c r="J59" s="22">
        <v>-6.32</v>
      </c>
      <c r="K59" s="22">
        <v>-7.98</v>
      </c>
      <c r="L59" s="12">
        <v>0.16</v>
      </c>
      <c r="N59" s="4" t="s">
        <v>62</v>
      </c>
      <c r="O59" s="4"/>
      <c r="P59" s="4"/>
      <c r="Q59" s="5" t="s">
        <v>54</v>
      </c>
      <c r="R59" s="5">
        <v>435.7</v>
      </c>
    </row>
    <row r="60" spans="2:18">
      <c r="B60" s="2" t="s">
        <v>22</v>
      </c>
      <c r="C60" s="2" t="s">
        <v>59</v>
      </c>
      <c r="D60" s="11">
        <f>(98.932*0.07)+98.932</f>
        <v>0</v>
      </c>
      <c r="E60" s="11">
        <f>(98.932*0.10)+98.932</f>
        <v>0</v>
      </c>
      <c r="F60" s="11">
        <f>(98.932*0.15)+98.932</f>
        <v>0</v>
      </c>
      <c r="G60" s="11">
        <f>(98.932*0.20)+98.932</f>
        <v>0</v>
      </c>
      <c r="H60" s="22">
        <v>-5.77</v>
      </c>
      <c r="I60" s="22">
        <v>-24.88</v>
      </c>
      <c r="J60" s="22">
        <v>-9.17</v>
      </c>
      <c r="K60" s="22">
        <v>-10.78</v>
      </c>
      <c r="L60" s="22">
        <v>-2.89</v>
      </c>
    </row>
    <row r="61" spans="2:18">
      <c r="B61" s="2" t="s">
        <v>4</v>
      </c>
      <c r="C61" s="2">
        <v>100.36</v>
      </c>
      <c r="D61" s="11">
        <f>(100.36*0.07)+100.36</f>
        <v>0</v>
      </c>
      <c r="E61" s="11">
        <f>(100.36*0.10)+100.36</f>
        <v>0</v>
      </c>
      <c r="F61" s="11">
        <f>(100.36*0.15)+100.36</f>
        <v>0</v>
      </c>
      <c r="G61" s="11">
        <f>(100.36*0.20)+100.36</f>
        <v>0</v>
      </c>
      <c r="H61" s="22">
        <v>-4.41</v>
      </c>
      <c r="I61" s="22">
        <v>-23.8</v>
      </c>
      <c r="J61" s="22">
        <v>-7.86</v>
      </c>
      <c r="K61" s="22">
        <v>-9.49</v>
      </c>
      <c r="L61" s="22">
        <v>-1.49</v>
      </c>
      <c r="N61" s="7" t="s">
        <v>25</v>
      </c>
      <c r="O61" s="21">
        <v>-34.26</v>
      </c>
      <c r="P61" s="21">
        <v>-7.86</v>
      </c>
      <c r="Q61" s="9" t="s">
        <v>26</v>
      </c>
    </row>
    <row r="63" spans="2:18">
      <c r="N63" s="4" t="s">
        <v>62</v>
      </c>
      <c r="O63" s="4"/>
      <c r="P63" s="4"/>
      <c r="Q63" s="5" t="s">
        <v>55</v>
      </c>
      <c r="R63" s="5">
        <v>443.54</v>
      </c>
    </row>
    <row r="65" spans="1:18">
      <c r="N65" s="7" t="s">
        <v>25</v>
      </c>
      <c r="O65" s="21">
        <v>-42.1</v>
      </c>
      <c r="P65" s="21">
        <v>-9.49</v>
      </c>
      <c r="Q65" s="9" t="s">
        <v>26</v>
      </c>
    </row>
    <row r="67" spans="1:18">
      <c r="N67" s="4" t="s">
        <v>63</v>
      </c>
      <c r="O67" s="4"/>
      <c r="P67" s="4"/>
      <c r="Q67" s="5" t="s">
        <v>56</v>
      </c>
      <c r="R67" s="5">
        <v>509.4</v>
      </c>
    </row>
    <row r="69" spans="1:18">
      <c r="N69" s="7" t="s">
        <v>25</v>
      </c>
      <c r="O69" s="21">
        <v>-7.61</v>
      </c>
      <c r="P69" s="21">
        <v>-1.49</v>
      </c>
      <c r="Q69" s="9" t="s">
        <v>26</v>
      </c>
    </row>
    <row r="73" spans="1:18">
      <c r="P73" s="7" t="s">
        <v>27</v>
      </c>
      <c r="Q73" s="23">
        <v>-301.99</v>
      </c>
    </row>
    <row r="76" spans="1:18">
      <c r="Q76" s="14" t="s">
        <v>28</v>
      </c>
      <c r="R76" s="15">
        <v>4015.31</v>
      </c>
    </row>
    <row r="77" spans="1:18">
      <c r="Q77" s="16"/>
      <c r="R77" s="17"/>
    </row>
    <row r="78" spans="1:18">
      <c r="Q78" s="18" t="s">
        <v>29</v>
      </c>
      <c r="R78" s="24">
        <v>-301.99</v>
      </c>
    </row>
    <row r="80" spans="1:18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4" spans="1:18">
      <c r="C84" s="1" t="s">
        <v>64</v>
      </c>
      <c r="D84" s="1" t="s">
        <v>65</v>
      </c>
    </row>
    <row r="85" spans="1:18">
      <c r="B85" s="2" t="s">
        <v>66</v>
      </c>
      <c r="C85" s="2" t="s">
        <v>67</v>
      </c>
      <c r="D85" s="3">
        <v>141.43</v>
      </c>
    </row>
    <row r="86" spans="1:18">
      <c r="B86" s="2" t="s">
        <v>68</v>
      </c>
      <c r="C86" s="2" t="s">
        <v>69</v>
      </c>
      <c r="D86" s="3">
        <v>140.95</v>
      </c>
    </row>
    <row r="87" spans="1:18">
      <c r="B87" s="2" t="s">
        <v>68</v>
      </c>
      <c r="C87" s="2" t="s">
        <v>70</v>
      </c>
      <c r="D87" s="3">
        <v>138.5</v>
      </c>
      <c r="L87" s="4" t="s">
        <v>89</v>
      </c>
      <c r="M87" s="4"/>
      <c r="N87" s="4"/>
      <c r="O87" s="5" t="s">
        <v>13</v>
      </c>
      <c r="P87" s="5">
        <v>1414.3</v>
      </c>
    </row>
    <row r="88" spans="1:18">
      <c r="B88" s="6" t="s">
        <v>71</v>
      </c>
      <c r="C88" s="2" t="s">
        <v>4</v>
      </c>
      <c r="D88" s="3">
        <v>420.88</v>
      </c>
    </row>
    <row r="89" spans="1:18">
      <c r="L89" s="7" t="s">
        <v>25</v>
      </c>
      <c r="M89" s="8">
        <v>193.7</v>
      </c>
      <c r="N89" s="8">
        <v>13.7</v>
      </c>
      <c r="O89" s="9" t="s">
        <v>26</v>
      </c>
    </row>
    <row r="90" spans="1:18">
      <c r="E90" s="3" t="s">
        <v>5</v>
      </c>
      <c r="F90" s="3">
        <v>140.79</v>
      </c>
    </row>
    <row r="91" spans="1:18">
      <c r="L91" s="4" t="s">
        <v>90</v>
      </c>
      <c r="M91" s="4"/>
      <c r="N91" s="4"/>
      <c r="O91" s="5" t="s">
        <v>37</v>
      </c>
      <c r="P91" s="5">
        <v>422.85</v>
      </c>
    </row>
    <row r="92" spans="1:18">
      <c r="C92" s="2" t="s">
        <v>6</v>
      </c>
      <c r="D92" s="2" t="s">
        <v>7</v>
      </c>
      <c r="E92" s="2" t="s">
        <v>8</v>
      </c>
      <c r="F92" s="2" t="s">
        <v>9</v>
      </c>
      <c r="G92" s="2" t="s">
        <v>10</v>
      </c>
      <c r="H92" s="10" t="s">
        <v>13</v>
      </c>
    </row>
    <row r="93" spans="1:18">
      <c r="B93" s="2" t="s">
        <v>67</v>
      </c>
      <c r="C93" s="2" t="s">
        <v>72</v>
      </c>
      <c r="D93" s="11">
        <f>(149.64*0.07)+149.64</f>
        <v>0</v>
      </c>
      <c r="E93" s="11">
        <f>(149.64*0.10)+149.64</f>
        <v>0</v>
      </c>
      <c r="F93" s="11">
        <f>(149.64*0.15)+149.64</f>
        <v>0</v>
      </c>
      <c r="G93" s="11">
        <f>(149.64*0.20)+149.64</f>
        <v>0</v>
      </c>
      <c r="H93" s="12">
        <v>5.8</v>
      </c>
      <c r="L93" s="7" t="s">
        <v>25</v>
      </c>
      <c r="M93" s="8">
        <v>59.55</v>
      </c>
      <c r="N93" s="8">
        <v>14.08</v>
      </c>
      <c r="O93" s="9" t="s">
        <v>26</v>
      </c>
    </row>
    <row r="94" spans="1:18">
      <c r="B94" s="2" t="s">
        <v>73</v>
      </c>
      <c r="C94" s="2" t="s">
        <v>74</v>
      </c>
      <c r="D94" s="11">
        <f>(145.38*0.07)+145.38</f>
        <v>0</v>
      </c>
      <c r="E94" s="11">
        <f>(145.38*0.10)+145.38</f>
        <v>0</v>
      </c>
      <c r="F94" s="11">
        <f>(145.38*0.15)+145.38</f>
        <v>0</v>
      </c>
      <c r="G94" s="11">
        <f>(145.38*0.20)+145.38</f>
        <v>0</v>
      </c>
      <c r="H94" s="12">
        <v>2.79</v>
      </c>
      <c r="I94" s="10" t="s">
        <v>37</v>
      </c>
    </row>
    <row r="95" spans="1:18">
      <c r="B95" s="2" t="s">
        <v>75</v>
      </c>
      <c r="C95" s="2" t="s">
        <v>76</v>
      </c>
      <c r="D95" s="11">
        <f>(132.26*0.07)+132.26</f>
        <v>0</v>
      </c>
      <c r="E95" s="11">
        <f>(132.26*0.10)+132.26</f>
        <v>0</v>
      </c>
      <c r="F95" s="11">
        <f>(132.26*0.15)+132.26</f>
        <v>0</v>
      </c>
      <c r="G95" s="11">
        <f>(132.26*0.20)+132.26</f>
        <v>0</v>
      </c>
      <c r="H95" s="22">
        <v>-6.48</v>
      </c>
      <c r="I95" s="22">
        <v>-6.17</v>
      </c>
      <c r="J95" s="10" t="s">
        <v>54</v>
      </c>
      <c r="L95" s="4" t="s">
        <v>91</v>
      </c>
      <c r="M95" s="4"/>
      <c r="N95" s="4"/>
      <c r="O95" s="5" t="s">
        <v>54</v>
      </c>
      <c r="P95" s="5">
        <v>415.5</v>
      </c>
    </row>
    <row r="96" spans="1:18">
      <c r="B96" s="2" t="s">
        <v>77</v>
      </c>
      <c r="C96" s="2" t="s">
        <v>78</v>
      </c>
      <c r="D96" s="11">
        <f>(136.18*0.07)+136.18</f>
        <v>0</v>
      </c>
      <c r="E96" s="11">
        <f>(136.18*0.10)+136.18</f>
        <v>0</v>
      </c>
      <c r="F96" s="11">
        <f>(136.18*0.15)+136.18</f>
        <v>0</v>
      </c>
      <c r="G96" s="11">
        <f>(136.18*0.20)+136.18</f>
        <v>0</v>
      </c>
      <c r="H96" s="22">
        <v>-3.71</v>
      </c>
      <c r="I96" s="22">
        <v>-3.38</v>
      </c>
      <c r="J96" s="22">
        <v>-1.68</v>
      </c>
    </row>
    <row r="97" spans="1:16">
      <c r="B97" s="2" t="s">
        <v>79</v>
      </c>
      <c r="C97" s="2" t="s">
        <v>80</v>
      </c>
      <c r="D97" s="11">
        <f>(149.70*0.07)+149.70</f>
        <v>0</v>
      </c>
      <c r="E97" s="11">
        <f>(149.70*0.10)+149.70</f>
        <v>0</v>
      </c>
      <c r="F97" s="11">
        <f>(149.70*0.15)+149.70</f>
        <v>0</v>
      </c>
      <c r="G97" s="11">
        <f>(149.70*0.20)+149.70</f>
        <v>0</v>
      </c>
      <c r="H97" s="12">
        <v>5.85</v>
      </c>
      <c r="I97" s="12">
        <v>6.21</v>
      </c>
      <c r="J97" s="12">
        <v>8.09</v>
      </c>
      <c r="L97" s="7" t="s">
        <v>25</v>
      </c>
      <c r="M97" s="8">
        <v>66.90000000000001</v>
      </c>
      <c r="N97" s="8">
        <v>16.1</v>
      </c>
      <c r="O97" s="9" t="s">
        <v>26</v>
      </c>
    </row>
    <row r="98" spans="1:16">
      <c r="B98" s="2" t="s">
        <v>81</v>
      </c>
      <c r="C98" s="2" t="s">
        <v>82</v>
      </c>
      <c r="D98" s="11">
        <f>(130.15*0.07)+130.15</f>
        <v>0</v>
      </c>
      <c r="E98" s="11">
        <f>(130.15*0.10)+130.15</f>
        <v>0</v>
      </c>
      <c r="F98" s="11">
        <f>(130.15*0.15)+130.15</f>
        <v>0</v>
      </c>
      <c r="G98" s="11">
        <f>(130.15*0.20)+130.15</f>
        <v>0</v>
      </c>
      <c r="H98" s="22">
        <v>-7.98</v>
      </c>
      <c r="I98" s="22">
        <v>-7.66</v>
      </c>
      <c r="J98" s="22">
        <v>-6.03</v>
      </c>
    </row>
    <row r="99" spans="1:16">
      <c r="B99" s="2" t="s">
        <v>11</v>
      </c>
      <c r="C99" s="2" t="s">
        <v>83</v>
      </c>
      <c r="D99" s="11">
        <f>(154.5*0.07)+154.5</f>
        <v>0</v>
      </c>
      <c r="E99" s="11">
        <f>(154.5*0.10)+154.5</f>
        <v>0</v>
      </c>
      <c r="F99" s="11">
        <f>(154.5*0.15)+154.5</f>
        <v>0</v>
      </c>
      <c r="G99" s="11">
        <f>(154.5*0.20)+154.5</f>
        <v>0</v>
      </c>
      <c r="H99" s="12">
        <v>9.24</v>
      </c>
      <c r="I99" s="12">
        <v>9.609999999999999</v>
      </c>
      <c r="J99" s="12">
        <v>11.55</v>
      </c>
    </row>
    <row r="100" spans="1:16">
      <c r="B100" s="2" t="s">
        <v>14</v>
      </c>
      <c r="C100" s="2" t="s">
        <v>84</v>
      </c>
      <c r="D100" s="11">
        <f>(151.79*0.07)+151.79</f>
        <v>0</v>
      </c>
      <c r="E100" s="11">
        <f>(151.79*0.10)+151.79</f>
        <v>0</v>
      </c>
      <c r="F100" s="11">
        <f>(151.79*0.15)+151.79</f>
        <v>0</v>
      </c>
      <c r="G100" s="11">
        <f>(151.79*0.20)+151.79</f>
        <v>0</v>
      </c>
      <c r="H100" s="12">
        <v>7.33</v>
      </c>
      <c r="I100" s="12">
        <v>7.69</v>
      </c>
      <c r="J100" s="12">
        <v>9.6</v>
      </c>
    </row>
    <row r="101" spans="1:16">
      <c r="B101" s="2" t="s">
        <v>16</v>
      </c>
      <c r="C101" s="2" t="s">
        <v>85</v>
      </c>
      <c r="D101" s="11">
        <f>(154.99*0.07)+154.99</f>
        <v>0</v>
      </c>
      <c r="E101" s="11">
        <f>(154.99*0.10)+154.99</f>
        <v>0</v>
      </c>
      <c r="F101" s="11">
        <f>(154.99*0.15)+154.99</f>
        <v>0</v>
      </c>
      <c r="G101" s="11">
        <f>(154.99*0.20)+154.99</f>
        <v>0</v>
      </c>
      <c r="H101" s="12">
        <v>9.59</v>
      </c>
      <c r="I101" s="12">
        <v>9.960000000000001</v>
      </c>
      <c r="J101" s="12">
        <v>11.91</v>
      </c>
      <c r="N101" s="7" t="s">
        <v>27</v>
      </c>
      <c r="O101" s="13">
        <v>320.15</v>
      </c>
    </row>
    <row r="102" spans="1:16">
      <c r="B102" s="2" t="s">
        <v>18</v>
      </c>
      <c r="C102" s="2" t="s">
        <v>86</v>
      </c>
      <c r="D102" s="11">
        <f>(151.85*0.07)+151.85</f>
        <v>0</v>
      </c>
      <c r="E102" s="11">
        <f>(151.85*0.10)+151.85</f>
        <v>0</v>
      </c>
      <c r="F102" s="11">
        <f>(151.85*0.15)+151.85</f>
        <v>0</v>
      </c>
      <c r="G102" s="11">
        <f>(151.85*0.20)+151.85</f>
        <v>0</v>
      </c>
      <c r="H102" s="12">
        <v>7.37</v>
      </c>
      <c r="I102" s="12">
        <v>7.73</v>
      </c>
      <c r="J102" s="12">
        <v>9.640000000000001</v>
      </c>
    </row>
    <row r="103" spans="1:16">
      <c r="B103" s="2" t="s">
        <v>20</v>
      </c>
      <c r="C103" s="2" t="s">
        <v>87</v>
      </c>
      <c r="D103" s="11">
        <f>(151.92*0.07)+151.92</f>
        <v>0</v>
      </c>
      <c r="E103" s="11">
        <f>(151.92*0.10)+151.92</f>
        <v>0</v>
      </c>
      <c r="F103" s="11">
        <f>(151.92*0.15)+151.92</f>
        <v>0</v>
      </c>
      <c r="G103" s="11">
        <f>(151.92*0.20)+151.92</f>
        <v>0</v>
      </c>
      <c r="H103" s="12">
        <v>7.42</v>
      </c>
      <c r="I103" s="12">
        <v>7.78</v>
      </c>
      <c r="J103" s="12">
        <v>9.69</v>
      </c>
    </row>
    <row r="104" spans="1:16">
      <c r="B104" s="2" t="s">
        <v>22</v>
      </c>
      <c r="C104" s="2" t="s">
        <v>88</v>
      </c>
      <c r="D104" s="11">
        <f>(153.74*0.07)+153.74</f>
        <v>0</v>
      </c>
      <c r="E104" s="11">
        <f>(153.74*0.10)+153.74</f>
        <v>0</v>
      </c>
      <c r="F104" s="11">
        <f>(153.74*0.15)+153.74</f>
        <v>0</v>
      </c>
      <c r="G104" s="11">
        <f>(153.74*0.20)+153.74</f>
        <v>0</v>
      </c>
      <c r="H104" s="12">
        <v>8.699999999999999</v>
      </c>
      <c r="I104" s="12">
        <v>9.07</v>
      </c>
      <c r="J104" s="12">
        <v>11</v>
      </c>
      <c r="O104" s="14" t="s">
        <v>28</v>
      </c>
      <c r="P104" s="15">
        <v>2252.65</v>
      </c>
    </row>
    <row r="105" spans="1:16">
      <c r="B105" s="2" t="s">
        <v>4</v>
      </c>
      <c r="C105" s="2">
        <v>160.8</v>
      </c>
      <c r="D105" s="11">
        <f>(160.8*0.07)+160.8</f>
        <v>0</v>
      </c>
      <c r="E105" s="11">
        <f>(160.8*0.10)+160.8</f>
        <v>0</v>
      </c>
      <c r="F105" s="11">
        <f>(160.8*0.15)+160.8</f>
        <v>0</v>
      </c>
      <c r="G105" s="11">
        <f>(160.8*0.20)+160.8</f>
        <v>0</v>
      </c>
      <c r="H105" s="12">
        <v>13.7</v>
      </c>
      <c r="I105" s="12">
        <v>14.08</v>
      </c>
      <c r="J105" s="12">
        <v>16.1</v>
      </c>
      <c r="O105" s="16"/>
      <c r="P105" s="17"/>
    </row>
    <row r="106" spans="1:16">
      <c r="O106" s="18" t="s">
        <v>29</v>
      </c>
      <c r="P106" s="19">
        <v>320.15</v>
      </c>
    </row>
    <row r="108" spans="1:16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 spans="1:16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2" spans="1:16">
      <c r="C112" s="1" t="s">
        <v>92</v>
      </c>
      <c r="D112" s="1" t="s">
        <v>93</v>
      </c>
    </row>
    <row r="113" spans="1:14">
      <c r="B113" s="2" t="s">
        <v>94</v>
      </c>
      <c r="C113" s="2" t="s">
        <v>95</v>
      </c>
      <c r="D113" s="3">
        <v>35.25</v>
      </c>
      <c r="J113" s="4" t="s">
        <v>102</v>
      </c>
      <c r="K113" s="4"/>
      <c r="L113" s="4"/>
      <c r="M113" s="5" t="s">
        <v>13</v>
      </c>
      <c r="N113" s="5">
        <v>528.72</v>
      </c>
    </row>
    <row r="114" spans="1:14">
      <c r="B114" s="6" t="s">
        <v>94</v>
      </c>
      <c r="C114" s="2" t="s">
        <v>4</v>
      </c>
      <c r="D114" s="3">
        <v>35.25</v>
      </c>
    </row>
    <row r="115" spans="1:14">
      <c r="J115" s="7" t="s">
        <v>25</v>
      </c>
      <c r="K115" s="21">
        <v>-115.47</v>
      </c>
      <c r="L115" s="21">
        <v>-21.84</v>
      </c>
      <c r="M115" s="9" t="s">
        <v>26</v>
      </c>
    </row>
    <row r="116" spans="1:14">
      <c r="E116" s="3" t="s">
        <v>5</v>
      </c>
      <c r="F116" s="3">
        <v>35.25</v>
      </c>
    </row>
    <row r="118" spans="1:14">
      <c r="C118" s="2" t="s">
        <v>6</v>
      </c>
      <c r="D118" s="2" t="s">
        <v>7</v>
      </c>
      <c r="E118" s="2" t="s">
        <v>8</v>
      </c>
      <c r="F118" s="2" t="s">
        <v>9</v>
      </c>
      <c r="G118" s="2" t="s">
        <v>10</v>
      </c>
      <c r="H118" s="10" t="s">
        <v>13</v>
      </c>
    </row>
    <row r="119" spans="1:14">
      <c r="B119" s="2" t="s">
        <v>11</v>
      </c>
      <c r="C119" s="2" t="s">
        <v>96</v>
      </c>
      <c r="D119" s="11">
        <f>(36.43*0.07)+36.43</f>
        <v>0</v>
      </c>
      <c r="E119" s="11">
        <f>(36.43*0.10)+36.43</f>
        <v>0</v>
      </c>
      <c r="F119" s="11">
        <f>(36.43*0.15)+36.43</f>
        <v>0</v>
      </c>
      <c r="G119" s="11">
        <f>(36.43*0.20)+36.43</f>
        <v>0</v>
      </c>
      <c r="H119" s="12">
        <v>3.35</v>
      </c>
      <c r="L119" s="7" t="s">
        <v>27</v>
      </c>
      <c r="M119" s="23">
        <v>-115.47</v>
      </c>
    </row>
    <row r="120" spans="1:14">
      <c r="B120" s="2" t="s">
        <v>14</v>
      </c>
      <c r="C120" s="2" t="s">
        <v>97</v>
      </c>
      <c r="D120" s="11">
        <f>(36.355*0.07)+36.355</f>
        <v>0</v>
      </c>
      <c r="E120" s="11">
        <f>(36.355*0.10)+36.355</f>
        <v>0</v>
      </c>
      <c r="F120" s="11">
        <f>(36.355*0.15)+36.355</f>
        <v>0</v>
      </c>
      <c r="G120" s="11">
        <f>(36.355*0.20)+36.355</f>
        <v>0</v>
      </c>
      <c r="H120" s="12">
        <v>3.14</v>
      </c>
    </row>
    <row r="121" spans="1:14">
      <c r="B121" s="2" t="s">
        <v>16</v>
      </c>
      <c r="C121" s="2" t="s">
        <v>98</v>
      </c>
      <c r="D121" s="11">
        <f>(36.975*0.07)+36.975</f>
        <v>0</v>
      </c>
      <c r="E121" s="11">
        <f>(36.975*0.10)+36.975</f>
        <v>0</v>
      </c>
      <c r="F121" s="11">
        <f>(36.975*0.15)+36.975</f>
        <v>0</v>
      </c>
      <c r="G121" s="11">
        <f>(36.975*0.20)+36.975</f>
        <v>0</v>
      </c>
      <c r="H121" s="12">
        <v>4.9</v>
      </c>
    </row>
    <row r="122" spans="1:14">
      <c r="B122" s="2" t="s">
        <v>18</v>
      </c>
      <c r="C122" s="2" t="s">
        <v>99</v>
      </c>
      <c r="D122" s="11">
        <f>(36.565*0.07)+36.565</f>
        <v>0</v>
      </c>
      <c r="E122" s="11">
        <f>(36.565*0.10)+36.565</f>
        <v>0</v>
      </c>
      <c r="F122" s="11">
        <f>(36.565*0.15)+36.565</f>
        <v>0</v>
      </c>
      <c r="G122" s="11">
        <f>(36.565*0.20)+36.565</f>
        <v>0</v>
      </c>
      <c r="H122" s="12">
        <v>3.74</v>
      </c>
      <c r="M122" s="14" t="s">
        <v>28</v>
      </c>
      <c r="N122" s="15">
        <v>528.72</v>
      </c>
    </row>
    <row r="123" spans="1:14">
      <c r="B123" s="2" t="s">
        <v>20</v>
      </c>
      <c r="C123" s="2" t="s">
        <v>100</v>
      </c>
      <c r="D123" s="11">
        <f>(36.5*0.07)+36.5</f>
        <v>0</v>
      </c>
      <c r="E123" s="11">
        <f>(36.5*0.10)+36.5</f>
        <v>0</v>
      </c>
      <c r="F123" s="11">
        <f>(36.5*0.15)+36.5</f>
        <v>0</v>
      </c>
      <c r="G123" s="11">
        <f>(36.5*0.20)+36.5</f>
        <v>0</v>
      </c>
      <c r="H123" s="12">
        <v>3.55</v>
      </c>
      <c r="M123" s="16"/>
      <c r="N123" s="17"/>
    </row>
    <row r="124" spans="1:14">
      <c r="B124" s="2" t="s">
        <v>22</v>
      </c>
      <c r="C124" s="2" t="s">
        <v>101</v>
      </c>
      <c r="D124" s="11">
        <f>(35.625*0.07)+35.625</f>
        <v>0</v>
      </c>
      <c r="E124" s="11">
        <f>(35.625*0.10)+35.625</f>
        <v>0</v>
      </c>
      <c r="F124" s="11">
        <f>(35.625*0.15)+35.625</f>
        <v>0</v>
      </c>
      <c r="G124" s="11">
        <f>(35.625*0.20)+35.625</f>
        <v>0</v>
      </c>
      <c r="H124" s="12">
        <v>1.07</v>
      </c>
      <c r="M124" s="18" t="s">
        <v>29</v>
      </c>
      <c r="N124" s="24">
        <v>-115.47</v>
      </c>
    </row>
    <row r="125" spans="1:14">
      <c r="B125" s="2" t="s">
        <v>4</v>
      </c>
      <c r="C125" s="2">
        <v>27.55</v>
      </c>
      <c r="D125" s="11">
        <f>(27.55*0.07)+27.55</f>
        <v>0</v>
      </c>
      <c r="E125" s="11">
        <f>(27.55*0.10)+27.55</f>
        <v>0</v>
      </c>
      <c r="F125" s="11">
        <f>(27.55*0.15)+27.55</f>
        <v>0</v>
      </c>
      <c r="G125" s="11">
        <f>(27.55*0.20)+27.55</f>
        <v>0</v>
      </c>
      <c r="H125" s="22">
        <v>-21.84</v>
      </c>
    </row>
    <row r="128" spans="1:14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</row>
    <row r="129" spans="1:16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</row>
    <row r="132" spans="1:16">
      <c r="C132" s="1" t="s">
        <v>103</v>
      </c>
      <c r="D132" s="1" t="s">
        <v>104</v>
      </c>
    </row>
    <row r="133" spans="1:16">
      <c r="B133" s="2" t="s">
        <v>52</v>
      </c>
      <c r="C133" s="2" t="s">
        <v>105</v>
      </c>
      <c r="D133" s="3">
        <v>13.43</v>
      </c>
    </row>
    <row r="134" spans="1:16">
      <c r="B134" s="2" t="s">
        <v>106</v>
      </c>
      <c r="C134" s="2" t="s">
        <v>107</v>
      </c>
      <c r="D134" s="3">
        <v>10.42</v>
      </c>
    </row>
    <row r="135" spans="1:16">
      <c r="B135" s="2" t="s">
        <v>106</v>
      </c>
      <c r="C135" s="2" t="s">
        <v>49</v>
      </c>
      <c r="D135" s="3">
        <v>9.73</v>
      </c>
      <c r="L135" s="4" t="s">
        <v>115</v>
      </c>
      <c r="M135" s="4"/>
      <c r="N135" s="4"/>
      <c r="O135" s="5" t="s">
        <v>13</v>
      </c>
      <c r="P135" s="5">
        <v>496.91</v>
      </c>
    </row>
    <row r="136" spans="1:16">
      <c r="B136" s="6" t="s">
        <v>108</v>
      </c>
      <c r="C136" s="2" t="s">
        <v>4</v>
      </c>
      <c r="D136" s="3">
        <v>33.58</v>
      </c>
    </row>
    <row r="137" spans="1:16">
      <c r="L137" s="7" t="s">
        <v>25</v>
      </c>
      <c r="M137" s="21">
        <v>-151.33</v>
      </c>
      <c r="N137" s="21">
        <v>-30.45</v>
      </c>
      <c r="O137" s="9" t="s">
        <v>26</v>
      </c>
    </row>
    <row r="138" spans="1:16">
      <c r="E138" s="3" t="s">
        <v>5</v>
      </c>
      <c r="F138" s="3">
        <v>10.98</v>
      </c>
    </row>
    <row r="139" spans="1:16">
      <c r="L139" s="4" t="s">
        <v>116</v>
      </c>
      <c r="M139" s="4"/>
      <c r="N139" s="4"/>
      <c r="O139" s="5" t="s">
        <v>37</v>
      </c>
      <c r="P139" s="5">
        <v>521</v>
      </c>
    </row>
    <row r="140" spans="1:16">
      <c r="C140" s="2" t="s">
        <v>6</v>
      </c>
      <c r="D140" s="2" t="s">
        <v>7</v>
      </c>
      <c r="E140" s="2" t="s">
        <v>8</v>
      </c>
      <c r="F140" s="2" t="s">
        <v>9</v>
      </c>
      <c r="G140" s="2" t="s">
        <v>10</v>
      </c>
      <c r="H140" s="10" t="s">
        <v>13</v>
      </c>
      <c r="I140" s="10" t="s">
        <v>37</v>
      </c>
      <c r="J140" s="10" t="s">
        <v>54</v>
      </c>
    </row>
    <row r="141" spans="1:16">
      <c r="B141" s="2" t="s">
        <v>11</v>
      </c>
      <c r="C141" s="2" t="s">
        <v>109</v>
      </c>
      <c r="D141" s="11">
        <f>(11.8*0.07)+11.8</f>
        <v>0</v>
      </c>
      <c r="E141" s="11">
        <f>(11.8*0.10)+11.8</f>
        <v>0</v>
      </c>
      <c r="F141" s="11">
        <f>(11.8*0.15)+11.8</f>
        <v>0</v>
      </c>
      <c r="G141" s="11">
        <f>(11.8*0.20)+11.8</f>
        <v>0</v>
      </c>
      <c r="H141" s="22">
        <v>-12.14</v>
      </c>
      <c r="I141" s="12">
        <v>13.24</v>
      </c>
      <c r="J141" s="12">
        <v>21.26</v>
      </c>
      <c r="L141" s="7" t="s">
        <v>25</v>
      </c>
      <c r="M141" s="21">
        <v>-54</v>
      </c>
      <c r="N141" s="21">
        <v>-10.36</v>
      </c>
      <c r="O141" s="9" t="s">
        <v>26</v>
      </c>
    </row>
    <row r="142" spans="1:16">
      <c r="B142" s="2" t="s">
        <v>14</v>
      </c>
      <c r="C142" s="2" t="s">
        <v>110</v>
      </c>
      <c r="D142" s="11">
        <f>(11.715*0.07)+11.715</f>
        <v>0</v>
      </c>
      <c r="E142" s="11">
        <f>(11.715*0.10)+11.715</f>
        <v>0</v>
      </c>
      <c r="F142" s="11">
        <f>(11.715*0.15)+11.715</f>
        <v>0</v>
      </c>
      <c r="G142" s="11">
        <f>(11.715*0.20)+11.715</f>
        <v>0</v>
      </c>
      <c r="H142" s="22">
        <v>-12.77</v>
      </c>
      <c r="I142" s="12">
        <v>12.43</v>
      </c>
      <c r="J142" s="12">
        <v>20.39</v>
      </c>
    </row>
    <row r="143" spans="1:16">
      <c r="B143" s="2" t="s">
        <v>16</v>
      </c>
      <c r="C143" s="2" t="s">
        <v>111</v>
      </c>
      <c r="D143" s="11">
        <f>(12.1*0.07)+12.1</f>
        <v>0</v>
      </c>
      <c r="E143" s="11">
        <f>(12.1*0.10)+12.1</f>
        <v>0</v>
      </c>
      <c r="F143" s="11">
        <f>(12.1*0.15)+12.1</f>
        <v>0</v>
      </c>
      <c r="G143" s="11">
        <f>(12.1*0.20)+12.1</f>
        <v>0</v>
      </c>
      <c r="H143" s="22">
        <v>-9.9</v>
      </c>
      <c r="I143" s="12">
        <v>16.12</v>
      </c>
      <c r="J143" s="12">
        <v>24.34</v>
      </c>
      <c r="L143" s="4" t="s">
        <v>62</v>
      </c>
      <c r="M143" s="4"/>
      <c r="N143" s="4"/>
      <c r="O143" s="5" t="s">
        <v>54</v>
      </c>
      <c r="P143" s="5">
        <v>486.55</v>
      </c>
    </row>
    <row r="144" spans="1:16">
      <c r="B144" s="2" t="s">
        <v>18</v>
      </c>
      <c r="C144" s="2" t="s">
        <v>112</v>
      </c>
      <c r="D144" s="11">
        <f>(11.915*0.07)+11.915</f>
        <v>0</v>
      </c>
      <c r="E144" s="11">
        <f>(11.915*0.10)+11.915</f>
        <v>0</v>
      </c>
      <c r="F144" s="11">
        <f>(11.915*0.15)+11.915</f>
        <v>0</v>
      </c>
      <c r="G144" s="11">
        <f>(11.915*0.20)+11.915</f>
        <v>0</v>
      </c>
      <c r="H144" s="22">
        <v>-11.28</v>
      </c>
      <c r="I144" s="12">
        <v>14.35</v>
      </c>
      <c r="J144" s="12">
        <v>22.44</v>
      </c>
    </row>
    <row r="145" spans="1:16">
      <c r="B145" s="2" t="s">
        <v>20</v>
      </c>
      <c r="C145" s="2" t="s">
        <v>113</v>
      </c>
      <c r="D145" s="11">
        <f>(11.87*0.07)+11.87</f>
        <v>0</v>
      </c>
      <c r="E145" s="11">
        <f>(11.87*0.10)+11.87</f>
        <v>0</v>
      </c>
      <c r="F145" s="11">
        <f>(11.87*0.15)+11.87</f>
        <v>0</v>
      </c>
      <c r="G145" s="11">
        <f>(11.87*0.20)+11.87</f>
        <v>0</v>
      </c>
      <c r="H145" s="22">
        <v>-11.62</v>
      </c>
      <c r="I145" s="12">
        <v>13.92</v>
      </c>
      <c r="J145" s="12">
        <v>21.98</v>
      </c>
      <c r="L145" s="7" t="s">
        <v>25</v>
      </c>
      <c r="M145" s="21">
        <v>-19.55</v>
      </c>
      <c r="N145" s="21">
        <v>-4.02</v>
      </c>
      <c r="O145" s="9" t="s">
        <v>26</v>
      </c>
    </row>
    <row r="146" spans="1:16">
      <c r="B146" s="2" t="s">
        <v>22</v>
      </c>
      <c r="C146" s="2" t="s">
        <v>114</v>
      </c>
      <c r="D146" s="11">
        <f>(11.561*0.07)+11.561</f>
        <v>0</v>
      </c>
      <c r="E146" s="11">
        <f>(11.561*0.10)+11.561</f>
        <v>0</v>
      </c>
      <c r="F146" s="11">
        <f>(11.561*0.15)+11.561</f>
        <v>0</v>
      </c>
      <c r="G146" s="11">
        <f>(11.561*0.20)+11.561</f>
        <v>0</v>
      </c>
      <c r="H146" s="22">
        <v>-13.92</v>
      </c>
      <c r="I146" s="12">
        <v>10.95</v>
      </c>
      <c r="J146" s="12">
        <v>18.81</v>
      </c>
    </row>
    <row r="147" spans="1:16">
      <c r="B147" s="2" t="s">
        <v>4</v>
      </c>
      <c r="C147" s="2">
        <v>9.34</v>
      </c>
      <c r="D147" s="11">
        <f>(9.34*0.07)+9.34</f>
        <v>0</v>
      </c>
      <c r="E147" s="11">
        <f>(9.34*0.10)+9.34</f>
        <v>0</v>
      </c>
      <c r="F147" s="11">
        <f>(9.34*0.15)+9.34</f>
        <v>0</v>
      </c>
      <c r="G147" s="11">
        <f>(9.34*0.20)+9.34</f>
        <v>0</v>
      </c>
      <c r="H147" s="22">
        <v>-30.45</v>
      </c>
      <c r="I147" s="22">
        <v>-10.36</v>
      </c>
      <c r="J147" s="22">
        <v>-4.02</v>
      </c>
    </row>
    <row r="149" spans="1:16">
      <c r="N149" s="7" t="s">
        <v>27</v>
      </c>
      <c r="O149" s="23">
        <v>-224.88</v>
      </c>
    </row>
    <row r="152" spans="1:16">
      <c r="O152" s="14" t="s">
        <v>28</v>
      </c>
      <c r="P152" s="15">
        <v>1504.46</v>
      </c>
    </row>
    <row r="153" spans="1:16">
      <c r="O153" s="16"/>
      <c r="P153" s="17"/>
    </row>
    <row r="154" spans="1:16">
      <c r="O154" s="18" t="s">
        <v>29</v>
      </c>
      <c r="P154" s="24">
        <v>-224.88</v>
      </c>
    </row>
    <row r="156" spans="1:1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 spans="1:16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60" spans="1:16">
      <c r="C160" s="1" t="s">
        <v>117</v>
      </c>
      <c r="D160" s="1" t="s">
        <v>118</v>
      </c>
    </row>
    <row r="161" spans="2:17">
      <c r="B161" s="2" t="s">
        <v>119</v>
      </c>
      <c r="C161" s="2" t="s">
        <v>107</v>
      </c>
      <c r="D161" s="3">
        <v>48.05</v>
      </c>
    </row>
    <row r="162" spans="2:17">
      <c r="B162" s="2" t="s">
        <v>119</v>
      </c>
      <c r="C162" s="2" t="s">
        <v>49</v>
      </c>
      <c r="D162" s="3">
        <v>47.81</v>
      </c>
    </row>
    <row r="163" spans="2:17">
      <c r="B163" s="2" t="s">
        <v>50</v>
      </c>
      <c r="C163" s="2" t="s">
        <v>48</v>
      </c>
      <c r="D163" s="3">
        <v>55.6</v>
      </c>
    </row>
    <row r="164" spans="2:17">
      <c r="B164" s="2" t="s">
        <v>66</v>
      </c>
      <c r="C164" s="2" t="s">
        <v>120</v>
      </c>
      <c r="D164" s="3">
        <v>55.27</v>
      </c>
      <c r="M164" s="4" t="s">
        <v>116</v>
      </c>
      <c r="N164" s="4"/>
      <c r="O164" s="4"/>
      <c r="P164" s="5" t="s">
        <v>13</v>
      </c>
      <c r="Q164" s="5">
        <v>528.58</v>
      </c>
    </row>
    <row r="165" spans="2:17">
      <c r="B165" s="6" t="s">
        <v>52</v>
      </c>
      <c r="C165" s="2" t="s">
        <v>4</v>
      </c>
      <c r="D165" s="3">
        <v>206.74</v>
      </c>
    </row>
    <row r="166" spans="2:17">
      <c r="M166" s="7" t="s">
        <v>25</v>
      </c>
      <c r="N166" s="21">
        <v>-40.51</v>
      </c>
      <c r="O166" s="21">
        <v>-7.66</v>
      </c>
      <c r="P166" s="9" t="s">
        <v>26</v>
      </c>
    </row>
    <row r="167" spans="2:17">
      <c r="E167" s="3" t="s">
        <v>5</v>
      </c>
      <c r="F167" s="3">
        <v>50.95</v>
      </c>
    </row>
    <row r="168" spans="2:17">
      <c r="M168" s="4" t="s">
        <v>62</v>
      </c>
      <c r="N168" s="4"/>
      <c r="O168" s="4"/>
      <c r="P168" s="5" t="s">
        <v>37</v>
      </c>
      <c r="Q168" s="5">
        <v>525.9400000000001</v>
      </c>
    </row>
    <row r="169" spans="2:17">
      <c r="C169" s="2" t="s">
        <v>6</v>
      </c>
      <c r="D169" s="2" t="s">
        <v>7</v>
      </c>
      <c r="E169" s="2" t="s">
        <v>8</v>
      </c>
      <c r="F169" s="2" t="s">
        <v>9</v>
      </c>
      <c r="G169" s="2" t="s">
        <v>10</v>
      </c>
      <c r="H169" s="10" t="s">
        <v>13</v>
      </c>
      <c r="I169" s="10" t="s">
        <v>37</v>
      </c>
      <c r="J169" s="10" t="s">
        <v>54</v>
      </c>
      <c r="K169" s="10" t="s">
        <v>55</v>
      </c>
    </row>
    <row r="170" spans="2:17">
      <c r="B170" s="2" t="s">
        <v>11</v>
      </c>
      <c r="C170" s="2" t="s">
        <v>121</v>
      </c>
      <c r="D170" s="11">
        <f>(50.95*0.07)+50.95</f>
        <v>0</v>
      </c>
      <c r="E170" s="11">
        <f>(50.95*0.10)+50.95</f>
        <v>0</v>
      </c>
      <c r="F170" s="11">
        <f>(50.95*0.15)+50.95</f>
        <v>0</v>
      </c>
      <c r="G170" s="11">
        <f>(50.95*0.20)+50.95</f>
        <v>0</v>
      </c>
      <c r="H170" s="12">
        <v>6.03</v>
      </c>
      <c r="I170" s="12">
        <v>6.56</v>
      </c>
      <c r="J170" s="22">
        <v>-8.369999999999999</v>
      </c>
      <c r="K170" s="22">
        <v>-7.81</v>
      </c>
      <c r="M170" s="7" t="s">
        <v>25</v>
      </c>
      <c r="N170" s="21">
        <v>-37.87</v>
      </c>
      <c r="O170" s="21">
        <v>-7.2</v>
      </c>
      <c r="P170" s="9" t="s">
        <v>26</v>
      </c>
    </row>
    <row r="171" spans="2:17">
      <c r="B171" s="2" t="s">
        <v>14</v>
      </c>
      <c r="C171" s="2" t="s">
        <v>122</v>
      </c>
      <c r="D171" s="11">
        <f>(50.86*0.07)+50.86</f>
        <v>0</v>
      </c>
      <c r="E171" s="11">
        <f>(50.86*0.10)+50.86</f>
        <v>0</v>
      </c>
      <c r="F171" s="11">
        <f>(50.86*0.15)+50.86</f>
        <v>0</v>
      </c>
      <c r="G171" s="11">
        <f>(50.86*0.20)+50.86</f>
        <v>0</v>
      </c>
      <c r="H171" s="12">
        <v>5.84</v>
      </c>
      <c r="I171" s="12">
        <v>6.37</v>
      </c>
      <c r="J171" s="22">
        <v>-8.529999999999999</v>
      </c>
      <c r="K171" s="22">
        <v>-7.97</v>
      </c>
    </row>
    <row r="172" spans="2:17">
      <c r="B172" s="2" t="s">
        <v>16</v>
      </c>
      <c r="C172" s="2" t="s">
        <v>123</v>
      </c>
      <c r="D172" s="11">
        <f>(51.72*0.07)+51.72</f>
        <v>0</v>
      </c>
      <c r="E172" s="11">
        <f>(51.72*0.10)+51.72</f>
        <v>0</v>
      </c>
      <c r="F172" s="11">
        <f>(51.72*0.15)+51.72</f>
        <v>0</v>
      </c>
      <c r="G172" s="11">
        <f>(51.72*0.20)+51.72</f>
        <v>0</v>
      </c>
      <c r="H172" s="12">
        <v>7.63</v>
      </c>
      <c r="I172" s="12">
        <v>8.17</v>
      </c>
      <c r="J172" s="22">
        <v>-6.99</v>
      </c>
      <c r="K172" s="22">
        <v>-6.41</v>
      </c>
      <c r="M172" s="4" t="s">
        <v>61</v>
      </c>
      <c r="N172" s="4"/>
      <c r="O172" s="4"/>
      <c r="P172" s="5" t="s">
        <v>54</v>
      </c>
      <c r="Q172" s="5">
        <v>278.02</v>
      </c>
    </row>
    <row r="173" spans="2:17">
      <c r="B173" s="2" t="s">
        <v>18</v>
      </c>
      <c r="C173" s="2" t="s">
        <v>124</v>
      </c>
      <c r="D173" s="11">
        <f>(50.99*0.07)+50.99</f>
        <v>0</v>
      </c>
      <c r="E173" s="11">
        <f>(50.99*0.10)+50.99</f>
        <v>0</v>
      </c>
      <c r="F173" s="11">
        <f>(50.99*0.15)+50.99</f>
        <v>0</v>
      </c>
      <c r="G173" s="11">
        <f>(50.99*0.20)+50.99</f>
        <v>0</v>
      </c>
      <c r="H173" s="12">
        <v>6.11</v>
      </c>
      <c r="I173" s="12">
        <v>6.64</v>
      </c>
      <c r="J173" s="22">
        <v>-8.300000000000001</v>
      </c>
      <c r="K173" s="22">
        <v>-7.74</v>
      </c>
    </row>
    <row r="174" spans="2:17">
      <c r="B174" s="2" t="s">
        <v>20</v>
      </c>
      <c r="C174" s="2" t="s">
        <v>125</v>
      </c>
      <c r="D174" s="11">
        <f>(51.15*0.07)+51.15</f>
        <v>0</v>
      </c>
      <c r="E174" s="11">
        <f>(51.15*0.10)+51.15</f>
        <v>0</v>
      </c>
      <c r="F174" s="11">
        <f>(51.15*0.15)+51.15</f>
        <v>0</v>
      </c>
      <c r="G174" s="11">
        <f>(51.15*0.20)+51.15</f>
        <v>0</v>
      </c>
      <c r="H174" s="12">
        <v>6.44</v>
      </c>
      <c r="I174" s="12">
        <v>6.98</v>
      </c>
      <c r="J174" s="22">
        <v>-8.01</v>
      </c>
      <c r="K174" s="22">
        <v>-7.45</v>
      </c>
      <c r="M174" s="7" t="s">
        <v>25</v>
      </c>
      <c r="N174" s="21">
        <v>-56.17</v>
      </c>
      <c r="O174" s="21">
        <v>-20.2</v>
      </c>
      <c r="P174" s="9" t="s">
        <v>26</v>
      </c>
    </row>
    <row r="175" spans="2:17">
      <c r="B175" s="2" t="s">
        <v>22</v>
      </c>
      <c r="C175" s="2" t="s">
        <v>126</v>
      </c>
      <c r="D175" s="11">
        <f>(50.975*0.07)+50.975</f>
        <v>0</v>
      </c>
      <c r="E175" s="11">
        <f>(50.975*0.10)+50.975</f>
        <v>0</v>
      </c>
      <c r="F175" s="11">
        <f>(50.975*0.15)+50.975</f>
        <v>0</v>
      </c>
      <c r="G175" s="11">
        <f>(50.975*0.20)+50.975</f>
        <v>0</v>
      </c>
      <c r="H175" s="12">
        <v>6.08</v>
      </c>
      <c r="I175" s="12">
        <v>6.61</v>
      </c>
      <c r="J175" s="22">
        <v>-8.32</v>
      </c>
      <c r="K175" s="22">
        <v>-7.76</v>
      </c>
    </row>
    <row r="176" spans="2:17">
      <c r="B176" s="2" t="s">
        <v>4</v>
      </c>
      <c r="C176" s="2">
        <v>44.37</v>
      </c>
      <c r="D176" s="11">
        <f>(44.37*0.07)+44.37</f>
        <v>0</v>
      </c>
      <c r="E176" s="11">
        <f>(44.37*0.10)+44.37</f>
        <v>0</v>
      </c>
      <c r="F176" s="11">
        <f>(44.37*0.15)+44.37</f>
        <v>0</v>
      </c>
      <c r="G176" s="11">
        <f>(44.37*0.20)+44.37</f>
        <v>0</v>
      </c>
      <c r="H176" s="22">
        <v>-7.66</v>
      </c>
      <c r="I176" s="22">
        <v>-7.2</v>
      </c>
      <c r="J176" s="22">
        <v>-20.2</v>
      </c>
      <c r="K176" s="22">
        <v>-19.71</v>
      </c>
      <c r="M176" s="4" t="s">
        <v>127</v>
      </c>
      <c r="N176" s="4"/>
      <c r="O176" s="4"/>
      <c r="P176" s="5" t="s">
        <v>55</v>
      </c>
      <c r="Q176" s="5">
        <v>552.65</v>
      </c>
    </row>
    <row r="178" spans="1:17">
      <c r="M178" s="7" t="s">
        <v>25</v>
      </c>
      <c r="N178" s="21">
        <v>-108.95</v>
      </c>
      <c r="O178" s="21">
        <v>-19.71</v>
      </c>
      <c r="P178" s="9" t="s">
        <v>26</v>
      </c>
    </row>
    <row r="182" spans="1:17">
      <c r="O182" s="7" t="s">
        <v>27</v>
      </c>
      <c r="P182" s="23">
        <v>-243.51</v>
      </c>
    </row>
    <row r="185" spans="1:17">
      <c r="P185" s="14" t="s">
        <v>28</v>
      </c>
      <c r="Q185" s="15">
        <v>1885.2</v>
      </c>
    </row>
    <row r="186" spans="1:17">
      <c r="P186" s="16"/>
      <c r="Q186" s="17"/>
    </row>
    <row r="187" spans="1:17">
      <c r="P187" s="18" t="s">
        <v>29</v>
      </c>
      <c r="Q187" s="24">
        <v>-243.51</v>
      </c>
    </row>
    <row r="189" spans="1:17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1:17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3" spans="2:16">
      <c r="C193" s="1" t="s">
        <v>128</v>
      </c>
      <c r="D193" s="1" t="s">
        <v>129</v>
      </c>
    </row>
    <row r="194" spans="2:16">
      <c r="B194" s="2" t="s">
        <v>32</v>
      </c>
      <c r="C194" s="2" t="s">
        <v>107</v>
      </c>
      <c r="D194" s="3">
        <v>474.29</v>
      </c>
    </row>
    <row r="195" spans="2:16">
      <c r="B195" s="2" t="s">
        <v>32</v>
      </c>
      <c r="C195" s="2" t="s">
        <v>49</v>
      </c>
      <c r="D195" s="3">
        <v>467.48</v>
      </c>
    </row>
    <row r="196" spans="2:16">
      <c r="B196" s="2" t="s">
        <v>35</v>
      </c>
      <c r="C196" s="2" t="s">
        <v>3</v>
      </c>
      <c r="D196" s="3">
        <v>463.62</v>
      </c>
      <c r="L196" s="4" t="s">
        <v>116</v>
      </c>
      <c r="M196" s="4"/>
      <c r="N196" s="4"/>
      <c r="O196" s="5" t="s">
        <v>13</v>
      </c>
      <c r="P196" s="5">
        <v>474.29</v>
      </c>
    </row>
    <row r="197" spans="2:16">
      <c r="B197" s="6" t="s">
        <v>2</v>
      </c>
      <c r="C197" s="2" t="s">
        <v>4</v>
      </c>
      <c r="D197" s="3">
        <v>1405.38</v>
      </c>
    </row>
    <row r="198" spans="2:16">
      <c r="L198" s="7" t="s">
        <v>25</v>
      </c>
      <c r="M198" s="8">
        <v>17.53</v>
      </c>
      <c r="N198" s="8">
        <v>3.7</v>
      </c>
      <c r="O198" s="9" t="s">
        <v>26</v>
      </c>
    </row>
    <row r="199" spans="2:16">
      <c r="E199" s="3" t="s">
        <v>5</v>
      </c>
      <c r="F199" s="3">
        <v>467.25</v>
      </c>
    </row>
    <row r="200" spans="2:16">
      <c r="L200" s="4" t="s">
        <v>62</v>
      </c>
      <c r="M200" s="4"/>
      <c r="N200" s="4"/>
      <c r="O200" s="5" t="s">
        <v>37</v>
      </c>
      <c r="P200" s="5">
        <v>467.48</v>
      </c>
    </row>
    <row r="201" spans="2:16">
      <c r="C201" s="2" t="s">
        <v>6</v>
      </c>
      <c r="D201" s="2" t="s">
        <v>7</v>
      </c>
      <c r="E201" s="2" t="s">
        <v>8</v>
      </c>
      <c r="F201" s="2" t="s">
        <v>9</v>
      </c>
      <c r="G201" s="2" t="s">
        <v>10</v>
      </c>
      <c r="H201" s="10" t="s">
        <v>13</v>
      </c>
      <c r="I201" s="10" t="s">
        <v>37</v>
      </c>
      <c r="J201" s="10" t="s">
        <v>54</v>
      </c>
    </row>
    <row r="202" spans="2:16">
      <c r="B202" s="2" t="s">
        <v>130</v>
      </c>
      <c r="C202" s="2" t="s">
        <v>131</v>
      </c>
      <c r="D202" s="11">
        <f>(489.12*0.07)+489.12</f>
        <v>0</v>
      </c>
      <c r="E202" s="11">
        <f>(489.12*0.10)+489.12</f>
        <v>0</v>
      </c>
      <c r="F202" s="11">
        <f>(489.12*0.15)+489.12</f>
        <v>0</v>
      </c>
      <c r="G202" s="11">
        <f>(489.12*0.20)+489.12</f>
        <v>0</v>
      </c>
      <c r="H202" s="12">
        <v>3.13</v>
      </c>
      <c r="I202" s="12">
        <v>4.63</v>
      </c>
      <c r="J202" s="12">
        <v>5.5</v>
      </c>
      <c r="L202" s="7" t="s">
        <v>25</v>
      </c>
      <c r="M202" s="8">
        <v>24.34</v>
      </c>
      <c r="N202" s="8">
        <v>5.21</v>
      </c>
      <c r="O202" s="9" t="s">
        <v>26</v>
      </c>
    </row>
    <row r="203" spans="2:16">
      <c r="B203" s="2" t="s">
        <v>11</v>
      </c>
      <c r="C203" s="2" t="s">
        <v>132</v>
      </c>
      <c r="D203" s="11">
        <f>(514.8*0.07)+514.8</f>
        <v>0</v>
      </c>
      <c r="E203" s="11">
        <f>(514.8*0.10)+514.8</f>
        <v>0</v>
      </c>
      <c r="F203" s="11">
        <f>(514.8*0.15)+514.8</f>
        <v>0</v>
      </c>
      <c r="G203" s="11">
        <f>(514.8*0.20)+514.8</f>
        <v>0</v>
      </c>
      <c r="H203" s="12">
        <v>8.539999999999999</v>
      </c>
      <c r="I203" s="12">
        <v>10.12</v>
      </c>
      <c r="J203" s="12">
        <v>11.04</v>
      </c>
    </row>
    <row r="204" spans="2:16">
      <c r="B204" s="2" t="s">
        <v>14</v>
      </c>
      <c r="C204" s="2" t="s">
        <v>133</v>
      </c>
      <c r="D204" s="11">
        <f>(514.74*0.07)+514.74</f>
        <v>0</v>
      </c>
      <c r="E204" s="11">
        <f>(514.74*0.10)+514.74</f>
        <v>0</v>
      </c>
      <c r="F204" s="11">
        <f>(514.74*0.15)+514.74</f>
        <v>0</v>
      </c>
      <c r="G204" s="11">
        <f>(514.74*0.20)+514.74</f>
        <v>0</v>
      </c>
      <c r="H204" s="12">
        <v>8.529999999999999</v>
      </c>
      <c r="I204" s="12">
        <v>10.11</v>
      </c>
      <c r="J204" s="12">
        <v>11.03</v>
      </c>
      <c r="L204" s="4" t="s">
        <v>24</v>
      </c>
      <c r="M204" s="4"/>
      <c r="N204" s="4"/>
      <c r="O204" s="5" t="s">
        <v>54</v>
      </c>
      <c r="P204" s="5">
        <v>927.23</v>
      </c>
    </row>
    <row r="205" spans="2:16">
      <c r="B205" s="2" t="s">
        <v>16</v>
      </c>
      <c r="C205" s="2" t="s">
        <v>134</v>
      </c>
      <c r="D205" s="11">
        <f>(516.615*0.07)+516.615</f>
        <v>0</v>
      </c>
      <c r="E205" s="11">
        <f>(516.615*0.10)+516.615</f>
        <v>0</v>
      </c>
      <c r="F205" s="11">
        <f>(516.615*0.15)+516.615</f>
        <v>0</v>
      </c>
      <c r="G205" s="11">
        <f>(516.615*0.20)+516.615</f>
        <v>0</v>
      </c>
      <c r="H205" s="12">
        <v>8.92</v>
      </c>
      <c r="I205" s="12">
        <v>10.51</v>
      </c>
      <c r="J205" s="12">
        <v>11.43</v>
      </c>
    </row>
    <row r="206" spans="2:16">
      <c r="B206" s="2" t="s">
        <v>18</v>
      </c>
      <c r="C206" s="2" t="s">
        <v>135</v>
      </c>
      <c r="D206" s="11">
        <f>(505.99*0.07)+505.99</f>
        <v>0</v>
      </c>
      <c r="E206" s="11">
        <f>(505.99*0.10)+505.99</f>
        <v>0</v>
      </c>
      <c r="F206" s="11">
        <f>(505.99*0.15)+505.99</f>
        <v>0</v>
      </c>
      <c r="G206" s="11">
        <f>(505.99*0.20)+505.99</f>
        <v>0</v>
      </c>
      <c r="H206" s="12">
        <v>6.68</v>
      </c>
      <c r="I206" s="12">
        <v>8.24</v>
      </c>
      <c r="J206" s="12">
        <v>9.140000000000001</v>
      </c>
      <c r="L206" s="7" t="s">
        <v>25</v>
      </c>
      <c r="M206" s="8">
        <v>56.41</v>
      </c>
      <c r="N206" s="8">
        <v>6.08</v>
      </c>
      <c r="O206" s="9" t="s">
        <v>26</v>
      </c>
    </row>
    <row r="207" spans="2:16">
      <c r="B207" s="2" t="s">
        <v>20</v>
      </c>
      <c r="C207" s="2" t="s">
        <v>136</v>
      </c>
      <c r="D207" s="11">
        <f>(503.81*0.07)+503.81</f>
        <v>0</v>
      </c>
      <c r="E207" s="11">
        <f>(503.81*0.10)+503.81</f>
        <v>0</v>
      </c>
      <c r="F207" s="11">
        <f>(503.81*0.15)+503.81</f>
        <v>0</v>
      </c>
      <c r="G207" s="11">
        <f>(503.81*0.20)+503.81</f>
        <v>0</v>
      </c>
      <c r="H207" s="12">
        <v>6.22</v>
      </c>
      <c r="I207" s="12">
        <v>7.77</v>
      </c>
      <c r="J207" s="12">
        <v>8.67</v>
      </c>
    </row>
    <row r="208" spans="2:16">
      <c r="B208" s="2" t="s">
        <v>22</v>
      </c>
      <c r="C208" s="2" t="s">
        <v>137</v>
      </c>
      <c r="D208" s="11">
        <f>(504.68*0.07)+504.68</f>
        <v>0</v>
      </c>
      <c r="E208" s="11">
        <f>(504.68*0.10)+504.68</f>
        <v>0</v>
      </c>
      <c r="F208" s="11">
        <f>(504.68*0.15)+504.68</f>
        <v>0</v>
      </c>
      <c r="G208" s="11">
        <f>(504.68*0.20)+504.68</f>
        <v>0</v>
      </c>
      <c r="H208" s="12">
        <v>6.41</v>
      </c>
      <c r="I208" s="12">
        <v>7.96</v>
      </c>
      <c r="J208" s="12">
        <v>8.859999999999999</v>
      </c>
    </row>
    <row r="209" spans="1:16">
      <c r="B209" s="2" t="s">
        <v>4</v>
      </c>
      <c r="C209" s="2">
        <v>491.82</v>
      </c>
      <c r="D209" s="11">
        <f>(491.82*0.07)+491.82</f>
        <v>0</v>
      </c>
      <c r="E209" s="11">
        <f>(491.82*0.10)+491.82</f>
        <v>0</v>
      </c>
      <c r="F209" s="11">
        <f>(491.82*0.15)+491.82</f>
        <v>0</v>
      </c>
      <c r="G209" s="11">
        <f>(491.82*0.20)+491.82</f>
        <v>0</v>
      </c>
      <c r="H209" s="12">
        <v>3.7</v>
      </c>
      <c r="I209" s="12">
        <v>5.21</v>
      </c>
      <c r="J209" s="12">
        <v>6.08</v>
      </c>
    </row>
    <row r="210" spans="1:16">
      <c r="N210" s="7" t="s">
        <v>27</v>
      </c>
      <c r="O210" s="13">
        <v>98.28</v>
      </c>
    </row>
    <row r="213" spans="1:16">
      <c r="O213" s="14" t="s">
        <v>28</v>
      </c>
      <c r="P213" s="15">
        <v>1869</v>
      </c>
    </row>
    <row r="214" spans="1:16">
      <c r="O214" s="16"/>
      <c r="P214" s="17"/>
    </row>
    <row r="215" spans="1:16">
      <c r="O215" s="18" t="s">
        <v>29</v>
      </c>
      <c r="P215" s="19">
        <v>98.28</v>
      </c>
    </row>
    <row r="217" spans="1:16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21" spans="1:16">
      <c r="C221" s="1" t="s">
        <v>138</v>
      </c>
      <c r="D221" s="1" t="s">
        <v>139</v>
      </c>
    </row>
    <row r="222" spans="1:16">
      <c r="B222" s="2" t="s">
        <v>50</v>
      </c>
      <c r="C222" s="2" t="s">
        <v>105</v>
      </c>
      <c r="D222" s="3">
        <v>215.33</v>
      </c>
      <c r="J222" s="4" t="s">
        <v>115</v>
      </c>
      <c r="K222" s="4"/>
      <c r="L222" s="4"/>
      <c r="M222" s="5" t="s">
        <v>13</v>
      </c>
      <c r="N222" s="5">
        <v>1076.65</v>
      </c>
    </row>
    <row r="223" spans="1:16">
      <c r="B223" s="6" t="s">
        <v>50</v>
      </c>
      <c r="C223" s="2" t="s">
        <v>4</v>
      </c>
      <c r="D223" s="3">
        <v>215.33</v>
      </c>
    </row>
    <row r="224" spans="1:16">
      <c r="J224" s="7" t="s">
        <v>25</v>
      </c>
      <c r="K224" s="8">
        <v>26.52</v>
      </c>
      <c r="L224" s="8">
        <v>2.46</v>
      </c>
      <c r="M224" s="9" t="s">
        <v>26</v>
      </c>
    </row>
    <row r="225" spans="1:14">
      <c r="E225" s="3" t="s">
        <v>5</v>
      </c>
      <c r="F225" s="3">
        <v>215.33</v>
      </c>
    </row>
    <row r="227" spans="1:14">
      <c r="C227" s="2" t="s">
        <v>6</v>
      </c>
      <c r="D227" s="2" t="s">
        <v>7</v>
      </c>
      <c r="E227" s="2" t="s">
        <v>8</v>
      </c>
      <c r="F227" s="2" t="s">
        <v>9</v>
      </c>
      <c r="G227" s="2" t="s">
        <v>10</v>
      </c>
      <c r="H227" s="10" t="s">
        <v>13</v>
      </c>
    </row>
    <row r="228" spans="1:14">
      <c r="B228" s="2" t="s">
        <v>11</v>
      </c>
      <c r="C228" s="2" t="s">
        <v>140</v>
      </c>
      <c r="D228" s="11">
        <f>(214.67*0.07)+214.67</f>
        <v>0</v>
      </c>
      <c r="E228" s="11">
        <f>(214.67*0.10)+214.67</f>
        <v>0</v>
      </c>
      <c r="F228" s="11">
        <f>(214.67*0.15)+214.67</f>
        <v>0</v>
      </c>
      <c r="G228" s="11">
        <f>(214.67*0.20)+214.67</f>
        <v>0</v>
      </c>
      <c r="H228" s="22">
        <v>-0.31</v>
      </c>
      <c r="L228" s="7" t="s">
        <v>27</v>
      </c>
      <c r="M228" s="13">
        <v>26.52</v>
      </c>
    </row>
    <row r="229" spans="1:14">
      <c r="B229" s="2" t="s">
        <v>14</v>
      </c>
      <c r="C229" s="2" t="s">
        <v>141</v>
      </c>
      <c r="D229" s="11">
        <f>(210.04*0.07)+210.04</f>
        <v>0</v>
      </c>
      <c r="E229" s="11">
        <f>(210.04*0.10)+210.04</f>
        <v>0</v>
      </c>
      <c r="F229" s="11">
        <f>(210.04*0.15)+210.04</f>
        <v>0</v>
      </c>
      <c r="G229" s="11">
        <f>(210.04*0.20)+210.04</f>
        <v>0</v>
      </c>
      <c r="H229" s="22">
        <v>-2.46</v>
      </c>
    </row>
    <row r="230" spans="1:14">
      <c r="B230" s="2" t="s">
        <v>16</v>
      </c>
      <c r="C230" s="2" t="s">
        <v>142</v>
      </c>
      <c r="D230" s="11">
        <f>(210.02*0.07)+210.02</f>
        <v>0</v>
      </c>
      <c r="E230" s="11">
        <f>(210.02*0.10)+210.02</f>
        <v>0</v>
      </c>
      <c r="F230" s="11">
        <f>(210.02*0.15)+210.02</f>
        <v>0</v>
      </c>
      <c r="G230" s="11">
        <f>(210.02*0.20)+210.02</f>
        <v>0</v>
      </c>
      <c r="H230" s="22">
        <v>-2.47</v>
      </c>
    </row>
    <row r="231" spans="1:14">
      <c r="B231" s="2" t="s">
        <v>18</v>
      </c>
      <c r="C231" s="2" t="s">
        <v>143</v>
      </c>
      <c r="D231" s="11">
        <f>(208.4*0.07)+208.4</f>
        <v>0</v>
      </c>
      <c r="E231" s="11">
        <f>(208.4*0.10)+208.4</f>
        <v>0</v>
      </c>
      <c r="F231" s="11">
        <f>(208.4*0.15)+208.4</f>
        <v>0</v>
      </c>
      <c r="G231" s="11">
        <f>(208.4*0.20)+208.4</f>
        <v>0</v>
      </c>
      <c r="H231" s="22">
        <v>-3.22</v>
      </c>
      <c r="M231" s="14" t="s">
        <v>28</v>
      </c>
      <c r="N231" s="15">
        <v>1076.65</v>
      </c>
    </row>
    <row r="232" spans="1:14">
      <c r="B232" s="2" t="s">
        <v>20</v>
      </c>
      <c r="C232" s="2" t="s">
        <v>144</v>
      </c>
      <c r="D232" s="11">
        <f>(209.48*0.07)+209.48</f>
        <v>0</v>
      </c>
      <c r="E232" s="11">
        <f>(209.48*0.10)+209.48</f>
        <v>0</v>
      </c>
      <c r="F232" s="11">
        <f>(209.48*0.15)+209.48</f>
        <v>0</v>
      </c>
      <c r="G232" s="11">
        <f>(209.48*0.20)+209.48</f>
        <v>0</v>
      </c>
      <c r="H232" s="22">
        <v>-2.72</v>
      </c>
      <c r="M232" s="16"/>
      <c r="N232" s="17"/>
    </row>
    <row r="233" spans="1:14">
      <c r="B233" s="2" t="s">
        <v>22</v>
      </c>
      <c r="C233" s="2" t="s">
        <v>145</v>
      </c>
      <c r="D233" s="11">
        <f>(209.75*0.07)+209.75</f>
        <v>0</v>
      </c>
      <c r="E233" s="11">
        <f>(209.75*0.10)+209.75</f>
        <v>0</v>
      </c>
      <c r="F233" s="11">
        <f>(209.75*0.15)+209.75</f>
        <v>0</v>
      </c>
      <c r="G233" s="11">
        <f>(209.75*0.20)+209.75</f>
        <v>0</v>
      </c>
      <c r="H233" s="22">
        <v>-2.59</v>
      </c>
      <c r="M233" s="18" t="s">
        <v>29</v>
      </c>
      <c r="N233" s="19">
        <v>26.52</v>
      </c>
    </row>
    <row r="234" spans="1:14">
      <c r="B234" s="2" t="s">
        <v>4</v>
      </c>
      <c r="C234" s="2">
        <v>220.635</v>
      </c>
      <c r="D234" s="11">
        <f>(220.635*0.07)+220.635</f>
        <v>0</v>
      </c>
      <c r="E234" s="11">
        <f>(220.635*0.10)+220.635</f>
        <v>0</v>
      </c>
      <c r="F234" s="11">
        <f>(220.635*0.15)+220.635</f>
        <v>0</v>
      </c>
      <c r="G234" s="11">
        <f>(220.635*0.20)+220.635</f>
        <v>0</v>
      </c>
      <c r="H234" s="12">
        <v>2.46</v>
      </c>
    </row>
    <row r="237" spans="1:14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</row>
    <row r="238" spans="1:14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</row>
    <row r="241" spans="1:14">
      <c r="C241" s="1" t="s">
        <v>146</v>
      </c>
      <c r="D241" s="1" t="s">
        <v>147</v>
      </c>
    </row>
    <row r="242" spans="1:14">
      <c r="B242" s="2" t="s">
        <v>148</v>
      </c>
      <c r="C242" s="2" t="s">
        <v>3</v>
      </c>
      <c r="D242" s="3">
        <v>13.38</v>
      </c>
      <c r="J242" s="4" t="s">
        <v>24</v>
      </c>
      <c r="K242" s="4"/>
      <c r="L242" s="4"/>
      <c r="M242" s="5" t="s">
        <v>13</v>
      </c>
      <c r="N242" s="5">
        <v>1016.73</v>
      </c>
    </row>
    <row r="243" spans="1:14">
      <c r="B243" s="6" t="s">
        <v>148</v>
      </c>
      <c r="C243" s="2" t="s">
        <v>4</v>
      </c>
      <c r="D243" s="3">
        <v>13.38</v>
      </c>
    </row>
    <row r="244" spans="1:14">
      <c r="J244" s="7" t="s">
        <v>25</v>
      </c>
      <c r="K244" s="21">
        <v>-131.33</v>
      </c>
      <c r="L244" s="21">
        <v>-12.92</v>
      </c>
      <c r="M244" s="9" t="s">
        <v>26</v>
      </c>
    </row>
    <row r="245" spans="1:14">
      <c r="E245" s="3" t="s">
        <v>5</v>
      </c>
      <c r="F245" s="3">
        <v>13.38</v>
      </c>
    </row>
    <row r="247" spans="1:14">
      <c r="C247" s="2" t="s">
        <v>6</v>
      </c>
      <c r="D247" s="2" t="s">
        <v>7</v>
      </c>
      <c r="E247" s="2" t="s">
        <v>8</v>
      </c>
      <c r="F247" s="2" t="s">
        <v>9</v>
      </c>
      <c r="G247" s="2" t="s">
        <v>10</v>
      </c>
      <c r="H247" s="10" t="s">
        <v>13</v>
      </c>
    </row>
    <row r="248" spans="1:14">
      <c r="B248" s="2" t="s">
        <v>14</v>
      </c>
      <c r="C248" s="2" t="s">
        <v>149</v>
      </c>
      <c r="D248" s="11">
        <f>(13.045*0.07)+13.045</f>
        <v>0</v>
      </c>
      <c r="E248" s="11">
        <f>(13.045*0.10)+13.045</f>
        <v>0</v>
      </c>
      <c r="F248" s="11">
        <f>(13.045*0.15)+13.045</f>
        <v>0</v>
      </c>
      <c r="G248" s="11">
        <f>(13.045*0.20)+13.045</f>
        <v>0</v>
      </c>
      <c r="H248" s="22">
        <v>-2.49</v>
      </c>
      <c r="L248" s="7" t="s">
        <v>27</v>
      </c>
      <c r="M248" s="23">
        <v>-131.33</v>
      </c>
    </row>
    <row r="249" spans="1:14">
      <c r="B249" s="2" t="s">
        <v>16</v>
      </c>
      <c r="C249" s="2" t="s">
        <v>150</v>
      </c>
      <c r="D249" s="11">
        <f>(13.475*0.07)+13.475</f>
        <v>0</v>
      </c>
      <c r="E249" s="11">
        <f>(13.475*0.10)+13.475</f>
        <v>0</v>
      </c>
      <c r="F249" s="11">
        <f>(13.475*0.15)+13.475</f>
        <v>0</v>
      </c>
      <c r="G249" s="11">
        <f>(13.475*0.20)+13.475</f>
        <v>0</v>
      </c>
      <c r="H249" s="12">
        <v>0.73</v>
      </c>
    </row>
    <row r="250" spans="1:14">
      <c r="B250" s="2" t="s">
        <v>18</v>
      </c>
      <c r="C250" s="2" t="s">
        <v>151</v>
      </c>
      <c r="D250" s="11">
        <f>(13.425*0.07)+13.425</f>
        <v>0</v>
      </c>
      <c r="E250" s="11">
        <f>(13.425*0.10)+13.425</f>
        <v>0</v>
      </c>
      <c r="F250" s="11">
        <f>(13.425*0.15)+13.425</f>
        <v>0</v>
      </c>
      <c r="G250" s="11">
        <f>(13.425*0.20)+13.425</f>
        <v>0</v>
      </c>
      <c r="H250" s="12">
        <v>0.35</v>
      </c>
    </row>
    <row r="251" spans="1:14">
      <c r="B251" s="2" t="s">
        <v>20</v>
      </c>
      <c r="C251" s="2" t="s">
        <v>152</v>
      </c>
      <c r="D251" s="11">
        <f>(13.42*0.07)+13.42</f>
        <v>0</v>
      </c>
      <c r="E251" s="11">
        <f>(13.42*0.10)+13.42</f>
        <v>0</v>
      </c>
      <c r="F251" s="11">
        <f>(13.42*0.15)+13.42</f>
        <v>0</v>
      </c>
      <c r="G251" s="11">
        <f>(13.42*0.20)+13.42</f>
        <v>0</v>
      </c>
      <c r="H251" s="12">
        <v>0.31</v>
      </c>
      <c r="M251" s="14" t="s">
        <v>28</v>
      </c>
      <c r="N251" s="15">
        <v>1016.73</v>
      </c>
    </row>
    <row r="252" spans="1:14">
      <c r="B252" s="2" t="s">
        <v>22</v>
      </c>
      <c r="C252" s="2" t="s">
        <v>153</v>
      </c>
      <c r="D252" s="11">
        <f>(12.965*0.07)+12.965</f>
        <v>0</v>
      </c>
      <c r="E252" s="11">
        <f>(12.965*0.10)+12.965</f>
        <v>0</v>
      </c>
      <c r="F252" s="11">
        <f>(12.965*0.15)+12.965</f>
        <v>0</v>
      </c>
      <c r="G252" s="11">
        <f>(12.965*0.20)+12.965</f>
        <v>0</v>
      </c>
      <c r="H252" s="22">
        <v>-3.09</v>
      </c>
      <c r="M252" s="16"/>
      <c r="N252" s="17"/>
    </row>
    <row r="253" spans="1:14">
      <c r="B253" s="2" t="s">
        <v>4</v>
      </c>
      <c r="C253" s="2">
        <v>11.65</v>
      </c>
      <c r="D253" s="11">
        <f>(11.65*0.07)+11.65</f>
        <v>0</v>
      </c>
      <c r="E253" s="11">
        <f>(11.65*0.10)+11.65</f>
        <v>0</v>
      </c>
      <c r="F253" s="11">
        <f>(11.65*0.15)+11.65</f>
        <v>0</v>
      </c>
      <c r="G253" s="11">
        <f>(11.65*0.20)+11.65</f>
        <v>0</v>
      </c>
      <c r="H253" s="22">
        <v>-12.92</v>
      </c>
      <c r="M253" s="18" t="s">
        <v>29</v>
      </c>
      <c r="N253" s="24">
        <v>-131.33</v>
      </c>
    </row>
    <row r="256" spans="1:14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</row>
    <row r="257" spans="1:1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</row>
    <row r="260" spans="1:15">
      <c r="C260" s="1" t="s">
        <v>154</v>
      </c>
      <c r="D260" s="1" t="s">
        <v>155</v>
      </c>
    </row>
    <row r="261" spans="1:15">
      <c r="B261" s="2" t="s">
        <v>156</v>
      </c>
      <c r="C261" s="2" t="s">
        <v>49</v>
      </c>
      <c r="D261" s="3">
        <v>55.9</v>
      </c>
    </row>
    <row r="262" spans="1:15">
      <c r="B262" s="2" t="s">
        <v>156</v>
      </c>
      <c r="C262" s="2" t="s">
        <v>3</v>
      </c>
      <c r="D262" s="3">
        <v>63.54</v>
      </c>
      <c r="K262" s="4" t="s">
        <v>62</v>
      </c>
      <c r="L262" s="4"/>
      <c r="M262" s="4"/>
      <c r="N262" s="5" t="s">
        <v>13</v>
      </c>
      <c r="O262" s="5">
        <v>391.33</v>
      </c>
    </row>
    <row r="263" spans="1:15">
      <c r="B263" s="6" t="s">
        <v>157</v>
      </c>
      <c r="C263" s="2" t="s">
        <v>4</v>
      </c>
      <c r="D263" s="3">
        <v>119.44</v>
      </c>
    </row>
    <row r="264" spans="1:15">
      <c r="K264" s="7" t="s">
        <v>25</v>
      </c>
      <c r="L264" s="8">
        <v>255.44</v>
      </c>
      <c r="M264" s="8">
        <v>65.27</v>
      </c>
      <c r="N264" s="9" t="s">
        <v>26</v>
      </c>
    </row>
    <row r="265" spans="1:15">
      <c r="E265" s="3" t="s">
        <v>5</v>
      </c>
      <c r="F265" s="3">
        <v>59.72</v>
      </c>
    </row>
    <row r="266" spans="1:15">
      <c r="K266" s="4" t="s">
        <v>24</v>
      </c>
      <c r="L266" s="4"/>
      <c r="M266" s="4"/>
      <c r="N266" s="5" t="s">
        <v>37</v>
      </c>
      <c r="O266" s="5">
        <v>444.77</v>
      </c>
    </row>
    <row r="267" spans="1:15">
      <c r="C267" s="2" t="s">
        <v>6</v>
      </c>
      <c r="D267" s="2" t="s">
        <v>7</v>
      </c>
      <c r="E267" s="2" t="s">
        <v>8</v>
      </c>
      <c r="F267" s="2" t="s">
        <v>9</v>
      </c>
      <c r="G267" s="2" t="s">
        <v>10</v>
      </c>
      <c r="H267" s="10" t="s">
        <v>13</v>
      </c>
      <c r="I267" s="10" t="s">
        <v>37</v>
      </c>
    </row>
    <row r="268" spans="1:15">
      <c r="B268" s="2" t="s">
        <v>14</v>
      </c>
      <c r="C268" s="2" t="s">
        <v>158</v>
      </c>
      <c r="D268" s="11">
        <f>(82.17*0.07)+82.17</f>
        <v>0</v>
      </c>
      <c r="E268" s="11">
        <f>(82.17*0.10)+82.17</f>
        <v>0</v>
      </c>
      <c r="F268" s="11">
        <f>(82.17*0.15)+82.17</f>
        <v>0</v>
      </c>
      <c r="G268" s="11">
        <f>(82.17*0.20)+82.17</f>
        <v>0</v>
      </c>
      <c r="H268" s="12">
        <v>46.98</v>
      </c>
      <c r="I268" s="12">
        <v>29.32</v>
      </c>
      <c r="K268" s="7" t="s">
        <v>25</v>
      </c>
      <c r="L268" s="8">
        <v>201.99</v>
      </c>
      <c r="M268" s="8">
        <v>45.41</v>
      </c>
      <c r="N268" s="9" t="s">
        <v>26</v>
      </c>
    </row>
    <row r="269" spans="1:15">
      <c r="B269" s="2" t="s">
        <v>16</v>
      </c>
      <c r="C269" s="2" t="s">
        <v>159</v>
      </c>
      <c r="D269" s="11">
        <f>(81.88*0.07)+81.88</f>
        <v>0</v>
      </c>
      <c r="E269" s="11">
        <f>(81.88*0.10)+81.88</f>
        <v>0</v>
      </c>
      <c r="F269" s="11">
        <f>(81.88*0.15)+81.88</f>
        <v>0</v>
      </c>
      <c r="G269" s="11">
        <f>(81.88*0.20)+81.88</f>
        <v>0</v>
      </c>
      <c r="H269" s="12">
        <v>46.47</v>
      </c>
      <c r="I269" s="12">
        <v>28.87</v>
      </c>
    </row>
    <row r="270" spans="1:15">
      <c r="B270" s="2" t="s">
        <v>18</v>
      </c>
      <c r="C270" s="2" t="s">
        <v>160</v>
      </c>
      <c r="D270" s="11">
        <f>(81.57*0.07)+81.57</f>
        <v>0</v>
      </c>
      <c r="E270" s="11">
        <f>(81.57*0.10)+81.57</f>
        <v>0</v>
      </c>
      <c r="F270" s="11">
        <f>(81.57*0.15)+81.57</f>
        <v>0</v>
      </c>
      <c r="G270" s="11">
        <f>(81.57*0.20)+81.57</f>
        <v>0</v>
      </c>
      <c r="H270" s="12">
        <v>45.91</v>
      </c>
      <c r="I270" s="12">
        <v>28.38</v>
      </c>
    </row>
    <row r="271" spans="1:15">
      <c r="B271" s="2" t="s">
        <v>20</v>
      </c>
      <c r="C271" s="2" t="s">
        <v>161</v>
      </c>
      <c r="D271" s="11">
        <f>(81.96*0.07)+81.96</f>
        <v>0</v>
      </c>
      <c r="E271" s="11">
        <f>(81.96*0.10)+81.96</f>
        <v>0</v>
      </c>
      <c r="F271" s="11">
        <f>(81.96*0.15)+81.96</f>
        <v>0</v>
      </c>
      <c r="G271" s="11">
        <f>(81.96*0.20)+81.96</f>
        <v>0</v>
      </c>
      <c r="H271" s="12">
        <v>46.61</v>
      </c>
      <c r="I271" s="12">
        <v>28.99</v>
      </c>
    </row>
    <row r="272" spans="1:15">
      <c r="B272" s="2" t="s">
        <v>22</v>
      </c>
      <c r="C272" s="2" t="s">
        <v>162</v>
      </c>
      <c r="D272" s="11">
        <f>(82.655*0.07)+82.655</f>
        <v>0</v>
      </c>
      <c r="E272" s="11">
        <f>(82.655*0.10)+82.655</f>
        <v>0</v>
      </c>
      <c r="F272" s="11">
        <f>(82.655*0.15)+82.655</f>
        <v>0</v>
      </c>
      <c r="G272" s="11">
        <f>(82.655*0.20)+82.655</f>
        <v>0</v>
      </c>
      <c r="H272" s="12">
        <v>47.85</v>
      </c>
      <c r="I272" s="12">
        <v>30.09</v>
      </c>
      <c r="M272" s="7" t="s">
        <v>27</v>
      </c>
      <c r="N272" s="13">
        <v>457.43</v>
      </c>
    </row>
    <row r="273" spans="1:15">
      <c r="B273" s="2" t="s">
        <v>4</v>
      </c>
      <c r="C273" s="2">
        <v>92.395</v>
      </c>
      <c r="D273" s="11">
        <f>(92.395*0.07)+92.395</f>
        <v>0</v>
      </c>
      <c r="E273" s="11">
        <f>(92.395*0.10)+92.395</f>
        <v>0</v>
      </c>
      <c r="F273" s="11">
        <f>(92.395*0.15)+92.395</f>
        <v>0</v>
      </c>
      <c r="G273" s="11">
        <f>(92.395*0.20)+92.395</f>
        <v>0</v>
      </c>
      <c r="H273" s="12">
        <v>65.27</v>
      </c>
      <c r="I273" s="12">
        <v>45.41</v>
      </c>
    </row>
    <row r="275" spans="1:15">
      <c r="N275" s="14" t="s">
        <v>28</v>
      </c>
      <c r="O275" s="15">
        <v>836.1</v>
      </c>
    </row>
    <row r="276" spans="1:15">
      <c r="N276" s="16"/>
      <c r="O276" s="17"/>
    </row>
    <row r="277" spans="1:15">
      <c r="N277" s="18" t="s">
        <v>29</v>
      </c>
      <c r="O277" s="19">
        <v>457.43</v>
      </c>
    </row>
    <row r="279" spans="1:1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</row>
    <row r="280" spans="1:1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</row>
    <row r="283" spans="1:15">
      <c r="C283" s="1" t="s">
        <v>163</v>
      </c>
      <c r="D283" s="1" t="s">
        <v>164</v>
      </c>
    </row>
    <row r="284" spans="1:15">
      <c r="B284" s="2" t="s">
        <v>2</v>
      </c>
      <c r="C284" s="2" t="s">
        <v>165</v>
      </c>
      <c r="D284" s="3">
        <v>293.95</v>
      </c>
      <c r="J284" s="4" t="s">
        <v>172</v>
      </c>
      <c r="K284" s="4"/>
      <c r="L284" s="4"/>
      <c r="M284" s="5" t="s">
        <v>13</v>
      </c>
      <c r="N284" s="5">
        <v>1175.8</v>
      </c>
    </row>
    <row r="285" spans="1:15">
      <c r="B285" s="6" t="s">
        <v>2</v>
      </c>
      <c r="C285" s="2" t="s">
        <v>4</v>
      </c>
      <c r="D285" s="3">
        <v>293.95</v>
      </c>
    </row>
    <row r="286" spans="1:15">
      <c r="J286" s="7" t="s">
        <v>25</v>
      </c>
      <c r="K286" s="8">
        <v>75.44</v>
      </c>
      <c r="L286" s="8">
        <v>6.42</v>
      </c>
      <c r="M286" s="9" t="s">
        <v>26</v>
      </c>
    </row>
    <row r="287" spans="1:15">
      <c r="E287" s="3" t="s">
        <v>5</v>
      </c>
      <c r="F287" s="3">
        <v>293.95</v>
      </c>
    </row>
    <row r="289" spans="1:14">
      <c r="C289" s="2" t="s">
        <v>6</v>
      </c>
      <c r="D289" s="2" t="s">
        <v>7</v>
      </c>
      <c r="E289" s="2" t="s">
        <v>8</v>
      </c>
      <c r="F289" s="2" t="s">
        <v>9</v>
      </c>
      <c r="G289" s="2" t="s">
        <v>10</v>
      </c>
      <c r="H289" s="10" t="s">
        <v>13</v>
      </c>
    </row>
    <row r="290" spans="1:14">
      <c r="B290" s="2" t="s">
        <v>11</v>
      </c>
      <c r="C290" s="2" t="s">
        <v>166</v>
      </c>
      <c r="D290" s="11">
        <f>(306.18*0.07)+306.18</f>
        <v>0</v>
      </c>
      <c r="E290" s="11">
        <f>(306.18*0.10)+306.18</f>
        <v>0</v>
      </c>
      <c r="F290" s="11">
        <f>(306.18*0.15)+306.18</f>
        <v>0</v>
      </c>
      <c r="G290" s="11">
        <f>(306.18*0.20)+306.18</f>
        <v>0</v>
      </c>
      <c r="H290" s="12">
        <v>4.16</v>
      </c>
      <c r="L290" s="7" t="s">
        <v>27</v>
      </c>
      <c r="M290" s="13">
        <v>75.44</v>
      </c>
    </row>
    <row r="291" spans="1:14">
      <c r="B291" s="2" t="s">
        <v>14</v>
      </c>
      <c r="C291" s="2" t="s">
        <v>167</v>
      </c>
      <c r="D291" s="11">
        <f>(303.04*0.07)+303.04</f>
        <v>0</v>
      </c>
      <c r="E291" s="11">
        <f>(303.04*0.10)+303.04</f>
        <v>0</v>
      </c>
      <c r="F291" s="11">
        <f>(303.04*0.15)+303.04</f>
        <v>0</v>
      </c>
      <c r="G291" s="11">
        <f>(303.04*0.20)+303.04</f>
        <v>0</v>
      </c>
      <c r="H291" s="12">
        <v>3.09</v>
      </c>
    </row>
    <row r="292" spans="1:14">
      <c r="B292" s="2" t="s">
        <v>16</v>
      </c>
      <c r="C292" s="2" t="s">
        <v>168</v>
      </c>
      <c r="D292" s="11">
        <f>(309.65*0.07)+309.65</f>
        <v>0</v>
      </c>
      <c r="E292" s="11">
        <f>(309.65*0.10)+309.65</f>
        <v>0</v>
      </c>
      <c r="F292" s="11">
        <f>(309.65*0.15)+309.65</f>
        <v>0</v>
      </c>
      <c r="G292" s="11">
        <f>(309.65*0.20)+309.65</f>
        <v>0</v>
      </c>
      <c r="H292" s="12">
        <v>5.34</v>
      </c>
    </row>
    <row r="293" spans="1:14">
      <c r="B293" s="2" t="s">
        <v>18</v>
      </c>
      <c r="C293" s="2" t="s">
        <v>169</v>
      </c>
      <c r="D293" s="11">
        <f>(303.97*0.07)+303.97</f>
        <v>0</v>
      </c>
      <c r="E293" s="11">
        <f>(303.97*0.10)+303.97</f>
        <v>0</v>
      </c>
      <c r="F293" s="11">
        <f>(303.97*0.15)+303.97</f>
        <v>0</v>
      </c>
      <c r="G293" s="11">
        <f>(303.97*0.20)+303.97</f>
        <v>0</v>
      </c>
      <c r="H293" s="12">
        <v>3.41</v>
      </c>
      <c r="M293" s="14" t="s">
        <v>28</v>
      </c>
      <c r="N293" s="15">
        <v>1175.8</v>
      </c>
    </row>
    <row r="294" spans="1:14">
      <c r="B294" s="2" t="s">
        <v>20</v>
      </c>
      <c r="C294" s="2" t="s">
        <v>170</v>
      </c>
      <c r="D294" s="11">
        <f>(304.37*0.07)+304.37</f>
        <v>0</v>
      </c>
      <c r="E294" s="11">
        <f>(304.37*0.10)+304.37</f>
        <v>0</v>
      </c>
      <c r="F294" s="11">
        <f>(304.37*0.15)+304.37</f>
        <v>0</v>
      </c>
      <c r="G294" s="11">
        <f>(304.37*0.20)+304.37</f>
        <v>0</v>
      </c>
      <c r="H294" s="12">
        <v>3.54</v>
      </c>
      <c r="M294" s="16"/>
      <c r="N294" s="17"/>
    </row>
    <row r="295" spans="1:14">
      <c r="B295" s="2" t="s">
        <v>22</v>
      </c>
      <c r="C295" s="2" t="s">
        <v>171</v>
      </c>
      <c r="D295" s="11">
        <f>(304.18*0.07)+304.18</f>
        <v>0</v>
      </c>
      <c r="E295" s="11">
        <f>(304.18*0.10)+304.18</f>
        <v>0</v>
      </c>
      <c r="F295" s="11">
        <f>(304.18*0.15)+304.18</f>
        <v>0</v>
      </c>
      <c r="G295" s="11">
        <f>(304.18*0.20)+304.18</f>
        <v>0</v>
      </c>
      <c r="H295" s="12">
        <v>3.48</v>
      </c>
      <c r="M295" s="18" t="s">
        <v>29</v>
      </c>
      <c r="N295" s="19">
        <v>75.44</v>
      </c>
    </row>
    <row r="296" spans="1:14">
      <c r="B296" s="2" t="s">
        <v>4</v>
      </c>
      <c r="C296" s="2">
        <v>312.81</v>
      </c>
      <c r="D296" s="11">
        <f>(312.81*0.07)+312.81</f>
        <v>0</v>
      </c>
      <c r="E296" s="11">
        <f>(312.81*0.10)+312.81</f>
        <v>0</v>
      </c>
      <c r="F296" s="11">
        <f>(312.81*0.15)+312.81</f>
        <v>0</v>
      </c>
      <c r="G296" s="11">
        <f>(312.81*0.20)+312.81</f>
        <v>0</v>
      </c>
      <c r="H296" s="12">
        <v>6.42</v>
      </c>
    </row>
    <row r="299" spans="1:14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</row>
    <row r="300" spans="1:14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</row>
    <row r="303" spans="1:14">
      <c r="C303" s="1" t="s">
        <v>173</v>
      </c>
      <c r="D303" s="1" t="s">
        <v>174</v>
      </c>
    </row>
    <row r="304" spans="1:14">
      <c r="B304" s="2" t="s">
        <v>2</v>
      </c>
      <c r="C304" s="2" t="s">
        <v>107</v>
      </c>
      <c r="D304" s="3">
        <v>117.81</v>
      </c>
    </row>
    <row r="305" spans="2:17">
      <c r="B305" s="2" t="s">
        <v>2</v>
      </c>
      <c r="C305" s="2" t="s">
        <v>49</v>
      </c>
      <c r="D305" s="3">
        <v>121.3</v>
      </c>
    </row>
    <row r="306" spans="2:17">
      <c r="B306" s="2" t="s">
        <v>68</v>
      </c>
      <c r="C306" s="2" t="s">
        <v>48</v>
      </c>
      <c r="D306" s="3">
        <v>137.63</v>
      </c>
    </row>
    <row r="307" spans="2:17">
      <c r="B307" s="2" t="s">
        <v>68</v>
      </c>
      <c r="C307" s="2" t="s">
        <v>120</v>
      </c>
      <c r="D307" s="3">
        <v>137.35</v>
      </c>
      <c r="M307" s="4" t="s">
        <v>116</v>
      </c>
      <c r="N307" s="4"/>
      <c r="O307" s="4"/>
      <c r="P307" s="5" t="s">
        <v>13</v>
      </c>
      <c r="Q307" s="5">
        <v>471.26</v>
      </c>
    </row>
    <row r="308" spans="2:17">
      <c r="B308" s="6" t="s">
        <v>157</v>
      </c>
      <c r="C308" s="2" t="s">
        <v>4</v>
      </c>
      <c r="D308" s="3">
        <v>514.09</v>
      </c>
    </row>
    <row r="309" spans="2:17">
      <c r="M309" s="7" t="s">
        <v>25</v>
      </c>
      <c r="N309" s="8">
        <v>41.66</v>
      </c>
      <c r="O309" s="8">
        <v>8.84</v>
      </c>
      <c r="P309" s="9" t="s">
        <v>26</v>
      </c>
    </row>
    <row r="310" spans="2:17">
      <c r="E310" s="3" t="s">
        <v>5</v>
      </c>
      <c r="F310" s="3">
        <v>127.24</v>
      </c>
    </row>
    <row r="311" spans="2:17">
      <c r="M311" s="4" t="s">
        <v>62</v>
      </c>
      <c r="N311" s="4"/>
      <c r="O311" s="4"/>
      <c r="P311" s="5" t="s">
        <v>37</v>
      </c>
      <c r="Q311" s="5">
        <v>485.21</v>
      </c>
    </row>
    <row r="312" spans="2:17">
      <c r="C312" s="2" t="s">
        <v>6</v>
      </c>
      <c r="D312" s="2" t="s">
        <v>7</v>
      </c>
      <c r="E312" s="2" t="s">
        <v>8</v>
      </c>
      <c r="F312" s="2" t="s">
        <v>9</v>
      </c>
      <c r="G312" s="2" t="s">
        <v>10</v>
      </c>
      <c r="H312" s="10" t="s">
        <v>13</v>
      </c>
      <c r="I312" s="10" t="s">
        <v>37</v>
      </c>
      <c r="J312" s="10" t="s">
        <v>54</v>
      </c>
      <c r="K312" s="10" t="s">
        <v>55</v>
      </c>
    </row>
    <row r="313" spans="2:17">
      <c r="B313" s="2" t="s">
        <v>11</v>
      </c>
      <c r="C313" s="2" t="s">
        <v>175</v>
      </c>
      <c r="D313" s="11">
        <f>(141.09*0.07)+141.09</f>
        <v>0</v>
      </c>
      <c r="E313" s="11">
        <f>(141.09*0.10)+141.09</f>
        <v>0</v>
      </c>
      <c r="F313" s="11">
        <f>(141.09*0.15)+141.09</f>
        <v>0</v>
      </c>
      <c r="G313" s="11">
        <f>(141.09*0.20)+141.09</f>
        <v>0</v>
      </c>
      <c r="H313" s="12">
        <v>19.76</v>
      </c>
      <c r="I313" s="12">
        <v>16.31</v>
      </c>
      <c r="J313" s="12">
        <v>2.52</v>
      </c>
      <c r="K313" s="12">
        <v>2.73</v>
      </c>
      <c r="M313" s="7" t="s">
        <v>25</v>
      </c>
      <c r="N313" s="8">
        <v>27.71</v>
      </c>
      <c r="O313" s="8">
        <v>5.71</v>
      </c>
      <c r="P313" s="9" t="s">
        <v>26</v>
      </c>
    </row>
    <row r="314" spans="2:17">
      <c r="B314" s="2" t="s">
        <v>14</v>
      </c>
      <c r="C314" s="2" t="s">
        <v>176</v>
      </c>
      <c r="D314" s="11">
        <f>(141.715*0.07)+141.715</f>
        <v>0</v>
      </c>
      <c r="E314" s="11">
        <f>(141.715*0.10)+141.715</f>
        <v>0</v>
      </c>
      <c r="F314" s="11">
        <f>(141.715*0.15)+141.715</f>
        <v>0</v>
      </c>
      <c r="G314" s="11">
        <f>(141.715*0.20)+141.715</f>
        <v>0</v>
      </c>
      <c r="H314" s="12">
        <v>20.29</v>
      </c>
      <c r="I314" s="12">
        <v>16.83</v>
      </c>
      <c r="J314" s="12">
        <v>2.97</v>
      </c>
      <c r="K314" s="12">
        <v>3.18</v>
      </c>
    </row>
    <row r="315" spans="2:17">
      <c r="B315" s="2" t="s">
        <v>16</v>
      </c>
      <c r="C315" s="2" t="s">
        <v>177</v>
      </c>
      <c r="D315" s="11">
        <f>(144.225*0.07)+144.225</f>
        <v>0</v>
      </c>
      <c r="E315" s="11">
        <f>(144.225*0.10)+144.225</f>
        <v>0</v>
      </c>
      <c r="F315" s="11">
        <f>(144.225*0.15)+144.225</f>
        <v>0</v>
      </c>
      <c r="G315" s="11">
        <f>(144.225*0.20)+144.225</f>
        <v>0</v>
      </c>
      <c r="H315" s="12">
        <v>22.42</v>
      </c>
      <c r="I315" s="12">
        <v>18.9</v>
      </c>
      <c r="J315" s="12">
        <v>4.79</v>
      </c>
      <c r="K315" s="12">
        <v>5.01</v>
      </c>
      <c r="M315" s="4" t="s">
        <v>61</v>
      </c>
      <c r="N315" s="4"/>
      <c r="O315" s="4"/>
      <c r="P315" s="5" t="s">
        <v>54</v>
      </c>
      <c r="Q315" s="5">
        <v>412.88</v>
      </c>
    </row>
    <row r="316" spans="2:17">
      <c r="B316" s="2" t="s">
        <v>18</v>
      </c>
      <c r="C316" s="2" t="s">
        <v>178</v>
      </c>
      <c r="D316" s="11">
        <f>(143.37*0.07)+143.37</f>
        <v>0</v>
      </c>
      <c r="E316" s="11">
        <f>(143.37*0.10)+143.37</f>
        <v>0</v>
      </c>
      <c r="F316" s="11">
        <f>(143.37*0.15)+143.37</f>
        <v>0</v>
      </c>
      <c r="G316" s="11">
        <f>(143.37*0.20)+143.37</f>
        <v>0</v>
      </c>
      <c r="H316" s="12">
        <v>21.69</v>
      </c>
      <c r="I316" s="12">
        <v>18.19</v>
      </c>
      <c r="J316" s="12">
        <v>4.17</v>
      </c>
      <c r="K316" s="12">
        <v>4.39</v>
      </c>
    </row>
    <row r="317" spans="2:17">
      <c r="B317" s="2" t="s">
        <v>20</v>
      </c>
      <c r="C317" s="2" t="s">
        <v>179</v>
      </c>
      <c r="D317" s="11">
        <f>(142.64*0.07)+142.64</f>
        <v>0</v>
      </c>
      <c r="E317" s="11">
        <f>(142.64*0.10)+142.64</f>
        <v>0</v>
      </c>
      <c r="F317" s="11">
        <f>(142.64*0.15)+142.64</f>
        <v>0</v>
      </c>
      <c r="G317" s="11">
        <f>(142.64*0.20)+142.64</f>
        <v>0</v>
      </c>
      <c r="H317" s="12">
        <v>21.07</v>
      </c>
      <c r="I317" s="12">
        <v>17.59</v>
      </c>
      <c r="J317" s="12">
        <v>3.64</v>
      </c>
      <c r="K317" s="12">
        <v>3.85</v>
      </c>
      <c r="M317" s="7" t="s">
        <v>25</v>
      </c>
      <c r="N317" s="21">
        <v>-28.19</v>
      </c>
      <c r="O317" s="21">
        <v>-6.83</v>
      </c>
      <c r="P317" s="9" t="s">
        <v>26</v>
      </c>
    </row>
    <row r="318" spans="2:17">
      <c r="B318" s="2" t="s">
        <v>22</v>
      </c>
      <c r="C318" s="2" t="s">
        <v>180</v>
      </c>
      <c r="D318" s="11">
        <f>(142.24*0.07)+142.24</f>
        <v>0</v>
      </c>
      <c r="E318" s="11">
        <f>(142.24*0.10)+142.24</f>
        <v>0</v>
      </c>
      <c r="F318" s="11">
        <f>(142.24*0.15)+142.24</f>
        <v>0</v>
      </c>
      <c r="G318" s="11">
        <f>(142.24*0.20)+142.24</f>
        <v>0</v>
      </c>
      <c r="H318" s="12">
        <v>20.73</v>
      </c>
      <c r="I318" s="12">
        <v>17.26</v>
      </c>
      <c r="J318" s="12">
        <v>3.35</v>
      </c>
      <c r="K318" s="12">
        <v>3.56</v>
      </c>
    </row>
    <row r="319" spans="2:17">
      <c r="B319" s="2" t="s">
        <v>4</v>
      </c>
      <c r="C319" s="2">
        <v>128.23</v>
      </c>
      <c r="D319" s="11">
        <f>(128.23*0.07)+128.23</f>
        <v>0</v>
      </c>
      <c r="E319" s="11">
        <f>(128.23*0.10)+128.23</f>
        <v>0</v>
      </c>
      <c r="F319" s="11">
        <f>(128.23*0.15)+128.23</f>
        <v>0</v>
      </c>
      <c r="G319" s="11">
        <f>(128.23*0.20)+128.23</f>
        <v>0</v>
      </c>
      <c r="H319" s="12">
        <v>8.84</v>
      </c>
      <c r="I319" s="12">
        <v>5.71</v>
      </c>
      <c r="J319" s="22">
        <v>-6.83</v>
      </c>
      <c r="K319" s="22">
        <v>-6.64</v>
      </c>
      <c r="M319" s="4" t="s">
        <v>127</v>
      </c>
      <c r="N319" s="4"/>
      <c r="O319" s="4"/>
      <c r="P319" s="5" t="s">
        <v>55</v>
      </c>
      <c r="Q319" s="5">
        <v>412.04</v>
      </c>
    </row>
    <row r="321" spans="1:17">
      <c r="M321" s="7" t="s">
        <v>25</v>
      </c>
      <c r="N321" s="21">
        <v>-27.35</v>
      </c>
      <c r="O321" s="21">
        <v>-6.64</v>
      </c>
      <c r="P321" s="9" t="s">
        <v>26</v>
      </c>
    </row>
    <row r="325" spans="1:17">
      <c r="O325" s="7" t="s">
        <v>27</v>
      </c>
      <c r="P325" s="13">
        <v>13.83</v>
      </c>
    </row>
    <row r="328" spans="1:17">
      <c r="P328" s="14" t="s">
        <v>28</v>
      </c>
      <c r="Q328" s="15">
        <v>1781.39</v>
      </c>
    </row>
    <row r="329" spans="1:17">
      <c r="P329" s="16"/>
      <c r="Q329" s="17"/>
    </row>
    <row r="330" spans="1:17">
      <c r="P330" s="18" t="s">
        <v>29</v>
      </c>
      <c r="Q330" s="19">
        <v>13.83</v>
      </c>
    </row>
    <row r="332" spans="1:17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1:17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6" spans="1:17">
      <c r="C336" s="1" t="s">
        <v>181</v>
      </c>
      <c r="D336" s="1" t="s">
        <v>182</v>
      </c>
    </row>
    <row r="337" spans="2:15">
      <c r="B337" s="2" t="s">
        <v>68</v>
      </c>
      <c r="C337" s="2" t="s">
        <v>107</v>
      </c>
      <c r="D337" s="3">
        <v>178.16</v>
      </c>
    </row>
    <row r="338" spans="2:15">
      <c r="B338" s="2" t="s">
        <v>68</v>
      </c>
      <c r="C338" s="2" t="s">
        <v>49</v>
      </c>
      <c r="D338" s="3">
        <v>176.09</v>
      </c>
      <c r="K338" s="4" t="s">
        <v>116</v>
      </c>
      <c r="L338" s="4"/>
      <c r="M338" s="4"/>
      <c r="N338" s="5" t="s">
        <v>13</v>
      </c>
      <c r="O338" s="5">
        <v>534.47</v>
      </c>
    </row>
    <row r="339" spans="2:15">
      <c r="B339" s="6" t="s">
        <v>183</v>
      </c>
      <c r="C339" s="2" t="s">
        <v>4</v>
      </c>
      <c r="D339" s="3">
        <v>354.25</v>
      </c>
    </row>
    <row r="340" spans="2:15">
      <c r="K340" s="7" t="s">
        <v>25</v>
      </c>
      <c r="L340" s="21">
        <v>-81.34999999999999</v>
      </c>
      <c r="M340" s="21">
        <v>-15.22</v>
      </c>
      <c r="N340" s="9" t="s">
        <v>26</v>
      </c>
    </row>
    <row r="341" spans="2:15">
      <c r="E341" s="3" t="s">
        <v>5</v>
      </c>
      <c r="F341" s="3">
        <v>177.12</v>
      </c>
    </row>
    <row r="342" spans="2:15">
      <c r="K342" s="4" t="s">
        <v>62</v>
      </c>
      <c r="L342" s="4"/>
      <c r="M342" s="4"/>
      <c r="N342" s="5" t="s">
        <v>37</v>
      </c>
      <c r="O342" s="5">
        <v>528.27</v>
      </c>
    </row>
    <row r="343" spans="2:15">
      <c r="C343" s="2" t="s">
        <v>6</v>
      </c>
      <c r="D343" s="2" t="s">
        <v>7</v>
      </c>
      <c r="E343" s="2" t="s">
        <v>8</v>
      </c>
      <c r="F343" s="2" t="s">
        <v>9</v>
      </c>
      <c r="G343" s="2" t="s">
        <v>10</v>
      </c>
      <c r="H343" s="10" t="s">
        <v>13</v>
      </c>
      <c r="I343" s="10" t="s">
        <v>37</v>
      </c>
    </row>
    <row r="344" spans="2:15">
      <c r="B344" s="2" t="s">
        <v>11</v>
      </c>
      <c r="C344" s="2" t="s">
        <v>184</v>
      </c>
      <c r="D344" s="11">
        <f>(164.61*0.07)+164.61</f>
        <v>0</v>
      </c>
      <c r="E344" s="11">
        <f>(164.61*0.10)+164.61</f>
        <v>0</v>
      </c>
      <c r="F344" s="11">
        <f>(164.61*0.15)+164.61</f>
        <v>0</v>
      </c>
      <c r="G344" s="11">
        <f>(164.61*0.20)+164.61</f>
        <v>0</v>
      </c>
      <c r="H344" s="22">
        <v>-7.6</v>
      </c>
      <c r="I344" s="22">
        <v>-6.52</v>
      </c>
      <c r="K344" s="7" t="s">
        <v>25</v>
      </c>
      <c r="L344" s="21">
        <v>-75.15000000000001</v>
      </c>
      <c r="M344" s="21">
        <v>-14.23</v>
      </c>
      <c r="N344" s="9" t="s">
        <v>26</v>
      </c>
    </row>
    <row r="345" spans="2:15">
      <c r="B345" s="2" t="s">
        <v>14</v>
      </c>
      <c r="C345" s="2" t="s">
        <v>185</v>
      </c>
      <c r="D345" s="11">
        <f>(163.355*0.07)+163.355</f>
        <v>0</v>
      </c>
      <c r="E345" s="11">
        <f>(163.355*0.10)+163.355</f>
        <v>0</v>
      </c>
      <c r="F345" s="11">
        <f>(163.355*0.15)+163.355</f>
        <v>0</v>
      </c>
      <c r="G345" s="11">
        <f>(163.355*0.20)+163.355</f>
        <v>0</v>
      </c>
      <c r="H345" s="22">
        <v>-8.31</v>
      </c>
      <c r="I345" s="22">
        <v>-7.23</v>
      </c>
    </row>
    <row r="346" spans="2:15">
      <c r="B346" s="2" t="s">
        <v>16</v>
      </c>
      <c r="C346" s="2" t="s">
        <v>186</v>
      </c>
      <c r="D346" s="11">
        <f>(162.78*0.07)+162.78</f>
        <v>0</v>
      </c>
      <c r="E346" s="11">
        <f>(162.78*0.10)+162.78</f>
        <v>0</v>
      </c>
      <c r="F346" s="11">
        <f>(162.78*0.15)+162.78</f>
        <v>0</v>
      </c>
      <c r="G346" s="11">
        <f>(162.78*0.20)+162.78</f>
        <v>0</v>
      </c>
      <c r="H346" s="22">
        <v>-8.630000000000001</v>
      </c>
      <c r="I346" s="22">
        <v>-7.56</v>
      </c>
    </row>
    <row r="347" spans="2:15">
      <c r="B347" s="2" t="s">
        <v>18</v>
      </c>
      <c r="C347" s="2" t="s">
        <v>187</v>
      </c>
      <c r="D347" s="11">
        <f>(163.72*0.07)+163.72</f>
        <v>0</v>
      </c>
      <c r="E347" s="11">
        <f>(163.72*0.10)+163.72</f>
        <v>0</v>
      </c>
      <c r="F347" s="11">
        <f>(163.72*0.15)+163.72</f>
        <v>0</v>
      </c>
      <c r="G347" s="11">
        <f>(163.72*0.20)+163.72</f>
        <v>0</v>
      </c>
      <c r="H347" s="22">
        <v>-8.1</v>
      </c>
      <c r="I347" s="22">
        <v>-7.02</v>
      </c>
    </row>
    <row r="348" spans="2:15">
      <c r="B348" s="2" t="s">
        <v>20</v>
      </c>
      <c r="C348" s="2" t="s">
        <v>188</v>
      </c>
      <c r="D348" s="11">
        <f>(163.61*0.07)+163.61</f>
        <v>0</v>
      </c>
      <c r="E348" s="11">
        <f>(163.61*0.10)+163.61</f>
        <v>0</v>
      </c>
      <c r="F348" s="11">
        <f>(163.61*0.15)+163.61</f>
        <v>0</v>
      </c>
      <c r="G348" s="11">
        <f>(163.61*0.20)+163.61</f>
        <v>0</v>
      </c>
      <c r="H348" s="22">
        <v>-8.17</v>
      </c>
      <c r="I348" s="22">
        <v>-7.09</v>
      </c>
      <c r="M348" s="7" t="s">
        <v>27</v>
      </c>
      <c r="N348" s="23">
        <v>-156.5</v>
      </c>
    </row>
    <row r="349" spans="2:15">
      <c r="B349" s="2" t="s">
        <v>22</v>
      </c>
      <c r="C349" s="2" t="s">
        <v>189</v>
      </c>
      <c r="D349" s="11">
        <f>(161.97*0.07)+161.97</f>
        <v>0</v>
      </c>
      <c r="E349" s="11">
        <f>(161.97*0.10)+161.97</f>
        <v>0</v>
      </c>
      <c r="F349" s="11">
        <f>(161.97*0.15)+161.97</f>
        <v>0</v>
      </c>
      <c r="G349" s="11">
        <f>(161.97*0.20)+161.97</f>
        <v>0</v>
      </c>
      <c r="H349" s="22">
        <v>-9.09</v>
      </c>
      <c r="I349" s="22">
        <v>-8.02</v>
      </c>
    </row>
    <row r="350" spans="2:15">
      <c r="B350" s="2" t="s">
        <v>4</v>
      </c>
      <c r="C350" s="2">
        <v>151.04</v>
      </c>
      <c r="D350" s="11">
        <f>(151.04*0.07)+151.04</f>
        <v>0</v>
      </c>
      <c r="E350" s="11">
        <f>(151.04*0.10)+151.04</f>
        <v>0</v>
      </c>
      <c r="F350" s="11">
        <f>(151.04*0.15)+151.04</f>
        <v>0</v>
      </c>
      <c r="G350" s="11">
        <f>(151.04*0.20)+151.04</f>
        <v>0</v>
      </c>
      <c r="H350" s="22">
        <v>-15.22</v>
      </c>
      <c r="I350" s="22">
        <v>-14.23</v>
      </c>
    </row>
    <row r="351" spans="2:15">
      <c r="N351" s="14" t="s">
        <v>28</v>
      </c>
      <c r="O351" s="15">
        <v>1062.74</v>
      </c>
    </row>
    <row r="352" spans="2:15">
      <c r="N352" s="16"/>
      <c r="O352" s="17"/>
    </row>
    <row r="353" spans="1:15">
      <c r="N353" s="18" t="s">
        <v>29</v>
      </c>
      <c r="O353" s="24">
        <v>-156.5</v>
      </c>
    </row>
    <row r="355" spans="1:1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</row>
    <row r="356" spans="1:1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</row>
    <row r="359" spans="1:15">
      <c r="C359" s="1" t="s">
        <v>190</v>
      </c>
      <c r="D359" s="1" t="s">
        <v>191</v>
      </c>
    </row>
    <row r="360" spans="1:15">
      <c r="B360" s="2" t="s">
        <v>50</v>
      </c>
      <c r="C360" s="2" t="s">
        <v>192</v>
      </c>
      <c r="D360" s="3">
        <v>192.93</v>
      </c>
      <c r="J360" s="4" t="s">
        <v>199</v>
      </c>
      <c r="K360" s="4"/>
      <c r="L360" s="4"/>
      <c r="M360" s="5" t="s">
        <v>13</v>
      </c>
      <c r="N360" s="5">
        <v>964.65</v>
      </c>
    </row>
    <row r="361" spans="1:15">
      <c r="B361" s="6" t="s">
        <v>50</v>
      </c>
      <c r="C361" s="2" t="s">
        <v>4</v>
      </c>
      <c r="D361" s="3">
        <v>192.93</v>
      </c>
    </row>
    <row r="362" spans="1:15">
      <c r="J362" s="7" t="s">
        <v>25</v>
      </c>
      <c r="K362" s="8">
        <v>68.47</v>
      </c>
      <c r="L362" s="8">
        <v>7.1</v>
      </c>
      <c r="M362" s="9" t="s">
        <v>26</v>
      </c>
    </row>
    <row r="363" spans="1:15">
      <c r="E363" s="3" t="s">
        <v>5</v>
      </c>
      <c r="F363" s="3">
        <v>192.93</v>
      </c>
    </row>
    <row r="365" spans="1:15">
      <c r="C365" s="2" t="s">
        <v>6</v>
      </c>
      <c r="D365" s="2" t="s">
        <v>7</v>
      </c>
      <c r="E365" s="2" t="s">
        <v>8</v>
      </c>
      <c r="F365" s="2" t="s">
        <v>9</v>
      </c>
      <c r="G365" s="2" t="s">
        <v>10</v>
      </c>
      <c r="H365" s="10" t="s">
        <v>13</v>
      </c>
    </row>
    <row r="366" spans="1:15">
      <c r="B366" s="2" t="s">
        <v>11</v>
      </c>
      <c r="C366" s="2" t="s">
        <v>193</v>
      </c>
      <c r="D366" s="11">
        <f>(186.53*0.07)+186.53</f>
        <v>0</v>
      </c>
      <c r="E366" s="11">
        <f>(186.53*0.10)+186.53</f>
        <v>0</v>
      </c>
      <c r="F366" s="11">
        <f>(186.53*0.15)+186.53</f>
        <v>0</v>
      </c>
      <c r="G366" s="11">
        <f>(186.53*0.20)+186.53</f>
        <v>0</v>
      </c>
      <c r="H366" s="22">
        <v>-3.32</v>
      </c>
      <c r="L366" s="7" t="s">
        <v>27</v>
      </c>
      <c r="M366" s="13">
        <v>68.47</v>
      </c>
    </row>
    <row r="367" spans="1:15">
      <c r="B367" s="2" t="s">
        <v>14</v>
      </c>
      <c r="C367" s="2" t="s">
        <v>194</v>
      </c>
      <c r="D367" s="11">
        <f>(185.99*0.07)+185.99</f>
        <v>0</v>
      </c>
      <c r="E367" s="11">
        <f>(185.99*0.10)+185.99</f>
        <v>0</v>
      </c>
      <c r="F367" s="11">
        <f>(185.99*0.15)+185.99</f>
        <v>0</v>
      </c>
      <c r="G367" s="11">
        <f>(185.99*0.20)+185.99</f>
        <v>0</v>
      </c>
      <c r="H367" s="22">
        <v>-3.6</v>
      </c>
    </row>
    <row r="368" spans="1:15">
      <c r="B368" s="2" t="s">
        <v>16</v>
      </c>
      <c r="C368" s="2" t="s">
        <v>195</v>
      </c>
      <c r="D368" s="11">
        <f>(193.52*0.07)+193.52</f>
        <v>0</v>
      </c>
      <c r="E368" s="11">
        <f>(193.52*0.10)+193.52</f>
        <v>0</v>
      </c>
      <c r="F368" s="11">
        <f>(193.52*0.15)+193.52</f>
        <v>0</v>
      </c>
      <c r="G368" s="11">
        <f>(193.52*0.20)+193.52</f>
        <v>0</v>
      </c>
      <c r="H368" s="12">
        <v>0.31</v>
      </c>
    </row>
    <row r="369" spans="1:15">
      <c r="B369" s="2" t="s">
        <v>18</v>
      </c>
      <c r="C369" s="2" t="s">
        <v>196</v>
      </c>
      <c r="D369" s="11">
        <f>(183.17*0.07)+183.17</f>
        <v>0</v>
      </c>
      <c r="E369" s="11">
        <f>(183.17*0.10)+183.17</f>
        <v>0</v>
      </c>
      <c r="F369" s="11">
        <f>(183.17*0.15)+183.17</f>
        <v>0</v>
      </c>
      <c r="G369" s="11">
        <f>(183.17*0.20)+183.17</f>
        <v>0</v>
      </c>
      <c r="H369" s="22">
        <v>-5.06</v>
      </c>
      <c r="M369" s="14" t="s">
        <v>28</v>
      </c>
      <c r="N369" s="15">
        <v>964.65</v>
      </c>
    </row>
    <row r="370" spans="1:15">
      <c r="B370" s="2" t="s">
        <v>20</v>
      </c>
      <c r="C370" s="2" t="s">
        <v>197</v>
      </c>
      <c r="D370" s="11">
        <f>(183.43*0.07)+183.43</f>
        <v>0</v>
      </c>
      <c r="E370" s="11">
        <f>(183.43*0.10)+183.43</f>
        <v>0</v>
      </c>
      <c r="F370" s="11">
        <f>(183.43*0.15)+183.43</f>
        <v>0</v>
      </c>
      <c r="G370" s="11">
        <f>(183.43*0.20)+183.43</f>
        <v>0</v>
      </c>
      <c r="H370" s="22">
        <v>-4.92</v>
      </c>
      <c r="M370" s="16"/>
      <c r="N370" s="17"/>
    </row>
    <row r="371" spans="1:15">
      <c r="B371" s="2" t="s">
        <v>22</v>
      </c>
      <c r="C371" s="2" t="s">
        <v>198</v>
      </c>
      <c r="D371" s="11">
        <f>(179.29*0.07)+179.29</f>
        <v>0</v>
      </c>
      <c r="E371" s="11">
        <f>(179.29*0.10)+179.29</f>
        <v>0</v>
      </c>
      <c r="F371" s="11">
        <f>(179.29*0.15)+179.29</f>
        <v>0</v>
      </c>
      <c r="G371" s="11">
        <f>(179.29*0.20)+179.29</f>
        <v>0</v>
      </c>
      <c r="H371" s="22">
        <v>-7.07</v>
      </c>
      <c r="M371" s="18" t="s">
        <v>29</v>
      </c>
      <c r="N371" s="19">
        <v>68.47</v>
      </c>
    </row>
    <row r="372" spans="1:15">
      <c r="B372" s="2" t="s">
        <v>4</v>
      </c>
      <c r="C372" s="2">
        <v>206.625</v>
      </c>
      <c r="D372" s="11">
        <f>(206.625*0.07)+206.625</f>
        <v>0</v>
      </c>
      <c r="E372" s="11">
        <f>(206.625*0.10)+206.625</f>
        <v>0</v>
      </c>
      <c r="F372" s="11">
        <f>(206.625*0.15)+206.625</f>
        <v>0</v>
      </c>
      <c r="G372" s="11">
        <f>(206.625*0.20)+206.625</f>
        <v>0</v>
      </c>
      <c r="H372" s="12">
        <v>7.1</v>
      </c>
    </row>
    <row r="375" spans="1:1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</row>
    <row r="376" spans="1:1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</row>
    <row r="379" spans="1:15">
      <c r="C379" s="1" t="s">
        <v>200</v>
      </c>
      <c r="D379" s="1" t="s">
        <v>201</v>
      </c>
    </row>
    <row r="380" spans="1:15">
      <c r="B380" s="2" t="s">
        <v>35</v>
      </c>
      <c r="C380" s="2" t="s">
        <v>48</v>
      </c>
      <c r="D380" s="3">
        <v>280.7</v>
      </c>
    </row>
    <row r="381" spans="1:15">
      <c r="B381" s="2" t="s">
        <v>2</v>
      </c>
      <c r="C381" s="2" t="s">
        <v>120</v>
      </c>
      <c r="D381" s="3">
        <v>275.49</v>
      </c>
      <c r="K381" s="4" t="s">
        <v>61</v>
      </c>
      <c r="L381" s="4"/>
      <c r="M381" s="4"/>
      <c r="N381" s="5" t="s">
        <v>13</v>
      </c>
      <c r="O381" s="5">
        <v>561.4</v>
      </c>
    </row>
    <row r="382" spans="1:15">
      <c r="B382" s="6" t="s">
        <v>183</v>
      </c>
      <c r="C382" s="2" t="s">
        <v>4</v>
      </c>
      <c r="D382" s="3">
        <v>556.1799999999999</v>
      </c>
    </row>
    <row r="383" spans="1:15">
      <c r="K383" s="7" t="s">
        <v>25</v>
      </c>
      <c r="L383" s="21">
        <v>-1.16</v>
      </c>
      <c r="M383" s="21">
        <v>-0.21</v>
      </c>
      <c r="N383" s="9" t="s">
        <v>26</v>
      </c>
    </row>
    <row r="384" spans="1:15">
      <c r="E384" s="3" t="s">
        <v>5</v>
      </c>
      <c r="F384" s="3">
        <v>277.22</v>
      </c>
    </row>
    <row r="385" spans="1:15">
      <c r="K385" s="4" t="s">
        <v>127</v>
      </c>
      <c r="L385" s="4"/>
      <c r="M385" s="4"/>
      <c r="N385" s="5" t="s">
        <v>37</v>
      </c>
      <c r="O385" s="5">
        <v>1101.94</v>
      </c>
    </row>
    <row r="386" spans="1:15">
      <c r="C386" s="2" t="s">
        <v>6</v>
      </c>
      <c r="D386" s="2" t="s">
        <v>7</v>
      </c>
      <c r="E386" s="2" t="s">
        <v>8</v>
      </c>
      <c r="F386" s="2" t="s">
        <v>9</v>
      </c>
      <c r="G386" s="2" t="s">
        <v>10</v>
      </c>
      <c r="H386" s="10" t="s">
        <v>13</v>
      </c>
      <c r="I386" s="10" t="s">
        <v>37</v>
      </c>
    </row>
    <row r="387" spans="1:15">
      <c r="B387" s="2" t="s">
        <v>14</v>
      </c>
      <c r="C387" s="2" t="s">
        <v>202</v>
      </c>
      <c r="D387" s="11">
        <f>(256.56*0.07)+256.56</f>
        <v>0</v>
      </c>
      <c r="E387" s="11">
        <f>(256.56*0.10)+256.56</f>
        <v>0</v>
      </c>
      <c r="F387" s="11">
        <f>(256.56*0.15)+256.56</f>
        <v>0</v>
      </c>
      <c r="G387" s="11">
        <f>(256.56*0.20)+256.56</f>
        <v>0</v>
      </c>
      <c r="H387" s="22">
        <v>-8.6</v>
      </c>
      <c r="I387" s="22">
        <v>-6.87</v>
      </c>
      <c r="K387" s="7" t="s">
        <v>25</v>
      </c>
      <c r="L387" s="8">
        <v>18.54</v>
      </c>
      <c r="M387" s="8">
        <v>1.68</v>
      </c>
      <c r="N387" s="9" t="s">
        <v>26</v>
      </c>
    </row>
    <row r="388" spans="1:15">
      <c r="B388" s="2" t="s">
        <v>16</v>
      </c>
      <c r="C388" s="2" t="s">
        <v>203</v>
      </c>
      <c r="D388" s="11">
        <f>(268.06*0.07)+268.06</f>
        <v>0</v>
      </c>
      <c r="E388" s="11">
        <f>(268.06*0.10)+268.06</f>
        <v>0</v>
      </c>
      <c r="F388" s="11">
        <f>(268.06*0.15)+268.06</f>
        <v>0</v>
      </c>
      <c r="G388" s="11">
        <f>(268.06*0.20)+268.06</f>
        <v>0</v>
      </c>
      <c r="H388" s="22">
        <v>-4.5</v>
      </c>
      <c r="I388" s="22">
        <v>-2.7</v>
      </c>
    </row>
    <row r="389" spans="1:15">
      <c r="B389" s="2" t="s">
        <v>18</v>
      </c>
      <c r="C389" s="2" t="s">
        <v>204</v>
      </c>
      <c r="D389" s="11">
        <f>(267.78*0.07)+267.78</f>
        <v>0</v>
      </c>
      <c r="E389" s="11">
        <f>(267.78*0.10)+267.78</f>
        <v>0</v>
      </c>
      <c r="F389" s="11">
        <f>(267.78*0.15)+267.78</f>
        <v>0</v>
      </c>
      <c r="G389" s="11">
        <f>(267.78*0.20)+267.78</f>
        <v>0</v>
      </c>
      <c r="H389" s="22">
        <v>-4.6</v>
      </c>
      <c r="I389" s="22">
        <v>-2.8</v>
      </c>
    </row>
    <row r="390" spans="1:15">
      <c r="B390" s="2" t="s">
        <v>20</v>
      </c>
      <c r="C390" s="2" t="s">
        <v>205</v>
      </c>
      <c r="D390" s="11">
        <f>(266.73*0.07)+266.73</f>
        <v>0</v>
      </c>
      <c r="E390" s="11">
        <f>(266.73*0.10)+266.73</f>
        <v>0</v>
      </c>
      <c r="F390" s="11">
        <f>(266.73*0.15)+266.73</f>
        <v>0</v>
      </c>
      <c r="G390" s="11">
        <f>(266.73*0.20)+266.73</f>
        <v>0</v>
      </c>
      <c r="H390" s="22">
        <v>-4.98</v>
      </c>
      <c r="I390" s="22">
        <v>-3.18</v>
      </c>
    </row>
    <row r="391" spans="1:15">
      <c r="B391" s="2" t="s">
        <v>22</v>
      </c>
      <c r="C391" s="2" t="s">
        <v>206</v>
      </c>
      <c r="D391" s="11">
        <f>(271.42*0.07)+271.42</f>
        <v>0</v>
      </c>
      <c r="E391" s="11">
        <f>(271.42*0.10)+271.42</f>
        <v>0</v>
      </c>
      <c r="F391" s="11">
        <f>(271.42*0.15)+271.42</f>
        <v>0</v>
      </c>
      <c r="G391" s="11">
        <f>(271.42*0.20)+271.42</f>
        <v>0</v>
      </c>
      <c r="H391" s="22">
        <v>-3.31</v>
      </c>
      <c r="I391" s="22">
        <v>-1.48</v>
      </c>
      <c r="M391" s="7" t="s">
        <v>27</v>
      </c>
      <c r="N391" s="13">
        <v>17.38</v>
      </c>
    </row>
    <row r="392" spans="1:15">
      <c r="B392" s="2" t="s">
        <v>4</v>
      </c>
      <c r="C392" s="2">
        <v>280.12</v>
      </c>
      <c r="D392" s="11">
        <f>(280.12*0.07)+280.12</f>
        <v>0</v>
      </c>
      <c r="E392" s="11">
        <f>(280.12*0.10)+280.12</f>
        <v>0</v>
      </c>
      <c r="F392" s="11">
        <f>(280.12*0.15)+280.12</f>
        <v>0</v>
      </c>
      <c r="G392" s="11">
        <f>(280.12*0.20)+280.12</f>
        <v>0</v>
      </c>
      <c r="H392" s="22">
        <v>-0.21</v>
      </c>
      <c r="I392" s="12">
        <v>1.68</v>
      </c>
    </row>
    <row r="394" spans="1:15">
      <c r="N394" s="14" t="s">
        <v>28</v>
      </c>
      <c r="O394" s="15">
        <v>1663.34</v>
      </c>
    </row>
    <row r="395" spans="1:15">
      <c r="N395" s="16"/>
      <c r="O395" s="17"/>
    </row>
    <row r="396" spans="1:15">
      <c r="N396" s="18" t="s">
        <v>29</v>
      </c>
      <c r="O396" s="19">
        <v>17.38</v>
      </c>
    </row>
    <row r="398" spans="1:1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</row>
    <row r="399" spans="1:1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</row>
    <row r="402" spans="2:16">
      <c r="C402" s="1" t="s">
        <v>207</v>
      </c>
      <c r="D402" s="1" t="s">
        <v>208</v>
      </c>
    </row>
    <row r="403" spans="2:16">
      <c r="B403" s="2" t="s">
        <v>183</v>
      </c>
      <c r="C403" s="2" t="s">
        <v>209</v>
      </c>
      <c r="D403" s="3">
        <v>90.29000000000001</v>
      </c>
    </row>
    <row r="404" spans="2:16">
      <c r="B404" s="2" t="s">
        <v>183</v>
      </c>
      <c r="C404" s="2" t="s">
        <v>107</v>
      </c>
      <c r="D404" s="3">
        <v>76.75</v>
      </c>
    </row>
    <row r="405" spans="2:16">
      <c r="B405" s="2" t="s">
        <v>183</v>
      </c>
      <c r="C405" s="2" t="s">
        <v>49</v>
      </c>
      <c r="D405" s="3">
        <v>76.76000000000001</v>
      </c>
      <c r="L405" s="4" t="s">
        <v>217</v>
      </c>
      <c r="M405" s="4"/>
      <c r="N405" s="4"/>
      <c r="O405" s="5" t="s">
        <v>13</v>
      </c>
      <c r="P405" s="5">
        <v>541.76</v>
      </c>
    </row>
    <row r="406" spans="2:16">
      <c r="B406" s="6" t="s">
        <v>210</v>
      </c>
      <c r="C406" s="2" t="s">
        <v>4</v>
      </c>
      <c r="D406" s="3">
        <v>243.8</v>
      </c>
    </row>
    <row r="407" spans="2:16">
      <c r="L407" s="7" t="s">
        <v>25</v>
      </c>
      <c r="M407" s="21">
        <v>-13.88</v>
      </c>
      <c r="N407" s="21">
        <v>-2.56</v>
      </c>
      <c r="O407" s="9" t="s">
        <v>26</v>
      </c>
    </row>
    <row r="408" spans="2:16">
      <c r="E408" s="3" t="s">
        <v>5</v>
      </c>
      <c r="F408" s="3">
        <v>81.27</v>
      </c>
    </row>
    <row r="409" spans="2:16">
      <c r="L409" s="4" t="s">
        <v>116</v>
      </c>
      <c r="M409" s="4"/>
      <c r="N409" s="4"/>
      <c r="O409" s="5" t="s">
        <v>37</v>
      </c>
      <c r="P409" s="5">
        <v>460.49</v>
      </c>
    </row>
    <row r="410" spans="2:16">
      <c r="C410" s="2" t="s">
        <v>6</v>
      </c>
      <c r="D410" s="2" t="s">
        <v>7</v>
      </c>
      <c r="E410" s="2" t="s">
        <v>8</v>
      </c>
      <c r="F410" s="2" t="s">
        <v>9</v>
      </c>
      <c r="G410" s="2" t="s">
        <v>10</v>
      </c>
      <c r="H410" s="10" t="s">
        <v>13</v>
      </c>
      <c r="I410" s="10" t="s">
        <v>37</v>
      </c>
      <c r="J410" s="10" t="s">
        <v>54</v>
      </c>
    </row>
    <row r="411" spans="2:16">
      <c r="B411" s="2" t="s">
        <v>11</v>
      </c>
      <c r="C411" s="2" t="s">
        <v>211</v>
      </c>
      <c r="D411" s="11">
        <f>(99.43*0.07)+99.43</f>
        <v>0</v>
      </c>
      <c r="E411" s="11">
        <f>(99.43*0.10)+99.43</f>
        <v>0</v>
      </c>
      <c r="F411" s="11">
        <f>(99.43*0.15)+99.43</f>
        <v>0</v>
      </c>
      <c r="G411" s="11">
        <f>(99.43*0.20)+99.43</f>
        <v>0</v>
      </c>
      <c r="H411" s="12">
        <v>10.12</v>
      </c>
      <c r="I411" s="12">
        <v>29.55</v>
      </c>
      <c r="J411" s="12">
        <v>29.54</v>
      </c>
      <c r="L411" s="7" t="s">
        <v>25</v>
      </c>
      <c r="M411" s="8">
        <v>67.39</v>
      </c>
      <c r="N411" s="8">
        <v>14.63</v>
      </c>
      <c r="O411" s="9" t="s">
        <v>26</v>
      </c>
    </row>
    <row r="412" spans="2:16">
      <c r="B412" s="2" t="s">
        <v>14</v>
      </c>
      <c r="C412" s="2" t="s">
        <v>212</v>
      </c>
      <c r="D412" s="11">
        <f>(98.74*0.07)+98.74</f>
        <v>0</v>
      </c>
      <c r="E412" s="11">
        <f>(98.74*0.10)+98.74</f>
        <v>0</v>
      </c>
      <c r="F412" s="11">
        <f>(98.74*0.15)+98.74</f>
        <v>0</v>
      </c>
      <c r="G412" s="11">
        <f>(98.74*0.20)+98.74</f>
        <v>0</v>
      </c>
      <c r="H412" s="12">
        <v>9.359999999999999</v>
      </c>
      <c r="I412" s="12">
        <v>28.65</v>
      </c>
      <c r="J412" s="12">
        <v>28.64</v>
      </c>
    </row>
    <row r="413" spans="2:16">
      <c r="B413" s="2" t="s">
        <v>16</v>
      </c>
      <c r="C413" s="2" t="s">
        <v>213</v>
      </c>
      <c r="D413" s="11">
        <f>(99.775*0.07)+99.775</f>
        <v>0</v>
      </c>
      <c r="E413" s="11">
        <f>(99.775*0.10)+99.775</f>
        <v>0</v>
      </c>
      <c r="F413" s="11">
        <f>(99.775*0.15)+99.775</f>
        <v>0</v>
      </c>
      <c r="G413" s="11">
        <f>(99.775*0.20)+99.775</f>
        <v>0</v>
      </c>
      <c r="H413" s="12">
        <v>10.5</v>
      </c>
      <c r="I413" s="12">
        <v>30</v>
      </c>
      <c r="J413" s="12">
        <v>29.99</v>
      </c>
      <c r="L413" s="4" t="s">
        <v>62</v>
      </c>
      <c r="M413" s="4"/>
      <c r="N413" s="4"/>
      <c r="O413" s="5" t="s">
        <v>54</v>
      </c>
      <c r="P413" s="5">
        <v>460.55</v>
      </c>
    </row>
    <row r="414" spans="2:16">
      <c r="B414" s="2" t="s">
        <v>18</v>
      </c>
      <c r="C414" s="2" t="s">
        <v>214</v>
      </c>
      <c r="D414" s="11">
        <f>(99.34*0.07)+99.34</f>
        <v>0</v>
      </c>
      <c r="E414" s="11">
        <f>(99.34*0.10)+99.34</f>
        <v>0</v>
      </c>
      <c r="F414" s="11">
        <f>(99.34*0.15)+99.34</f>
        <v>0</v>
      </c>
      <c r="G414" s="11">
        <f>(99.34*0.20)+99.34</f>
        <v>0</v>
      </c>
      <c r="H414" s="12">
        <v>10.02</v>
      </c>
      <c r="I414" s="12">
        <v>29.44</v>
      </c>
      <c r="J414" s="12">
        <v>29.42</v>
      </c>
    </row>
    <row r="415" spans="2:16">
      <c r="B415" s="2" t="s">
        <v>20</v>
      </c>
      <c r="C415" s="2" t="s">
        <v>215</v>
      </c>
      <c r="D415" s="11">
        <f>(98.96*0.07)+98.96</f>
        <v>0</v>
      </c>
      <c r="E415" s="11">
        <f>(98.96*0.10)+98.96</f>
        <v>0</v>
      </c>
      <c r="F415" s="11">
        <f>(98.96*0.15)+98.96</f>
        <v>0</v>
      </c>
      <c r="G415" s="11">
        <f>(98.96*0.20)+98.96</f>
        <v>0</v>
      </c>
      <c r="H415" s="12">
        <v>9.6</v>
      </c>
      <c r="I415" s="12">
        <v>28.94</v>
      </c>
      <c r="J415" s="12">
        <v>28.92</v>
      </c>
      <c r="L415" s="7" t="s">
        <v>25</v>
      </c>
      <c r="M415" s="8">
        <v>67.33</v>
      </c>
      <c r="N415" s="8">
        <v>14.62</v>
      </c>
      <c r="O415" s="9" t="s">
        <v>26</v>
      </c>
    </row>
    <row r="416" spans="2:16">
      <c r="B416" s="2" t="s">
        <v>22</v>
      </c>
      <c r="C416" s="2" t="s">
        <v>216</v>
      </c>
      <c r="D416" s="11">
        <f>(99.68*0.07)+99.68</f>
        <v>0</v>
      </c>
      <c r="E416" s="11">
        <f>(99.68*0.10)+99.68</f>
        <v>0</v>
      </c>
      <c r="F416" s="11">
        <f>(99.68*0.15)+99.68</f>
        <v>0</v>
      </c>
      <c r="G416" s="11">
        <f>(99.68*0.20)+99.68</f>
        <v>0</v>
      </c>
      <c r="H416" s="12">
        <v>10.4</v>
      </c>
      <c r="I416" s="12">
        <v>29.88</v>
      </c>
      <c r="J416" s="12">
        <v>29.86</v>
      </c>
    </row>
    <row r="417" spans="1:16">
      <c r="B417" s="2" t="s">
        <v>4</v>
      </c>
      <c r="C417" s="2">
        <v>87.98</v>
      </c>
      <c r="D417" s="11">
        <f>(87.98*0.07)+87.98</f>
        <v>0</v>
      </c>
      <c r="E417" s="11">
        <f>(87.98*0.10)+87.98</f>
        <v>0</v>
      </c>
      <c r="F417" s="11">
        <f>(87.98*0.15)+87.98</f>
        <v>0</v>
      </c>
      <c r="G417" s="11">
        <f>(87.98*0.20)+87.98</f>
        <v>0</v>
      </c>
      <c r="H417" s="22">
        <v>-2.56</v>
      </c>
      <c r="I417" s="12">
        <v>14.63</v>
      </c>
      <c r="J417" s="12">
        <v>14.62</v>
      </c>
    </row>
    <row r="419" spans="1:16">
      <c r="N419" s="7" t="s">
        <v>27</v>
      </c>
      <c r="O419" s="13">
        <v>120.85</v>
      </c>
    </row>
    <row r="422" spans="1:16">
      <c r="O422" s="14" t="s">
        <v>28</v>
      </c>
      <c r="P422" s="15">
        <v>1462.79</v>
      </c>
    </row>
    <row r="423" spans="1:16">
      <c r="O423" s="16"/>
      <c r="P423" s="17"/>
    </row>
    <row r="424" spans="1:16">
      <c r="O424" s="18" t="s">
        <v>29</v>
      </c>
      <c r="P424" s="19">
        <v>120.85</v>
      </c>
    </row>
    <row r="426" spans="1:1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</row>
    <row r="427" spans="1:16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</row>
    <row r="430" spans="1:16">
      <c r="C430" s="1" t="s">
        <v>218</v>
      </c>
      <c r="D430" s="1" t="s">
        <v>219</v>
      </c>
    </row>
    <row r="431" spans="1:16">
      <c r="B431" s="2" t="s">
        <v>66</v>
      </c>
      <c r="C431" s="2" t="s">
        <v>220</v>
      </c>
      <c r="D431" s="3">
        <v>76.25</v>
      </c>
    </row>
    <row r="432" spans="1:16">
      <c r="B432" s="2" t="s">
        <v>156</v>
      </c>
      <c r="C432" s="2" t="s">
        <v>120</v>
      </c>
      <c r="D432" s="3">
        <v>87.22</v>
      </c>
      <c r="K432" s="4" t="s">
        <v>228</v>
      </c>
      <c r="L432" s="4"/>
      <c r="M432" s="4"/>
      <c r="N432" s="5" t="s">
        <v>13</v>
      </c>
      <c r="O432" s="5">
        <v>762.54</v>
      </c>
    </row>
    <row r="433" spans="2:15">
      <c r="B433" s="6" t="s">
        <v>221</v>
      </c>
      <c r="C433" s="2" t="s">
        <v>4</v>
      </c>
      <c r="D433" s="3">
        <v>163.47</v>
      </c>
    </row>
    <row r="434" spans="2:15">
      <c r="K434" s="7" t="s">
        <v>25</v>
      </c>
      <c r="L434" s="21">
        <v>-26.94</v>
      </c>
      <c r="M434" s="21">
        <v>-3.53</v>
      </c>
      <c r="N434" s="9" t="s">
        <v>26</v>
      </c>
    </row>
    <row r="435" spans="2:15">
      <c r="E435" s="3" t="s">
        <v>5</v>
      </c>
      <c r="F435" s="3">
        <v>80.77</v>
      </c>
    </row>
    <row r="436" spans="2:15">
      <c r="K436" s="4" t="s">
        <v>127</v>
      </c>
      <c r="L436" s="4"/>
      <c r="M436" s="4"/>
      <c r="N436" s="5" t="s">
        <v>37</v>
      </c>
      <c r="O436" s="5">
        <v>610.54</v>
      </c>
    </row>
    <row r="437" spans="2:15">
      <c r="C437" s="2" t="s">
        <v>6</v>
      </c>
      <c r="D437" s="2" t="s">
        <v>7</v>
      </c>
      <c r="E437" s="2" t="s">
        <v>8</v>
      </c>
      <c r="F437" s="2" t="s">
        <v>9</v>
      </c>
      <c r="G437" s="2" t="s">
        <v>10</v>
      </c>
      <c r="H437" s="10" t="s">
        <v>13</v>
      </c>
      <c r="I437" s="10" t="s">
        <v>37</v>
      </c>
    </row>
    <row r="438" spans="2:15">
      <c r="B438" s="2" t="s">
        <v>11</v>
      </c>
      <c r="C438" s="2" t="s">
        <v>222</v>
      </c>
      <c r="D438" s="11">
        <f>(85.52*0.07)+85.52</f>
        <v>0</v>
      </c>
      <c r="E438" s="11">
        <f>(85.52*0.10)+85.52</f>
        <v>0</v>
      </c>
      <c r="F438" s="11">
        <f>(85.52*0.15)+85.52</f>
        <v>0</v>
      </c>
      <c r="G438" s="11">
        <f>(85.52*0.20)+85.52</f>
        <v>0</v>
      </c>
      <c r="H438" s="12">
        <v>12.15</v>
      </c>
      <c r="I438" s="22">
        <v>-1.95</v>
      </c>
      <c r="K438" s="7" t="s">
        <v>25</v>
      </c>
      <c r="L438" s="21">
        <v>-95.62</v>
      </c>
      <c r="M438" s="21">
        <v>-15.66</v>
      </c>
      <c r="N438" s="9" t="s">
        <v>26</v>
      </c>
    </row>
    <row r="439" spans="2:15">
      <c r="B439" s="2" t="s">
        <v>14</v>
      </c>
      <c r="C439" s="2" t="s">
        <v>223</v>
      </c>
      <c r="D439" s="11">
        <f>(82.395*0.07)+82.395</f>
        <v>0</v>
      </c>
      <c r="E439" s="11">
        <f>(82.395*0.10)+82.395</f>
        <v>0</v>
      </c>
      <c r="F439" s="11">
        <f>(82.395*0.15)+82.395</f>
        <v>0</v>
      </c>
      <c r="G439" s="11">
        <f>(82.395*0.20)+82.395</f>
        <v>0</v>
      </c>
      <c r="H439" s="12">
        <v>8.050000000000001</v>
      </c>
      <c r="I439" s="22">
        <v>-5.53</v>
      </c>
    </row>
    <row r="440" spans="2:15">
      <c r="B440" s="2" t="s">
        <v>16</v>
      </c>
      <c r="C440" s="2" t="s">
        <v>224</v>
      </c>
      <c r="D440" s="11">
        <f>(83.27*0.07)+83.27</f>
        <v>0</v>
      </c>
      <c r="E440" s="11">
        <f>(83.27*0.10)+83.27</f>
        <v>0</v>
      </c>
      <c r="F440" s="11">
        <f>(83.27*0.15)+83.27</f>
        <v>0</v>
      </c>
      <c r="G440" s="11">
        <f>(83.27*0.20)+83.27</f>
        <v>0</v>
      </c>
      <c r="H440" s="12">
        <v>9.199999999999999</v>
      </c>
      <c r="I440" s="22">
        <v>-4.53</v>
      </c>
    </row>
    <row r="441" spans="2:15">
      <c r="B441" s="2" t="s">
        <v>18</v>
      </c>
      <c r="C441" s="2" t="s">
        <v>225</v>
      </c>
      <c r="D441" s="11">
        <f>(80.145*0.07)+80.145</f>
        <v>0</v>
      </c>
      <c r="E441" s="11">
        <f>(80.145*0.10)+80.145</f>
        <v>0</v>
      </c>
      <c r="F441" s="11">
        <f>(80.145*0.15)+80.145</f>
        <v>0</v>
      </c>
      <c r="G441" s="11">
        <f>(80.145*0.20)+80.145</f>
        <v>0</v>
      </c>
      <c r="H441" s="12">
        <v>5.1</v>
      </c>
      <c r="I441" s="22">
        <v>-8.109999999999999</v>
      </c>
    </row>
    <row r="442" spans="2:15">
      <c r="B442" s="2" t="s">
        <v>20</v>
      </c>
      <c r="C442" s="2" t="s">
        <v>226</v>
      </c>
      <c r="D442" s="11">
        <f>(79.72*0.07)+79.72</f>
        <v>0</v>
      </c>
      <c r="E442" s="11">
        <f>(79.72*0.10)+79.72</f>
        <v>0</v>
      </c>
      <c r="F442" s="11">
        <f>(79.72*0.15)+79.72</f>
        <v>0</v>
      </c>
      <c r="G442" s="11">
        <f>(79.72*0.20)+79.72</f>
        <v>0</v>
      </c>
      <c r="H442" s="12">
        <v>4.55</v>
      </c>
      <c r="I442" s="22">
        <v>-8.6</v>
      </c>
      <c r="M442" s="7" t="s">
        <v>27</v>
      </c>
      <c r="N442" s="23">
        <v>-122.56</v>
      </c>
    </row>
    <row r="443" spans="2:15">
      <c r="B443" s="2" t="s">
        <v>22</v>
      </c>
      <c r="C443" s="2" t="s">
        <v>227</v>
      </c>
      <c r="D443" s="11">
        <f>(80.095*0.07)+80.095</f>
        <v>0</v>
      </c>
      <c r="E443" s="11">
        <f>(80.095*0.10)+80.095</f>
        <v>0</v>
      </c>
      <c r="F443" s="11">
        <f>(80.095*0.15)+80.095</f>
        <v>0</v>
      </c>
      <c r="G443" s="11">
        <f>(80.095*0.20)+80.095</f>
        <v>0</v>
      </c>
      <c r="H443" s="12">
        <v>5.04</v>
      </c>
      <c r="I443" s="22">
        <v>-8.17</v>
      </c>
    </row>
    <row r="444" spans="2:15">
      <c r="B444" s="2" t="s">
        <v>4</v>
      </c>
      <c r="C444" s="2">
        <v>73.56</v>
      </c>
      <c r="D444" s="11">
        <f>(73.56*0.07)+73.56</f>
        <v>0</v>
      </c>
      <c r="E444" s="11">
        <f>(73.56*0.10)+73.56</f>
        <v>0</v>
      </c>
      <c r="F444" s="11">
        <f>(73.56*0.15)+73.56</f>
        <v>0</v>
      </c>
      <c r="G444" s="11">
        <f>(73.56*0.20)+73.56</f>
        <v>0</v>
      </c>
      <c r="H444" s="22">
        <v>-3.53</v>
      </c>
      <c r="I444" s="22">
        <v>-15.66</v>
      </c>
    </row>
    <row r="445" spans="2:15">
      <c r="N445" s="14" t="s">
        <v>28</v>
      </c>
      <c r="O445" s="15">
        <v>1373.08</v>
      </c>
    </row>
    <row r="446" spans="2:15">
      <c r="N446" s="16"/>
      <c r="O446" s="17"/>
    </row>
    <row r="447" spans="2:15">
      <c r="N447" s="18" t="s">
        <v>29</v>
      </c>
      <c r="O447" s="24">
        <v>-122.56</v>
      </c>
    </row>
    <row r="449" spans="1:1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</row>
    <row r="450" spans="1:1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</row>
    <row r="453" spans="1:15">
      <c r="C453" s="1" t="s">
        <v>229</v>
      </c>
      <c r="D453" s="1" t="s">
        <v>230</v>
      </c>
    </row>
    <row r="454" spans="1:15">
      <c r="B454" s="2" t="s">
        <v>32</v>
      </c>
      <c r="C454" s="2" t="s">
        <v>130</v>
      </c>
      <c r="D454" s="3">
        <v>100</v>
      </c>
    </row>
    <row r="455" spans="1:15">
      <c r="B455" s="2" t="s">
        <v>35</v>
      </c>
      <c r="C455" s="2" t="s">
        <v>49</v>
      </c>
      <c r="D455" s="3">
        <v>377.85</v>
      </c>
      <c r="K455" s="4" t="s">
        <v>238</v>
      </c>
      <c r="L455" s="4"/>
      <c r="M455" s="4"/>
      <c r="N455" s="5" t="s">
        <v>13</v>
      </c>
      <c r="O455" s="5">
        <v>100</v>
      </c>
    </row>
    <row r="456" spans="1:15">
      <c r="B456" s="6" t="s">
        <v>68</v>
      </c>
      <c r="C456" s="2" t="s">
        <v>4</v>
      </c>
      <c r="D456" s="3">
        <v>477.85</v>
      </c>
    </row>
    <row r="457" spans="1:15">
      <c r="K457" s="7" t="s">
        <v>25</v>
      </c>
      <c r="L457" s="8">
        <v>297.64</v>
      </c>
      <c r="M457" s="8">
        <v>297.64</v>
      </c>
      <c r="N457" s="9" t="s">
        <v>26</v>
      </c>
    </row>
    <row r="458" spans="1:15">
      <c r="E458" s="3" t="s">
        <v>5</v>
      </c>
      <c r="F458" s="3">
        <v>285.23</v>
      </c>
    </row>
    <row r="459" spans="1:15">
      <c r="K459" s="4" t="s">
        <v>62</v>
      </c>
      <c r="L459" s="4"/>
      <c r="M459" s="4"/>
      <c r="N459" s="5" t="s">
        <v>37</v>
      </c>
      <c r="O459" s="5">
        <v>755.7</v>
      </c>
    </row>
    <row r="460" spans="1:15">
      <c r="C460" s="2" t="s">
        <v>6</v>
      </c>
      <c r="D460" s="2" t="s">
        <v>7</v>
      </c>
      <c r="E460" s="2" t="s">
        <v>8</v>
      </c>
      <c r="F460" s="2" t="s">
        <v>9</v>
      </c>
      <c r="G460" s="2" t="s">
        <v>10</v>
      </c>
      <c r="H460" s="10" t="s">
        <v>13</v>
      </c>
      <c r="I460" s="10" t="s">
        <v>37</v>
      </c>
    </row>
    <row r="461" spans="1:15">
      <c r="B461" s="2" t="s">
        <v>130</v>
      </c>
      <c r="C461" s="2" t="s">
        <v>231</v>
      </c>
      <c r="D461" s="11">
        <f>(400.28*0.07)+400.28</f>
        <v>0</v>
      </c>
      <c r="E461" s="11">
        <f>(400.28*0.10)+400.28</f>
        <v>0</v>
      </c>
      <c r="F461" s="11">
        <f>(400.28*0.15)+400.28</f>
        <v>0</v>
      </c>
      <c r="G461" s="11">
        <f>(400.28*0.20)+400.28</f>
        <v>0</v>
      </c>
      <c r="H461" s="12">
        <v>300.28</v>
      </c>
      <c r="I461" s="12">
        <v>5.94</v>
      </c>
      <c r="K461" s="7" t="s">
        <v>25</v>
      </c>
      <c r="L461" s="8">
        <v>39.58</v>
      </c>
      <c r="M461" s="8">
        <v>5.24</v>
      </c>
      <c r="N461" s="9" t="s">
        <v>26</v>
      </c>
    </row>
    <row r="462" spans="1:15">
      <c r="B462" s="2" t="s">
        <v>11</v>
      </c>
      <c r="C462" s="2" t="s">
        <v>232</v>
      </c>
      <c r="D462" s="11">
        <f>(412.35*0.07)+412.35</f>
        <v>0</v>
      </c>
      <c r="E462" s="11">
        <f>(412.35*0.10)+412.35</f>
        <v>0</v>
      </c>
      <c r="F462" s="11">
        <f>(412.35*0.15)+412.35</f>
        <v>0</v>
      </c>
      <c r="G462" s="11">
        <f>(412.35*0.20)+412.35</f>
        <v>0</v>
      </c>
      <c r="H462" s="12">
        <v>312.35</v>
      </c>
      <c r="I462" s="12">
        <v>9.130000000000001</v>
      </c>
    </row>
    <row r="463" spans="1:15">
      <c r="B463" s="2" t="s">
        <v>14</v>
      </c>
      <c r="C463" s="2" t="s">
        <v>233</v>
      </c>
      <c r="D463" s="11">
        <f>(409.25*0.07)+409.25</f>
        <v>0</v>
      </c>
      <c r="E463" s="11">
        <f>(409.25*0.10)+409.25</f>
        <v>0</v>
      </c>
      <c r="F463" s="11">
        <f>(409.25*0.15)+409.25</f>
        <v>0</v>
      </c>
      <c r="G463" s="11">
        <f>(409.25*0.20)+409.25</f>
        <v>0</v>
      </c>
      <c r="H463" s="12">
        <v>309.25</v>
      </c>
      <c r="I463" s="12">
        <v>8.31</v>
      </c>
    </row>
    <row r="464" spans="1:15">
      <c r="B464" s="2" t="s">
        <v>16</v>
      </c>
      <c r="C464" s="2" t="s">
        <v>234</v>
      </c>
      <c r="D464" s="11">
        <f>(414.75*0.07)+414.75</f>
        <v>0</v>
      </c>
      <c r="E464" s="11">
        <f>(414.75*0.10)+414.75</f>
        <v>0</v>
      </c>
      <c r="F464" s="11">
        <f>(414.75*0.15)+414.75</f>
        <v>0</v>
      </c>
      <c r="G464" s="11">
        <f>(414.75*0.20)+414.75</f>
        <v>0</v>
      </c>
      <c r="H464" s="12">
        <v>314.75</v>
      </c>
      <c r="I464" s="12">
        <v>9.77</v>
      </c>
    </row>
    <row r="465" spans="1:15">
      <c r="B465" s="2" t="s">
        <v>18</v>
      </c>
      <c r="C465" s="2" t="s">
        <v>235</v>
      </c>
      <c r="D465" s="11">
        <f>(410.59*0.07)+410.59</f>
        <v>0</v>
      </c>
      <c r="E465" s="11">
        <f>(410.59*0.10)+410.59</f>
        <v>0</v>
      </c>
      <c r="F465" s="11">
        <f>(410.59*0.15)+410.59</f>
        <v>0</v>
      </c>
      <c r="G465" s="11">
        <f>(410.59*0.20)+410.59</f>
        <v>0</v>
      </c>
      <c r="H465" s="12">
        <v>310.59</v>
      </c>
      <c r="I465" s="12">
        <v>8.66</v>
      </c>
      <c r="M465" s="7" t="s">
        <v>27</v>
      </c>
      <c r="N465" s="13">
        <v>337.22</v>
      </c>
    </row>
    <row r="466" spans="1:15">
      <c r="B466" s="2" t="s">
        <v>20</v>
      </c>
      <c r="C466" s="2" t="s">
        <v>236</v>
      </c>
      <c r="D466" s="11">
        <f>(410.65*0.07)+410.65</f>
        <v>0</v>
      </c>
      <c r="E466" s="11">
        <f>(410.65*0.10)+410.65</f>
        <v>0</v>
      </c>
      <c r="F466" s="11">
        <f>(410.65*0.15)+410.65</f>
        <v>0</v>
      </c>
      <c r="G466" s="11">
        <f>(410.65*0.20)+410.65</f>
        <v>0</v>
      </c>
      <c r="H466" s="12">
        <v>310.65</v>
      </c>
      <c r="I466" s="12">
        <v>8.68</v>
      </c>
    </row>
    <row r="467" spans="1:15">
      <c r="B467" s="2" t="s">
        <v>22</v>
      </c>
      <c r="C467" s="2" t="s">
        <v>237</v>
      </c>
      <c r="D467" s="11">
        <f>(412.06*0.07)+412.06</f>
        <v>0</v>
      </c>
      <c r="E467" s="11">
        <f>(412.06*0.10)+412.06</f>
        <v>0</v>
      </c>
      <c r="F467" s="11">
        <f>(412.06*0.15)+412.06</f>
        <v>0</v>
      </c>
      <c r="G467" s="11">
        <f>(412.06*0.20)+412.06</f>
        <v>0</v>
      </c>
      <c r="H467" s="12">
        <v>312.06</v>
      </c>
      <c r="I467" s="12">
        <v>9.050000000000001</v>
      </c>
    </row>
    <row r="468" spans="1:15">
      <c r="B468" s="2" t="s">
        <v>4</v>
      </c>
      <c r="C468" s="2">
        <v>397.64</v>
      </c>
      <c r="D468" s="11">
        <f>(397.64*0.07)+397.64</f>
        <v>0</v>
      </c>
      <c r="E468" s="11">
        <f>(397.64*0.10)+397.64</f>
        <v>0</v>
      </c>
      <c r="F468" s="11">
        <f>(397.64*0.15)+397.64</f>
        <v>0</v>
      </c>
      <c r="G468" s="11">
        <f>(397.64*0.20)+397.64</f>
        <v>0</v>
      </c>
      <c r="H468" s="12">
        <v>297.64</v>
      </c>
      <c r="I468" s="12">
        <v>5.24</v>
      </c>
      <c r="N468" s="14" t="s">
        <v>28</v>
      </c>
      <c r="O468" s="15">
        <v>855.7</v>
      </c>
    </row>
    <row r="469" spans="1:15">
      <c r="N469" s="16"/>
      <c r="O469" s="17"/>
    </row>
    <row r="470" spans="1:15">
      <c r="N470" s="18" t="s">
        <v>29</v>
      </c>
      <c r="O470" s="19">
        <v>337.22</v>
      </c>
    </row>
    <row r="472" spans="1:1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</row>
    <row r="473" spans="1:1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</row>
    <row r="476" spans="1:15">
      <c r="C476" s="1" t="s">
        <v>239</v>
      </c>
      <c r="D476" s="1" t="s">
        <v>239</v>
      </c>
    </row>
    <row r="477" spans="1:15">
      <c r="B477" s="2" t="s">
        <v>240</v>
      </c>
      <c r="C477" s="2" t="s">
        <v>241</v>
      </c>
      <c r="D477" s="3">
        <v>45.5</v>
      </c>
    </row>
    <row r="478" spans="1:15">
      <c r="B478" s="2" t="s">
        <v>240</v>
      </c>
      <c r="C478" s="2" t="s">
        <v>241</v>
      </c>
      <c r="D478" s="3">
        <v>45.5</v>
      </c>
      <c r="K478" s="4" t="s">
        <v>245</v>
      </c>
      <c r="L478" s="4"/>
      <c r="M478" s="4"/>
      <c r="N478" s="5" t="s">
        <v>13</v>
      </c>
      <c r="O478" s="5">
        <v>546</v>
      </c>
    </row>
    <row r="479" spans="1:15">
      <c r="B479" s="6" t="s">
        <v>242</v>
      </c>
      <c r="C479" s="2" t="s">
        <v>4</v>
      </c>
      <c r="D479" s="3">
        <v>91</v>
      </c>
    </row>
    <row r="480" spans="1:15">
      <c r="K480" s="7" t="s">
        <v>25</v>
      </c>
      <c r="L480" s="8">
        <v>1670.82</v>
      </c>
      <c r="M480" s="8">
        <v>306.01</v>
      </c>
      <c r="N480" s="9" t="s">
        <v>26</v>
      </c>
    </row>
    <row r="481" spans="1:15">
      <c r="E481" s="3" t="s">
        <v>5</v>
      </c>
      <c r="F481" s="3">
        <v>45.5</v>
      </c>
    </row>
    <row r="482" spans="1:15">
      <c r="K482" s="4" t="s">
        <v>245</v>
      </c>
      <c r="L482" s="4"/>
      <c r="M482" s="4"/>
      <c r="N482" s="5" t="s">
        <v>37</v>
      </c>
      <c r="O482" s="5">
        <v>546</v>
      </c>
    </row>
    <row r="483" spans="1:15">
      <c r="C483" s="2" t="s">
        <v>6</v>
      </c>
      <c r="D483" s="2" t="s">
        <v>7</v>
      </c>
      <c r="E483" s="2" t="s">
        <v>8</v>
      </c>
      <c r="F483" s="2" t="s">
        <v>9</v>
      </c>
      <c r="G483" s="2" t="s">
        <v>10</v>
      </c>
      <c r="H483" s="10" t="s">
        <v>13</v>
      </c>
      <c r="I483" s="10" t="s">
        <v>37</v>
      </c>
    </row>
    <row r="484" spans="1:15">
      <c r="B484" s="2" t="s">
        <v>20</v>
      </c>
      <c r="C484" s="2" t="s">
        <v>243</v>
      </c>
      <c r="D484" s="11">
        <f>(182.78*0.07)+182.78</f>
        <v>0</v>
      </c>
      <c r="E484" s="11">
        <f>(182.78*0.10)+182.78</f>
        <v>0</v>
      </c>
      <c r="F484" s="11">
        <f>(182.78*0.15)+182.78</f>
        <v>0</v>
      </c>
      <c r="G484" s="11">
        <f>(182.78*0.20)+182.78</f>
        <v>0</v>
      </c>
      <c r="H484" s="12">
        <v>301.71</v>
      </c>
      <c r="I484" s="12">
        <v>301.71</v>
      </c>
      <c r="K484" s="7" t="s">
        <v>25</v>
      </c>
      <c r="L484" s="8">
        <v>1670.82</v>
      </c>
      <c r="M484" s="8">
        <v>306.01</v>
      </c>
      <c r="N484" s="9" t="s">
        <v>26</v>
      </c>
    </row>
    <row r="485" spans="1:15">
      <c r="B485" s="2" t="s">
        <v>22</v>
      </c>
      <c r="C485" s="2" t="s">
        <v>244</v>
      </c>
      <c r="D485" s="11">
        <f>(186.307*0.07)+186.307</f>
        <v>0</v>
      </c>
      <c r="E485" s="11">
        <f>(186.307*0.10)+186.307</f>
        <v>0</v>
      </c>
      <c r="F485" s="11">
        <f>(186.307*0.15)+186.307</f>
        <v>0</v>
      </c>
      <c r="G485" s="11">
        <f>(186.307*0.20)+186.307</f>
        <v>0</v>
      </c>
      <c r="H485" s="12">
        <v>309.47</v>
      </c>
      <c r="I485" s="12">
        <v>309.47</v>
      </c>
    </row>
    <row r="486" spans="1:15">
      <c r="B486" s="2" t="s">
        <v>4</v>
      </c>
      <c r="C486" s="2">
        <v>184.735</v>
      </c>
      <c r="D486" s="11">
        <f>(184.735*0.07)+184.735</f>
        <v>0</v>
      </c>
      <c r="E486" s="11">
        <f>(184.735*0.10)+184.735</f>
        <v>0</v>
      </c>
      <c r="F486" s="11">
        <f>(184.735*0.15)+184.735</f>
        <v>0</v>
      </c>
      <c r="G486" s="11">
        <f>(184.735*0.20)+184.735</f>
        <v>0</v>
      </c>
      <c r="H486" s="12">
        <v>306.01</v>
      </c>
      <c r="I486" s="12">
        <v>306.01</v>
      </c>
    </row>
    <row r="488" spans="1:15">
      <c r="M488" s="7" t="s">
        <v>27</v>
      </c>
      <c r="N488" s="13">
        <v>3341.64</v>
      </c>
    </row>
    <row r="491" spans="1:15">
      <c r="N491" s="14" t="s">
        <v>28</v>
      </c>
      <c r="O491" s="15">
        <v>1092</v>
      </c>
    </row>
    <row r="492" spans="1:15">
      <c r="N492" s="16"/>
      <c r="O492" s="17"/>
    </row>
    <row r="493" spans="1:15">
      <c r="N493" s="18" t="s">
        <v>29</v>
      </c>
      <c r="O493" s="19">
        <v>3341.64</v>
      </c>
    </row>
    <row r="495" spans="1:1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</row>
    <row r="496" spans="1:1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</row>
    <row r="499" spans="2:15">
      <c r="C499" s="1" t="s">
        <v>246</v>
      </c>
      <c r="D499" s="1" t="s">
        <v>247</v>
      </c>
    </row>
    <row r="500" spans="2:15">
      <c r="B500" s="2" t="s">
        <v>50</v>
      </c>
      <c r="C500" s="2" t="s">
        <v>248</v>
      </c>
      <c r="D500" s="3">
        <v>183.9</v>
      </c>
    </row>
    <row r="501" spans="2:15">
      <c r="B501" s="2" t="s">
        <v>50</v>
      </c>
      <c r="C501" s="2" t="s">
        <v>249</v>
      </c>
      <c r="D501" s="3">
        <v>172.07</v>
      </c>
      <c r="K501" s="4" t="s">
        <v>256</v>
      </c>
      <c r="L501" s="4"/>
      <c r="M501" s="4"/>
      <c r="N501" s="5" t="s">
        <v>13</v>
      </c>
      <c r="O501" s="5">
        <v>919.52</v>
      </c>
    </row>
    <row r="502" spans="2:15">
      <c r="B502" s="6" t="s">
        <v>66</v>
      </c>
      <c r="C502" s="2" t="s">
        <v>4</v>
      </c>
      <c r="D502" s="3">
        <v>355.98</v>
      </c>
    </row>
    <row r="503" spans="2:15">
      <c r="K503" s="7" t="s">
        <v>25</v>
      </c>
      <c r="L503" s="8">
        <v>54.98</v>
      </c>
      <c r="M503" s="8">
        <v>5.98</v>
      </c>
      <c r="N503" s="9" t="s">
        <v>26</v>
      </c>
    </row>
    <row r="504" spans="2:15">
      <c r="E504" s="3" t="s">
        <v>5</v>
      </c>
      <c r="F504" s="3">
        <v>177.99</v>
      </c>
    </row>
    <row r="505" spans="2:15">
      <c r="K505" s="4" t="s">
        <v>257</v>
      </c>
      <c r="L505" s="4"/>
      <c r="M505" s="4"/>
      <c r="N505" s="5" t="s">
        <v>37</v>
      </c>
      <c r="O505" s="5">
        <v>860.36</v>
      </c>
    </row>
    <row r="506" spans="2:15">
      <c r="C506" s="2" t="s">
        <v>6</v>
      </c>
      <c r="D506" s="2" t="s">
        <v>7</v>
      </c>
      <c r="E506" s="2" t="s">
        <v>8</v>
      </c>
      <c r="F506" s="2" t="s">
        <v>9</v>
      </c>
      <c r="G506" s="2" t="s">
        <v>10</v>
      </c>
      <c r="H506" s="10" t="s">
        <v>13</v>
      </c>
      <c r="I506" s="10" t="s">
        <v>37</v>
      </c>
    </row>
    <row r="507" spans="2:15">
      <c r="B507" s="2" t="s">
        <v>11</v>
      </c>
      <c r="C507" s="2" t="s">
        <v>250</v>
      </c>
      <c r="D507" s="11">
        <f>(189.98*0.07)+189.98</f>
        <v>0</v>
      </c>
      <c r="E507" s="11">
        <f>(189.98*0.10)+189.98</f>
        <v>0</v>
      </c>
      <c r="F507" s="11">
        <f>(189.98*0.15)+189.98</f>
        <v>0</v>
      </c>
      <c r="G507" s="11">
        <f>(189.98*0.20)+189.98</f>
        <v>0</v>
      </c>
      <c r="H507" s="12">
        <v>3.3</v>
      </c>
      <c r="I507" s="12">
        <v>10.41</v>
      </c>
      <c r="K507" s="7" t="s">
        <v>25</v>
      </c>
      <c r="L507" s="8">
        <v>114.14</v>
      </c>
      <c r="M507" s="8">
        <v>13.27</v>
      </c>
      <c r="N507" s="9" t="s">
        <v>26</v>
      </c>
    </row>
    <row r="508" spans="2:15">
      <c r="B508" s="2" t="s">
        <v>14</v>
      </c>
      <c r="C508" s="2" t="s">
        <v>251</v>
      </c>
      <c r="D508" s="11">
        <f>(194.19*0.07)+194.19</f>
        <v>0</v>
      </c>
      <c r="E508" s="11">
        <f>(194.19*0.10)+194.19</f>
        <v>0</v>
      </c>
      <c r="F508" s="11">
        <f>(194.19*0.15)+194.19</f>
        <v>0</v>
      </c>
      <c r="G508" s="11">
        <f>(194.19*0.20)+194.19</f>
        <v>0</v>
      </c>
      <c r="H508" s="12">
        <v>5.59</v>
      </c>
      <c r="I508" s="12">
        <v>12.85</v>
      </c>
    </row>
    <row r="509" spans="2:15">
      <c r="B509" s="2" t="s">
        <v>16</v>
      </c>
      <c r="C509" s="2" t="s">
        <v>252</v>
      </c>
      <c r="D509" s="11">
        <f>(196.61*0.07)+196.61</f>
        <v>0</v>
      </c>
      <c r="E509" s="11">
        <f>(196.61*0.10)+196.61</f>
        <v>0</v>
      </c>
      <c r="F509" s="11">
        <f>(196.61*0.15)+196.61</f>
        <v>0</v>
      </c>
      <c r="G509" s="11">
        <f>(196.61*0.20)+196.61</f>
        <v>0</v>
      </c>
      <c r="H509" s="12">
        <v>6.91</v>
      </c>
      <c r="I509" s="12">
        <v>14.26</v>
      </c>
    </row>
    <row r="510" spans="2:15">
      <c r="B510" s="2" t="s">
        <v>18</v>
      </c>
      <c r="C510" s="2" t="s">
        <v>253</v>
      </c>
      <c r="D510" s="11">
        <f>(198.51*0.07)+198.51</f>
        <v>0</v>
      </c>
      <c r="E510" s="11">
        <f>(198.51*0.10)+198.51</f>
        <v>0</v>
      </c>
      <c r="F510" s="11">
        <f>(198.51*0.15)+198.51</f>
        <v>0</v>
      </c>
      <c r="G510" s="11">
        <f>(198.51*0.20)+198.51</f>
        <v>0</v>
      </c>
      <c r="H510" s="12">
        <v>7.94</v>
      </c>
      <c r="I510" s="12">
        <v>15.36</v>
      </c>
    </row>
    <row r="511" spans="2:15">
      <c r="B511" s="2" t="s">
        <v>20</v>
      </c>
      <c r="C511" s="2" t="s">
        <v>254</v>
      </c>
      <c r="D511" s="11">
        <f>(201.29*0.07)+201.29</f>
        <v>0</v>
      </c>
      <c r="E511" s="11">
        <f>(201.29*0.10)+201.29</f>
        <v>0</v>
      </c>
      <c r="F511" s="11">
        <f>(201.29*0.15)+201.29</f>
        <v>0</v>
      </c>
      <c r="G511" s="11">
        <f>(201.29*0.20)+201.29</f>
        <v>0</v>
      </c>
      <c r="H511" s="12">
        <v>9.449999999999999</v>
      </c>
      <c r="I511" s="12">
        <v>16.98</v>
      </c>
      <c r="M511" s="7" t="s">
        <v>27</v>
      </c>
      <c r="N511" s="13">
        <v>169.12</v>
      </c>
    </row>
    <row r="512" spans="2:15">
      <c r="B512" s="2" t="s">
        <v>22</v>
      </c>
      <c r="C512" s="2" t="s">
        <v>255</v>
      </c>
      <c r="D512" s="11">
        <f>(194.285*0.07)+194.285</f>
        <v>0</v>
      </c>
      <c r="E512" s="11">
        <f>(194.285*0.10)+194.285</f>
        <v>0</v>
      </c>
      <c r="F512" s="11">
        <f>(194.285*0.15)+194.285</f>
        <v>0</v>
      </c>
      <c r="G512" s="11">
        <f>(194.285*0.20)+194.285</f>
        <v>0</v>
      </c>
      <c r="H512" s="12">
        <v>5.64</v>
      </c>
      <c r="I512" s="12">
        <v>12.91</v>
      </c>
    </row>
    <row r="513" spans="1:15">
      <c r="B513" s="2" t="s">
        <v>4</v>
      </c>
      <c r="C513" s="2">
        <v>194.9</v>
      </c>
      <c r="D513" s="11">
        <f>(194.9*0.07)+194.9</f>
        <v>0</v>
      </c>
      <c r="E513" s="11">
        <f>(194.9*0.10)+194.9</f>
        <v>0</v>
      </c>
      <c r="F513" s="11">
        <f>(194.9*0.15)+194.9</f>
        <v>0</v>
      </c>
      <c r="G513" s="11">
        <f>(194.9*0.20)+194.9</f>
        <v>0</v>
      </c>
      <c r="H513" s="12">
        <v>5.98</v>
      </c>
      <c r="I513" s="12">
        <v>13.27</v>
      </c>
    </row>
    <row r="514" spans="1:15">
      <c r="N514" s="14" t="s">
        <v>28</v>
      </c>
      <c r="O514" s="15">
        <v>1779.88</v>
      </c>
    </row>
    <row r="515" spans="1:15">
      <c r="N515" s="16"/>
      <c r="O515" s="17"/>
    </row>
    <row r="516" spans="1:15">
      <c r="N516" s="18" t="s">
        <v>29</v>
      </c>
      <c r="O516" s="19">
        <v>169.12</v>
      </c>
    </row>
    <row r="518" spans="1:1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</row>
    <row r="519" spans="1:1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</row>
    <row r="522" spans="1:15">
      <c r="C522" s="1" t="s">
        <v>258</v>
      </c>
      <c r="D522" s="1" t="s">
        <v>259</v>
      </c>
    </row>
    <row r="523" spans="1:15">
      <c r="B523" s="2" t="s">
        <v>94</v>
      </c>
      <c r="C523" s="2" t="s">
        <v>260</v>
      </c>
      <c r="D523" s="3">
        <v>103.3</v>
      </c>
      <c r="J523" s="4" t="s">
        <v>268</v>
      </c>
      <c r="K523" s="4"/>
      <c r="L523" s="4"/>
      <c r="M523" s="5" t="s">
        <v>13</v>
      </c>
      <c r="N523" s="5">
        <v>1549.42</v>
      </c>
    </row>
    <row r="524" spans="1:15">
      <c r="B524" s="6" t="s">
        <v>94</v>
      </c>
      <c r="C524" s="2" t="s">
        <v>4</v>
      </c>
      <c r="D524" s="3">
        <v>103.3</v>
      </c>
    </row>
    <row r="525" spans="1:15">
      <c r="J525" s="7" t="s">
        <v>25</v>
      </c>
      <c r="K525" s="21">
        <v>-99.75</v>
      </c>
      <c r="L525" s="21">
        <v>-6.44</v>
      </c>
      <c r="M525" s="9" t="s">
        <v>26</v>
      </c>
    </row>
    <row r="526" spans="1:15">
      <c r="E526" s="3" t="s">
        <v>5</v>
      </c>
      <c r="F526" s="3">
        <v>103.3</v>
      </c>
    </row>
    <row r="528" spans="1:15">
      <c r="C528" s="2" t="s">
        <v>6</v>
      </c>
      <c r="D528" s="2" t="s">
        <v>7</v>
      </c>
      <c r="E528" s="2" t="s">
        <v>8</v>
      </c>
      <c r="F528" s="2" t="s">
        <v>9</v>
      </c>
      <c r="G528" s="2" t="s">
        <v>10</v>
      </c>
      <c r="H528" s="10" t="s">
        <v>13</v>
      </c>
    </row>
    <row r="529" spans="1:14">
      <c r="B529" s="2" t="s">
        <v>130</v>
      </c>
      <c r="C529" s="2" t="s">
        <v>261</v>
      </c>
      <c r="D529" s="11">
        <f>(106.22*0.07)+106.22</f>
        <v>0</v>
      </c>
      <c r="E529" s="11">
        <f>(106.22*0.10)+106.22</f>
        <v>0</v>
      </c>
      <c r="F529" s="11">
        <f>(106.22*0.15)+106.22</f>
        <v>0</v>
      </c>
      <c r="G529" s="11">
        <f>(106.22*0.20)+106.22</f>
        <v>0</v>
      </c>
      <c r="H529" s="12">
        <v>2.83</v>
      </c>
      <c r="L529" s="7" t="s">
        <v>27</v>
      </c>
      <c r="M529" s="23">
        <v>-99.75</v>
      </c>
    </row>
    <row r="530" spans="1:14">
      <c r="B530" s="2" t="s">
        <v>11</v>
      </c>
      <c r="C530" s="2" t="s">
        <v>262</v>
      </c>
      <c r="D530" s="11">
        <f>(110.71*0.07)+110.71</f>
        <v>0</v>
      </c>
      <c r="E530" s="11">
        <f>(110.71*0.10)+110.71</f>
        <v>0</v>
      </c>
      <c r="F530" s="11">
        <f>(110.71*0.15)+110.71</f>
        <v>0</v>
      </c>
      <c r="G530" s="11">
        <f>(110.71*0.20)+110.71</f>
        <v>0</v>
      </c>
      <c r="H530" s="12">
        <v>7.18</v>
      </c>
    </row>
    <row r="531" spans="1:14">
      <c r="B531" s="2" t="s">
        <v>14</v>
      </c>
      <c r="C531" s="2" t="s">
        <v>263</v>
      </c>
      <c r="D531" s="11">
        <f>(109.405*0.07)+109.405</f>
        <v>0</v>
      </c>
      <c r="E531" s="11">
        <f>(109.405*0.10)+109.405</f>
        <v>0</v>
      </c>
      <c r="F531" s="11">
        <f>(109.405*0.15)+109.405</f>
        <v>0</v>
      </c>
      <c r="G531" s="11">
        <f>(109.405*0.20)+109.405</f>
        <v>0</v>
      </c>
      <c r="H531" s="12">
        <v>5.92</v>
      </c>
    </row>
    <row r="532" spans="1:14">
      <c r="B532" s="2" t="s">
        <v>16</v>
      </c>
      <c r="C532" s="2" t="s">
        <v>264</v>
      </c>
      <c r="D532" s="11">
        <f>(111.77*0.07)+111.77</f>
        <v>0</v>
      </c>
      <c r="E532" s="11">
        <f>(111.77*0.10)+111.77</f>
        <v>0</v>
      </c>
      <c r="F532" s="11">
        <f>(111.77*0.15)+111.77</f>
        <v>0</v>
      </c>
      <c r="G532" s="11">
        <f>(111.77*0.20)+111.77</f>
        <v>0</v>
      </c>
      <c r="H532" s="12">
        <v>8.199999999999999</v>
      </c>
      <c r="M532" s="14" t="s">
        <v>28</v>
      </c>
      <c r="N532" s="15">
        <v>1549.42</v>
      </c>
    </row>
    <row r="533" spans="1:14">
      <c r="B533" s="2" t="s">
        <v>18</v>
      </c>
      <c r="C533" s="2" t="s">
        <v>265</v>
      </c>
      <c r="D533" s="11">
        <f>(110.62*0.07)+110.62</f>
        <v>0</v>
      </c>
      <c r="E533" s="11">
        <f>(110.62*0.10)+110.62</f>
        <v>0</v>
      </c>
      <c r="F533" s="11">
        <f>(110.62*0.15)+110.62</f>
        <v>0</v>
      </c>
      <c r="G533" s="11">
        <f>(110.62*0.20)+110.62</f>
        <v>0</v>
      </c>
      <c r="H533" s="12">
        <v>7.09</v>
      </c>
      <c r="M533" s="16"/>
      <c r="N533" s="17"/>
    </row>
    <row r="534" spans="1:14">
      <c r="B534" s="2" t="s">
        <v>20</v>
      </c>
      <c r="C534" s="2" t="s">
        <v>266</v>
      </c>
      <c r="D534" s="11">
        <f>(111.78*0.07)+111.78</f>
        <v>0</v>
      </c>
      <c r="E534" s="11">
        <f>(111.78*0.10)+111.78</f>
        <v>0</v>
      </c>
      <c r="F534" s="11">
        <f>(111.78*0.15)+111.78</f>
        <v>0</v>
      </c>
      <c r="G534" s="11">
        <f>(111.78*0.20)+111.78</f>
        <v>0</v>
      </c>
      <c r="H534" s="12">
        <v>8.210000000000001</v>
      </c>
      <c r="M534" s="18" t="s">
        <v>29</v>
      </c>
      <c r="N534" s="24">
        <v>-99.75</v>
      </c>
    </row>
    <row r="535" spans="1:14">
      <c r="B535" s="2" t="s">
        <v>22</v>
      </c>
      <c r="C535" s="2" t="s">
        <v>267</v>
      </c>
      <c r="D535" s="11">
        <f>(107.94*0.07)+107.94</f>
        <v>0</v>
      </c>
      <c r="E535" s="11">
        <f>(107.94*0.10)+107.94</f>
        <v>0</v>
      </c>
      <c r="F535" s="11">
        <f>(107.94*0.15)+107.94</f>
        <v>0</v>
      </c>
      <c r="G535" s="11">
        <f>(107.94*0.20)+107.94</f>
        <v>0</v>
      </c>
      <c r="H535" s="12">
        <v>4.5</v>
      </c>
    </row>
    <row r="536" spans="1:14">
      <c r="B536" s="2" t="s">
        <v>4</v>
      </c>
      <c r="C536" s="2">
        <v>96.645</v>
      </c>
      <c r="D536" s="11">
        <f>(96.645*0.07)+96.645</f>
        <v>0</v>
      </c>
      <c r="E536" s="11">
        <f>(96.645*0.10)+96.645</f>
        <v>0</v>
      </c>
      <c r="F536" s="11">
        <f>(96.645*0.15)+96.645</f>
        <v>0</v>
      </c>
      <c r="G536" s="11">
        <f>(96.645*0.20)+96.645</f>
        <v>0</v>
      </c>
      <c r="H536" s="22">
        <v>-6.44</v>
      </c>
    </row>
    <row r="539" spans="1:14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</row>
    <row r="540" spans="1:14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</row>
    <row r="543" spans="1:14">
      <c r="C543" s="1" t="s">
        <v>269</v>
      </c>
      <c r="D543" s="1" t="s">
        <v>270</v>
      </c>
    </row>
    <row r="544" spans="1:14">
      <c r="B544" s="2" t="s">
        <v>66</v>
      </c>
      <c r="C544" s="2" t="s">
        <v>3</v>
      </c>
      <c r="D544" s="3">
        <v>1271.73</v>
      </c>
      <c r="J544" s="4" t="s">
        <v>24</v>
      </c>
      <c r="K544" s="4"/>
      <c r="L544" s="4"/>
      <c r="M544" s="5" t="s">
        <v>13</v>
      </c>
      <c r="N544" s="5">
        <v>12717.3</v>
      </c>
    </row>
    <row r="545" spans="1:14">
      <c r="B545" s="6" t="s">
        <v>66</v>
      </c>
      <c r="C545" s="2" t="s">
        <v>4</v>
      </c>
      <c r="D545" s="3">
        <v>1271.73</v>
      </c>
    </row>
    <row r="546" spans="1:14">
      <c r="J546" s="7" t="s">
        <v>25</v>
      </c>
      <c r="K546" s="21">
        <v>-11304.6</v>
      </c>
      <c r="L546" s="21">
        <v>-88.89</v>
      </c>
      <c r="M546" s="9" t="s">
        <v>26</v>
      </c>
    </row>
    <row r="547" spans="1:14">
      <c r="E547" s="3" t="s">
        <v>5</v>
      </c>
      <c r="F547" s="3">
        <v>1271.73</v>
      </c>
    </row>
    <row r="549" spans="1:14">
      <c r="C549" s="2" t="s">
        <v>6</v>
      </c>
      <c r="D549" s="2" t="s">
        <v>7</v>
      </c>
      <c r="E549" s="2" t="s">
        <v>8</v>
      </c>
      <c r="F549" s="2" t="s">
        <v>9</v>
      </c>
      <c r="G549" s="2" t="s">
        <v>10</v>
      </c>
      <c r="H549" s="10" t="s">
        <v>13</v>
      </c>
    </row>
    <row r="550" spans="1:14">
      <c r="B550" s="2" t="s">
        <v>14</v>
      </c>
      <c r="C550" s="2" t="s">
        <v>271</v>
      </c>
      <c r="D550" s="11">
        <f>(140.24*0.07)+140.24</f>
        <v>0</v>
      </c>
      <c r="E550" s="11">
        <f>(140.24*0.10)+140.24</f>
        <v>0</v>
      </c>
      <c r="F550" s="11">
        <f>(140.24*0.15)+140.24</f>
        <v>0</v>
      </c>
      <c r="G550" s="11">
        <f>(140.24*0.20)+140.24</f>
        <v>0</v>
      </c>
      <c r="H550" s="22">
        <v>-88.97</v>
      </c>
      <c r="L550" s="7" t="s">
        <v>27</v>
      </c>
      <c r="M550" s="23">
        <v>-11304.6</v>
      </c>
    </row>
    <row r="551" spans="1:14">
      <c r="B551" s="2" t="s">
        <v>16</v>
      </c>
      <c r="C551" s="2" t="s">
        <v>272</v>
      </c>
      <c r="D551" s="11">
        <f>(140.64*0.07)+140.64</f>
        <v>0</v>
      </c>
      <c r="E551" s="11">
        <f>(140.64*0.10)+140.64</f>
        <v>0</v>
      </c>
      <c r="F551" s="11">
        <f>(140.64*0.15)+140.64</f>
        <v>0</v>
      </c>
      <c r="G551" s="11">
        <f>(140.64*0.20)+140.64</f>
        <v>0</v>
      </c>
      <c r="H551" s="22">
        <v>-88.94</v>
      </c>
    </row>
    <row r="552" spans="1:14">
      <c r="B552" s="2" t="s">
        <v>18</v>
      </c>
      <c r="C552" s="2" t="s">
        <v>273</v>
      </c>
      <c r="D552" s="11">
        <f>(140.44*0.07)+140.44</f>
        <v>0</v>
      </c>
      <c r="E552" s="11">
        <f>(140.44*0.10)+140.44</f>
        <v>0</v>
      </c>
      <c r="F552" s="11">
        <f>(140.44*0.15)+140.44</f>
        <v>0</v>
      </c>
      <c r="G552" s="11">
        <f>(140.44*0.20)+140.44</f>
        <v>0</v>
      </c>
      <c r="H552" s="22">
        <v>-88.95999999999999</v>
      </c>
    </row>
    <row r="553" spans="1:14">
      <c r="B553" s="2" t="s">
        <v>20</v>
      </c>
      <c r="C553" s="2" t="s">
        <v>274</v>
      </c>
      <c r="D553" s="11">
        <f>(140.22*0.07)+140.22</f>
        <v>0</v>
      </c>
      <c r="E553" s="11">
        <f>(140.22*0.10)+140.22</f>
        <v>0</v>
      </c>
      <c r="F553" s="11">
        <f>(140.22*0.15)+140.22</f>
        <v>0</v>
      </c>
      <c r="G553" s="11">
        <f>(140.22*0.20)+140.22</f>
        <v>0</v>
      </c>
      <c r="H553" s="22">
        <v>-88.97</v>
      </c>
      <c r="M553" s="14" t="s">
        <v>28</v>
      </c>
      <c r="N553" s="15">
        <v>12717.3</v>
      </c>
    </row>
    <row r="554" spans="1:14">
      <c r="B554" s="2" t="s">
        <v>22</v>
      </c>
      <c r="C554" s="2" t="s">
        <v>275</v>
      </c>
      <c r="D554" s="11">
        <f>(145.465*0.07)+145.465</f>
        <v>0</v>
      </c>
      <c r="E554" s="11">
        <f>(145.465*0.10)+145.465</f>
        <v>0</v>
      </c>
      <c r="F554" s="11">
        <f>(145.465*0.15)+145.465</f>
        <v>0</v>
      </c>
      <c r="G554" s="11">
        <f>(145.465*0.20)+145.465</f>
        <v>0</v>
      </c>
      <c r="H554" s="22">
        <v>-88.56</v>
      </c>
      <c r="M554" s="16"/>
      <c r="N554" s="17"/>
    </row>
    <row r="555" spans="1:14">
      <c r="B555" s="2" t="s">
        <v>4</v>
      </c>
      <c r="C555" s="2">
        <v>141.27</v>
      </c>
      <c r="D555" s="11">
        <f>(141.27*0.07)+141.27</f>
        <v>0</v>
      </c>
      <c r="E555" s="11">
        <f>(141.27*0.10)+141.27</f>
        <v>0</v>
      </c>
      <c r="F555" s="11">
        <f>(141.27*0.15)+141.27</f>
        <v>0</v>
      </c>
      <c r="G555" s="11">
        <f>(141.27*0.20)+141.27</f>
        <v>0</v>
      </c>
      <c r="H555" s="22">
        <v>-88.89</v>
      </c>
      <c r="M555" s="18" t="s">
        <v>29</v>
      </c>
      <c r="N555" s="24">
        <v>-11304.6</v>
      </c>
    </row>
    <row r="558" spans="1:14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</row>
    <row r="559" spans="1:14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</row>
    <row r="567" spans="1:14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</row>
    <row r="568" spans="1:14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</row>
    <row r="571" spans="1:14">
      <c r="E571" s="25" t="s">
        <v>276</v>
      </c>
      <c r="F571" s="25" t="s">
        <v>277</v>
      </c>
      <c r="G571" s="25" t="s">
        <v>27</v>
      </c>
      <c r="H571" s="25" t="s">
        <v>278</v>
      </c>
    </row>
    <row r="572" spans="1:14">
      <c r="C572" s="26" t="s">
        <v>0</v>
      </c>
      <c r="D572" s="27" t="s">
        <v>1</v>
      </c>
      <c r="E572" s="27">
        <v>14</v>
      </c>
      <c r="F572" s="27">
        <v>978.63</v>
      </c>
      <c r="G572" s="27">
        <v>13700.78</v>
      </c>
      <c r="H572" s="27">
        <v>1.95</v>
      </c>
    </row>
    <row r="573" spans="1:14">
      <c r="C573" s="26" t="s">
        <v>30</v>
      </c>
      <c r="D573" s="27" t="s">
        <v>31</v>
      </c>
      <c r="E573" s="27">
        <v>16</v>
      </c>
      <c r="F573" s="27">
        <v>869.84</v>
      </c>
      <c r="G573" s="27">
        <v>13917.45</v>
      </c>
      <c r="H573" s="27">
        <v>1.98</v>
      </c>
    </row>
    <row r="574" spans="1:14">
      <c r="C574" s="26" t="s">
        <v>44</v>
      </c>
      <c r="D574" s="27" t="s">
        <v>45</v>
      </c>
      <c r="E574" s="27">
        <v>53</v>
      </c>
      <c r="F574" s="27">
        <v>338.35</v>
      </c>
      <c r="G574" s="27">
        <v>17932.76</v>
      </c>
      <c r="H574" s="27">
        <v>2.55</v>
      </c>
    </row>
    <row r="575" spans="1:14">
      <c r="C575" s="26" t="s">
        <v>64</v>
      </c>
      <c r="D575" s="27" t="s">
        <v>65</v>
      </c>
      <c r="E575" s="27">
        <v>69</v>
      </c>
      <c r="F575" s="27">
        <v>292.54</v>
      </c>
      <c r="G575" s="27">
        <v>20185.41</v>
      </c>
      <c r="H575" s="27">
        <v>2.87</v>
      </c>
    </row>
    <row r="576" spans="1:14">
      <c r="C576" s="26" t="s">
        <v>92</v>
      </c>
      <c r="D576" s="27" t="s">
        <v>93</v>
      </c>
      <c r="E576" s="27">
        <v>84</v>
      </c>
      <c r="F576" s="27">
        <v>246.6</v>
      </c>
      <c r="G576" s="27">
        <v>20714.13</v>
      </c>
      <c r="H576" s="27">
        <v>2.94</v>
      </c>
    </row>
    <row r="577" spans="3:8">
      <c r="C577" s="26" t="s">
        <v>103</v>
      </c>
      <c r="D577" s="27" t="s">
        <v>104</v>
      </c>
      <c r="E577" s="27">
        <v>221</v>
      </c>
      <c r="F577" s="27">
        <v>100.54</v>
      </c>
      <c r="G577" s="27">
        <v>22218.59</v>
      </c>
      <c r="H577" s="27">
        <v>3.16</v>
      </c>
    </row>
    <row r="578" spans="3:8">
      <c r="C578" s="26" t="s">
        <v>117</v>
      </c>
      <c r="D578" s="27" t="s">
        <v>118</v>
      </c>
      <c r="E578" s="27">
        <v>258</v>
      </c>
      <c r="F578" s="27">
        <v>93.43000000000001</v>
      </c>
      <c r="G578" s="27">
        <v>24103.78</v>
      </c>
      <c r="H578" s="27">
        <v>3.42</v>
      </c>
    </row>
    <row r="579" spans="3:8">
      <c r="C579" s="26" t="s">
        <v>128</v>
      </c>
      <c r="D579" s="27" t="s">
        <v>129</v>
      </c>
      <c r="E579" s="27">
        <v>262</v>
      </c>
      <c r="F579" s="27">
        <v>99.13</v>
      </c>
      <c r="G579" s="27">
        <v>25972.78</v>
      </c>
      <c r="H579" s="27">
        <v>3.69</v>
      </c>
    </row>
    <row r="580" spans="3:8">
      <c r="C580" s="26" t="s">
        <v>138</v>
      </c>
      <c r="D580" s="27" t="s">
        <v>139</v>
      </c>
      <c r="E580" s="27">
        <v>267</v>
      </c>
      <c r="F580" s="27">
        <v>101.31</v>
      </c>
      <c r="G580" s="27">
        <v>27049.43</v>
      </c>
      <c r="H580" s="27">
        <v>3.84</v>
      </c>
    </row>
    <row r="581" spans="3:8">
      <c r="C581" s="26" t="s">
        <v>146</v>
      </c>
      <c r="D581" s="27" t="s">
        <v>147</v>
      </c>
      <c r="E581" s="27">
        <v>343</v>
      </c>
      <c r="F581" s="27">
        <v>81.83</v>
      </c>
      <c r="G581" s="27">
        <v>28066.16</v>
      </c>
      <c r="H581" s="27">
        <v>3.99</v>
      </c>
    </row>
    <row r="582" spans="3:8">
      <c r="C582" s="26" t="s">
        <v>154</v>
      </c>
      <c r="D582" s="27" t="s">
        <v>155</v>
      </c>
      <c r="E582" s="27">
        <v>357</v>
      </c>
      <c r="F582" s="27">
        <v>80.95999999999999</v>
      </c>
      <c r="G582" s="27">
        <v>28902.26</v>
      </c>
      <c r="H582" s="27">
        <v>4.1</v>
      </c>
    </row>
    <row r="583" spans="3:8">
      <c r="C583" s="26" t="s">
        <v>163</v>
      </c>
      <c r="D583" s="27" t="s">
        <v>164</v>
      </c>
      <c r="E583" s="27">
        <v>361</v>
      </c>
      <c r="F583" s="27">
        <v>83.31999999999999</v>
      </c>
      <c r="G583" s="27">
        <v>30078.06</v>
      </c>
      <c r="H583" s="27">
        <v>4.27</v>
      </c>
    </row>
    <row r="584" spans="3:8">
      <c r="C584" s="26" t="s">
        <v>173</v>
      </c>
      <c r="D584" s="27" t="s">
        <v>174</v>
      </c>
      <c r="E584" s="27">
        <v>375</v>
      </c>
      <c r="F584" s="27">
        <v>84.95999999999999</v>
      </c>
      <c r="G584" s="27">
        <v>31859.46</v>
      </c>
      <c r="H584" s="27">
        <v>4.52</v>
      </c>
    </row>
    <row r="585" spans="3:8">
      <c r="C585" s="26" t="s">
        <v>181</v>
      </c>
      <c r="D585" s="27" t="s">
        <v>182</v>
      </c>
      <c r="E585" s="27">
        <v>381</v>
      </c>
      <c r="F585" s="27">
        <v>86.41</v>
      </c>
      <c r="G585" s="27">
        <v>32922.2</v>
      </c>
      <c r="H585" s="27">
        <v>4.68</v>
      </c>
    </row>
    <row r="586" spans="3:8">
      <c r="C586" s="26" t="s">
        <v>190</v>
      </c>
      <c r="D586" s="27" t="s">
        <v>191</v>
      </c>
      <c r="E586" s="27">
        <v>386</v>
      </c>
      <c r="F586" s="27">
        <v>87.79000000000001</v>
      </c>
      <c r="G586" s="27">
        <v>33886.85</v>
      </c>
      <c r="H586" s="27">
        <v>4.81</v>
      </c>
    </row>
    <row r="587" spans="3:8">
      <c r="C587" s="26" t="s">
        <v>200</v>
      </c>
      <c r="D587" s="27" t="s">
        <v>201</v>
      </c>
      <c r="E587" s="27">
        <v>392</v>
      </c>
      <c r="F587" s="27">
        <v>90.69</v>
      </c>
      <c r="G587" s="27">
        <v>35550.19</v>
      </c>
      <c r="H587" s="27">
        <v>5.05</v>
      </c>
    </row>
    <row r="588" spans="3:8">
      <c r="C588" s="26" t="s">
        <v>207</v>
      </c>
      <c r="D588" s="27" t="s">
        <v>208</v>
      </c>
      <c r="E588" s="27">
        <v>410</v>
      </c>
      <c r="F588" s="27">
        <v>90.28</v>
      </c>
      <c r="G588" s="27">
        <v>37012.98</v>
      </c>
      <c r="H588" s="27">
        <v>5.26</v>
      </c>
    </row>
    <row r="589" spans="3:8">
      <c r="C589" s="26" t="s">
        <v>218</v>
      </c>
      <c r="D589" s="27" t="s">
        <v>219</v>
      </c>
      <c r="E589" s="27">
        <v>427</v>
      </c>
      <c r="F589" s="27">
        <v>89.90000000000001</v>
      </c>
      <c r="G589" s="27">
        <v>38386.06</v>
      </c>
      <c r="H589" s="27">
        <v>5.45</v>
      </c>
    </row>
    <row r="590" spans="3:8">
      <c r="C590" s="26" t="s">
        <v>229</v>
      </c>
      <c r="D590" s="27" t="s">
        <v>230</v>
      </c>
      <c r="E590" s="27">
        <v>430</v>
      </c>
      <c r="F590" s="27">
        <v>91.26000000000001</v>
      </c>
      <c r="G590" s="27">
        <v>39241.76</v>
      </c>
      <c r="H590" s="27">
        <v>5.57</v>
      </c>
    </row>
    <row r="591" spans="3:8">
      <c r="C591" s="26" t="s">
        <v>239</v>
      </c>
      <c r="D591" s="27" t="s">
        <v>239</v>
      </c>
      <c r="E591" s="27">
        <v>454</v>
      </c>
      <c r="F591" s="27">
        <v>88.84</v>
      </c>
      <c r="G591" s="27">
        <v>40333.76</v>
      </c>
      <c r="H591" s="27">
        <v>5.73</v>
      </c>
    </row>
    <row r="592" spans="3:8">
      <c r="C592" s="26" t="s">
        <v>246</v>
      </c>
      <c r="D592" s="27" t="s">
        <v>247</v>
      </c>
      <c r="E592" s="27">
        <v>464</v>
      </c>
      <c r="F592" s="27">
        <v>90.76000000000001</v>
      </c>
      <c r="G592" s="27">
        <v>42113.64</v>
      </c>
      <c r="H592" s="27">
        <v>5.98</v>
      </c>
    </row>
    <row r="593" spans="3:8">
      <c r="C593" s="26" t="s">
        <v>258</v>
      </c>
      <c r="D593" s="27" t="s">
        <v>259</v>
      </c>
      <c r="E593" s="27">
        <v>479</v>
      </c>
      <c r="F593" s="27">
        <v>91.15000000000001</v>
      </c>
      <c r="G593" s="27">
        <v>43663.07</v>
      </c>
      <c r="H593" s="27">
        <v>6.2</v>
      </c>
    </row>
    <row r="594" spans="3:8">
      <c r="C594" s="26" t="s">
        <v>269</v>
      </c>
      <c r="D594" s="27" t="s">
        <v>270</v>
      </c>
      <c r="E594" s="27">
        <v>489</v>
      </c>
      <c r="F594" s="27">
        <v>115.3</v>
      </c>
      <c r="G594" s="27">
        <v>56380.37</v>
      </c>
      <c r="H594" s="27">
        <v>8.01</v>
      </c>
    </row>
    <row r="595" spans="3:8">
      <c r="G595" s="28">
        <v>704191.96</v>
      </c>
      <c r="H595" s="28">
        <v>100</v>
      </c>
    </row>
  </sheetData>
  <mergeCells count="73">
    <mergeCell ref="J4:L4"/>
    <mergeCell ref="A19:N20"/>
    <mergeCell ref="K25:M25"/>
    <mergeCell ref="K29:M29"/>
    <mergeCell ref="A42:O43"/>
    <mergeCell ref="N51:P51"/>
    <mergeCell ref="N55:P55"/>
    <mergeCell ref="N59:P59"/>
    <mergeCell ref="N63:P63"/>
    <mergeCell ref="N67:P67"/>
    <mergeCell ref="A80:R81"/>
    <mergeCell ref="L87:N87"/>
    <mergeCell ref="L91:N91"/>
    <mergeCell ref="L95:N95"/>
    <mergeCell ref="A108:P109"/>
    <mergeCell ref="J113:L113"/>
    <mergeCell ref="A128:N129"/>
    <mergeCell ref="L135:N135"/>
    <mergeCell ref="L139:N139"/>
    <mergeCell ref="L143:N143"/>
    <mergeCell ref="A156:P157"/>
    <mergeCell ref="M164:O164"/>
    <mergeCell ref="M168:O168"/>
    <mergeCell ref="M172:O172"/>
    <mergeCell ref="M176:O176"/>
    <mergeCell ref="A189:Q190"/>
    <mergeCell ref="L196:N196"/>
    <mergeCell ref="L200:N200"/>
    <mergeCell ref="L204:N204"/>
    <mergeCell ref="A217:P218"/>
    <mergeCell ref="J222:L222"/>
    <mergeCell ref="A237:N238"/>
    <mergeCell ref="J242:L242"/>
    <mergeCell ref="A256:N257"/>
    <mergeCell ref="K262:M262"/>
    <mergeCell ref="K266:M266"/>
    <mergeCell ref="A279:O280"/>
    <mergeCell ref="J284:L284"/>
    <mergeCell ref="A299:N300"/>
    <mergeCell ref="M307:O307"/>
    <mergeCell ref="M311:O311"/>
    <mergeCell ref="M315:O315"/>
    <mergeCell ref="M319:O319"/>
    <mergeCell ref="A332:Q333"/>
    <mergeCell ref="K338:M338"/>
    <mergeCell ref="K342:M342"/>
    <mergeCell ref="A355:O356"/>
    <mergeCell ref="J360:L360"/>
    <mergeCell ref="A375:N376"/>
    <mergeCell ref="K381:M381"/>
    <mergeCell ref="K385:M385"/>
    <mergeCell ref="A398:O399"/>
    <mergeCell ref="L405:N405"/>
    <mergeCell ref="L409:N409"/>
    <mergeCell ref="L413:N413"/>
    <mergeCell ref="A426:P427"/>
    <mergeCell ref="K432:M432"/>
    <mergeCell ref="K436:M436"/>
    <mergeCell ref="A449:O450"/>
    <mergeCell ref="K455:M455"/>
    <mergeCell ref="K459:M459"/>
    <mergeCell ref="A472:O473"/>
    <mergeCell ref="K478:M478"/>
    <mergeCell ref="K482:M482"/>
    <mergeCell ref="A495:O496"/>
    <mergeCell ref="K501:M501"/>
    <mergeCell ref="K505:M505"/>
    <mergeCell ref="A518:O519"/>
    <mergeCell ref="J523:L523"/>
    <mergeCell ref="A539:N540"/>
    <mergeCell ref="J544:L544"/>
    <mergeCell ref="A558:N559"/>
    <mergeCell ref="A567:N5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JMQ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2023-03-23T16:14:26Z</dcterms:created>
  <dcterms:modified xsi:type="dcterms:W3CDTF">2023-03-23T16:14:26Z</dcterms:modified>
</cp:coreProperties>
</file>