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MQ" sheetId="1" r:id="rId1"/>
  </sheets>
  <calcPr calcId="124519" fullCalcOnLoad="1"/>
</workbook>
</file>

<file path=xl/sharedStrings.xml><?xml version="1.0" encoding="utf-8"?>
<sst xmlns="http://schemas.openxmlformats.org/spreadsheetml/2006/main" count="964" uniqueCount="278">
  <si>
    <t>Air Products and Chemicals, Inc.</t>
  </si>
  <si>
    <t>APD</t>
  </si>
  <si>
    <t>4 stocks</t>
  </si>
  <si>
    <t>2022-5-26</t>
  </si>
  <si>
    <t>2023-02-13</t>
  </si>
  <si>
    <t>Promedio</t>
  </si>
  <si>
    <t>$</t>
  </si>
  <si>
    <t>7%</t>
  </si>
  <si>
    <t>11%</t>
  </si>
  <si>
    <t>15%</t>
  </si>
  <si>
    <t>20%</t>
  </si>
  <si>
    <t>2023-02-05</t>
  </si>
  <si>
    <t>285.02</t>
  </si>
  <si>
    <t>Junior 0</t>
  </si>
  <si>
    <t>2023-02-06</t>
  </si>
  <si>
    <t>281.33</t>
  </si>
  <si>
    <t>2023-02-07</t>
  </si>
  <si>
    <t>284.77</t>
  </si>
  <si>
    <t>2023-02-08</t>
  </si>
  <si>
    <t>288.75</t>
  </si>
  <si>
    <t>2023-02-09</t>
  </si>
  <si>
    <t>287.24</t>
  </si>
  <si>
    <t>286.82</t>
  </si>
  <si>
    <t>Se compro en: 2022-5-26</t>
  </si>
  <si>
    <t>Utilidad</t>
  </si>
  <si>
    <t>% util</t>
  </si>
  <si>
    <t>Total</t>
  </si>
  <si>
    <t>Valor</t>
  </si>
  <si>
    <t>Total perdida</t>
  </si>
  <si>
    <t>Alphabet Inc.</t>
  </si>
  <si>
    <t>GOOGL</t>
  </si>
  <si>
    <t>1 stocks</t>
  </si>
  <si>
    <t>2022-13-6</t>
  </si>
  <si>
    <t>2022-26-5</t>
  </si>
  <si>
    <t>2 stocks</t>
  </si>
  <si>
    <t>102.82</t>
  </si>
  <si>
    <t>Junior 1</t>
  </si>
  <si>
    <t>106.55</t>
  </si>
  <si>
    <t>98.35</t>
  </si>
  <si>
    <t>99.37</t>
  </si>
  <si>
    <t>94.38</t>
  </si>
  <si>
    <t>Se compro en: 2022-13-6</t>
  </si>
  <si>
    <t>Se compro en: 2022-26-5</t>
  </si>
  <si>
    <t>Amazon Com Inc Com</t>
  </si>
  <si>
    <t>AMZN</t>
  </si>
  <si>
    <t>20 stocks</t>
  </si>
  <si>
    <t>2022-5-24</t>
  </si>
  <si>
    <t>2022-6-6</t>
  </si>
  <si>
    <t>2022-6-13</t>
  </si>
  <si>
    <t>5 stocks</t>
  </si>
  <si>
    <t>2022-10-28</t>
  </si>
  <si>
    <t>37 stocks</t>
  </si>
  <si>
    <t>102.93</t>
  </si>
  <si>
    <t>Junior 2</t>
  </si>
  <si>
    <t>Junior 3</t>
  </si>
  <si>
    <t>Junior 4</t>
  </si>
  <si>
    <t>101.17</t>
  </si>
  <si>
    <t>102.04</t>
  </si>
  <si>
    <t>98.932</t>
  </si>
  <si>
    <t>Se compro en: 2022-5-24</t>
  </si>
  <si>
    <t>Se compro en: 2022-6-6</t>
  </si>
  <si>
    <t>Se compro en: 2022-6-13</t>
  </si>
  <si>
    <t>Se compro en: 2022-10-28</t>
  </si>
  <si>
    <t>Apple Inc.</t>
  </si>
  <si>
    <t>AAPL</t>
  </si>
  <si>
    <t>10 stocks</t>
  </si>
  <si>
    <t>2022-05-27</t>
  </si>
  <si>
    <t>3 stocks</t>
  </si>
  <si>
    <t>2022-06-13</t>
  </si>
  <si>
    <t>2022-06-17</t>
  </si>
  <si>
    <t>16 stocks</t>
  </si>
  <si>
    <t>149.64</t>
  </si>
  <si>
    <t>2022-06-03</t>
  </si>
  <si>
    <t>145.38</t>
  </si>
  <si>
    <t>2022-06-15</t>
  </si>
  <si>
    <t>132.26</t>
  </si>
  <si>
    <t>2022-06-22</t>
  </si>
  <si>
    <t>136.18</t>
  </si>
  <si>
    <t>2022-11-11</t>
  </si>
  <si>
    <t>149.70</t>
  </si>
  <si>
    <t>2022-09-01</t>
  </si>
  <si>
    <t>130.15</t>
  </si>
  <si>
    <t>154.5</t>
  </si>
  <si>
    <t>151.79</t>
  </si>
  <si>
    <t>154.99</t>
  </si>
  <si>
    <t>151.85</t>
  </si>
  <si>
    <t>151.92</t>
  </si>
  <si>
    <t>153.74</t>
  </si>
  <si>
    <t>Se compro en: 2022-05-27</t>
  </si>
  <si>
    <t>Se compro en: 2022-06-13</t>
  </si>
  <si>
    <t>Se compro en: 2022-06-17</t>
  </si>
  <si>
    <t>Bank of America Corporation</t>
  </si>
  <si>
    <t>BAC</t>
  </si>
  <si>
    <t>15 stocks</t>
  </si>
  <si>
    <t>2022-09-22</t>
  </si>
  <si>
    <t>36.43</t>
  </si>
  <si>
    <t>36.355</t>
  </si>
  <si>
    <t>36.975</t>
  </si>
  <si>
    <t>36.565</t>
  </si>
  <si>
    <t>36.5</t>
  </si>
  <si>
    <t>35.625</t>
  </si>
  <si>
    <t>Se compro en: 2022-09-22</t>
  </si>
  <si>
    <t>Carnival Corporation &amp; plc</t>
  </si>
  <si>
    <t>CCL</t>
  </si>
  <si>
    <t>2022-1-1</t>
  </si>
  <si>
    <t>50 stocks</t>
  </si>
  <si>
    <t>2022-6-17</t>
  </si>
  <si>
    <t>137 stocks</t>
  </si>
  <si>
    <t>11.8</t>
  </si>
  <si>
    <t>11.715</t>
  </si>
  <si>
    <t>12.1</t>
  </si>
  <si>
    <t>11.915</t>
  </si>
  <si>
    <t>11.87</t>
  </si>
  <si>
    <t>11.561</t>
  </si>
  <si>
    <t>Se compro en: 2022-1-1</t>
  </si>
  <si>
    <t>Se compro en: 2022-6-17</t>
  </si>
  <si>
    <t>Citigroup Inc.</t>
  </si>
  <si>
    <t>C</t>
  </si>
  <si>
    <t>11 stocks</t>
  </si>
  <si>
    <t>2022-5-31</t>
  </si>
  <si>
    <t>50.95</t>
  </si>
  <si>
    <t>50.86</t>
  </si>
  <si>
    <t>51.72</t>
  </si>
  <si>
    <t>50.99</t>
  </si>
  <si>
    <t>51.15</t>
  </si>
  <si>
    <t>50.975</t>
  </si>
  <si>
    <t>Se compro en: 2022-5-31</t>
  </si>
  <si>
    <t>Costco Wholesale Corporation</t>
  </si>
  <si>
    <t>COST</t>
  </si>
  <si>
    <t>2023-01-25</t>
  </si>
  <si>
    <t>489.12</t>
  </si>
  <si>
    <t>514.8</t>
  </si>
  <si>
    <t>514.74</t>
  </si>
  <si>
    <t>516.615</t>
  </si>
  <si>
    <t>505.99</t>
  </si>
  <si>
    <t>503.81</t>
  </si>
  <si>
    <t>504.68</t>
  </si>
  <si>
    <t>FedEx Corporation</t>
  </si>
  <si>
    <t>FDX</t>
  </si>
  <si>
    <t>214.67</t>
  </si>
  <si>
    <t>210.04</t>
  </si>
  <si>
    <t>210.02</t>
  </si>
  <si>
    <t>208.4</t>
  </si>
  <si>
    <t>209.48</t>
  </si>
  <si>
    <t>209.75</t>
  </si>
  <si>
    <t>Ford Motor Company</t>
  </si>
  <si>
    <t>F</t>
  </si>
  <si>
    <t>76 stocks</t>
  </si>
  <si>
    <t>13.045</t>
  </si>
  <si>
    <t>13.475</t>
  </si>
  <si>
    <t>13.425</t>
  </si>
  <si>
    <t>13.42</t>
  </si>
  <si>
    <t>12.965</t>
  </si>
  <si>
    <t>General Electric Company</t>
  </si>
  <si>
    <t>GE</t>
  </si>
  <si>
    <t>7 stocks</t>
  </si>
  <si>
    <t>14 stocks</t>
  </si>
  <si>
    <t>82.17</t>
  </si>
  <si>
    <t>81.88</t>
  </si>
  <si>
    <t>81.57</t>
  </si>
  <si>
    <t>81.96</t>
  </si>
  <si>
    <t>82.655</t>
  </si>
  <si>
    <t>Invesco QQQ Trust</t>
  </si>
  <si>
    <t>QQQ</t>
  </si>
  <si>
    <t>2022-9-14</t>
  </si>
  <si>
    <t>306.18</t>
  </si>
  <si>
    <t>303.04</t>
  </si>
  <si>
    <t>309.65</t>
  </si>
  <si>
    <t>303.97</t>
  </si>
  <si>
    <t>304.37</t>
  </si>
  <si>
    <t>304.18</t>
  </si>
  <si>
    <t>Se compro en: 2022-9-14</t>
  </si>
  <si>
    <t>JPMorgan Chase &amp; Co.</t>
  </si>
  <si>
    <t>JPM</t>
  </si>
  <si>
    <t>141.09</t>
  </si>
  <si>
    <t>141.715</t>
  </si>
  <si>
    <t>144.225</t>
  </si>
  <si>
    <t>143.37</t>
  </si>
  <si>
    <t>142.64</t>
  </si>
  <si>
    <t>142.24</t>
  </si>
  <si>
    <t>Johnson &amp; Johnson</t>
  </si>
  <si>
    <t>JNJ</t>
  </si>
  <si>
    <t>6 stocks</t>
  </si>
  <si>
    <t>164.61</t>
  </si>
  <si>
    <t>163.355</t>
  </si>
  <si>
    <t>162.78</t>
  </si>
  <si>
    <t>163.72</t>
  </si>
  <si>
    <t>163.61</t>
  </si>
  <si>
    <t>161.97</t>
  </si>
  <si>
    <t>Meta Platforms, Inc.</t>
  </si>
  <si>
    <t>META</t>
  </si>
  <si>
    <t>2023-1-1</t>
  </si>
  <si>
    <t>186.53</t>
  </si>
  <si>
    <t>185.99</t>
  </si>
  <si>
    <t>193.52</t>
  </si>
  <si>
    <t>183.17</t>
  </si>
  <si>
    <t>183.43</t>
  </si>
  <si>
    <t>179.29</t>
  </si>
  <si>
    <t>Se compro en: 2023-1-1</t>
  </si>
  <si>
    <t>Microsoft Corporation</t>
  </si>
  <si>
    <t>MSFT</t>
  </si>
  <si>
    <t>256.56</t>
  </si>
  <si>
    <t>268.06</t>
  </si>
  <si>
    <t>267.78</t>
  </si>
  <si>
    <t>266.73</t>
  </si>
  <si>
    <t>271.42</t>
  </si>
  <si>
    <t>Morgan Stanley</t>
  </si>
  <si>
    <t>MS</t>
  </si>
  <si>
    <t>2022-09-16</t>
  </si>
  <si>
    <t>18 stocks</t>
  </si>
  <si>
    <t>99.43</t>
  </si>
  <si>
    <t>98.74</t>
  </si>
  <si>
    <t>99.775</t>
  </si>
  <si>
    <t>99.34</t>
  </si>
  <si>
    <t>98.96</t>
  </si>
  <si>
    <t>99.68</t>
  </si>
  <si>
    <t>Se compro en: 2022-09-16</t>
  </si>
  <si>
    <t>PayPal Holdings, Inc.</t>
  </si>
  <si>
    <t>PYPL</t>
  </si>
  <si>
    <t>2022-6-21</t>
  </si>
  <si>
    <t>17 stocks</t>
  </si>
  <si>
    <t>85.52</t>
  </si>
  <si>
    <t>82.395</t>
  </si>
  <si>
    <t>83.27</t>
  </si>
  <si>
    <t>80.145</t>
  </si>
  <si>
    <t>79.72</t>
  </si>
  <si>
    <t>80.095</t>
  </si>
  <si>
    <t>Se compro en: 2022-6-21</t>
  </si>
  <si>
    <t>SPDR S&amp;P 500 ETF Trust</t>
  </si>
  <si>
    <t>SPY</t>
  </si>
  <si>
    <t>400.28</t>
  </si>
  <si>
    <t>412.35</t>
  </si>
  <si>
    <t>409.25</t>
  </si>
  <si>
    <t>414.75</t>
  </si>
  <si>
    <t>410.59</t>
  </si>
  <si>
    <t>410.65</t>
  </si>
  <si>
    <t>412.06</t>
  </si>
  <si>
    <t>Se compro en: 2023-01-25</t>
  </si>
  <si>
    <t>TT</t>
  </si>
  <si>
    <t>12 stocks</t>
  </si>
  <si>
    <t>2022-2-1</t>
  </si>
  <si>
    <t>24 stocks</t>
  </si>
  <si>
    <t>182.78</t>
  </si>
  <si>
    <t>186.307</t>
  </si>
  <si>
    <t>Se compro en: 2022-2-1</t>
  </si>
  <si>
    <t>Tesla, Inc.</t>
  </si>
  <si>
    <t>TSLA</t>
  </si>
  <si>
    <t>2022-09-11</t>
  </si>
  <si>
    <t>2022-11-22</t>
  </si>
  <si>
    <t>189.98</t>
  </si>
  <si>
    <t>194.19</t>
  </si>
  <si>
    <t>196.61</t>
  </si>
  <si>
    <t>198.51</t>
  </si>
  <si>
    <t>201.29</t>
  </si>
  <si>
    <t>194.285</t>
  </si>
  <si>
    <t>Se compro en: 2022-09-11</t>
  </si>
  <si>
    <t>Se compro en: 2022-11-22</t>
  </si>
  <si>
    <t>The Walt Disney Company</t>
  </si>
  <si>
    <t>DIS</t>
  </si>
  <si>
    <t>2022-5-25</t>
  </si>
  <si>
    <t>106.22</t>
  </si>
  <si>
    <t>110.71</t>
  </si>
  <si>
    <t>109.405</t>
  </si>
  <si>
    <t>111.77</t>
  </si>
  <si>
    <t>110.62</t>
  </si>
  <si>
    <t>111.78</t>
  </si>
  <si>
    <t>107.94</t>
  </si>
  <si>
    <t>Se compro en: 2022-5-25</t>
  </si>
  <si>
    <t>Walmart Inc.</t>
  </si>
  <si>
    <t>WMT</t>
  </si>
  <si>
    <t>140.24</t>
  </si>
  <si>
    <t>140.64</t>
  </si>
  <si>
    <t>140.44</t>
  </si>
  <si>
    <t>140.22</t>
  </si>
  <si>
    <t>145.465</t>
  </si>
  <si>
    <t>Nro. Acciones</t>
  </si>
  <si>
    <t>Costo</t>
  </si>
  <si>
    <t>% Cartera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</si>
</sst>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6"/>
      <color rgb="FF123456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0080"/>
      <name val="Calibri"/>
      <family val="2"/>
      <scheme val="minor"/>
    </font>
    <font>
      <sz val="13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2"/>
      <color rgb="FF12345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2C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8E4C9"/>
        <bgColor indexed="64"/>
      </patternFill>
    </fill>
    <fill>
      <patternFill patternType="solid">
        <fgColor rgb="FF43302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4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4" borderId="0" xfId="0" applyFill="1"/>
    <xf numFmtId="0" fontId="0" fillId="0" borderId="1" xfId="0" applyBorder="1" applyAlignment="1">
      <alignment horizontal="centerContinuous" vertical="center"/>
    </xf>
    <xf numFmtId="0" fontId="3" fillId="0" borderId="0" xfId="0" applyFont="1"/>
    <xf numFmtId="0" fontId="5" fillId="3" borderId="1" xfId="0" applyFont="1" applyFill="1" applyBorder="1" applyAlignment="1">
      <alignment horizontal="centerContinuous" wrapText="1"/>
    </xf>
    <xf numFmtId="0" fontId="4" fillId="0" borderId="5" xfId="0" applyFont="1" applyBorder="1" applyAlignment="1">
      <alignment horizontal="centerContinuous" wrapText="1"/>
    </xf>
    <xf numFmtId="0" fontId="4" fillId="0" borderId="6" xfId="0" applyFont="1" applyBorder="1" applyAlignment="1">
      <alignment horizontal="centerContinuous" wrapText="1"/>
    </xf>
    <xf numFmtId="0" fontId="4" fillId="0" borderId="7" xfId="0" applyFont="1" applyBorder="1" applyAlignment="1">
      <alignment horizontal="centerContinuous" wrapText="1"/>
    </xf>
    <xf numFmtId="0" fontId="4" fillId="0" borderId="8" xfId="0" applyFont="1" applyBorder="1" applyAlignment="1">
      <alignment horizontal="centerContinuous" wrapText="1"/>
    </xf>
    <xf numFmtId="0" fontId="4" fillId="0" borderId="9" xfId="0" applyFont="1" applyBorder="1" applyAlignment="1">
      <alignment horizontal="centerContinuous" wrapText="1"/>
    </xf>
    <xf numFmtId="0" fontId="3" fillId="0" borderId="10" xfId="0" applyFont="1" applyBorder="1"/>
    <xf numFmtId="0" fontId="0" fillId="5" borderId="0" xfId="0" applyFill="1"/>
    <xf numFmtId="0" fontId="6" fillId="0" borderId="3" xfId="0" applyFont="1" applyBorder="1" applyAlignment="1">
      <alignment horizontal="centerContinuous"/>
    </xf>
    <xf numFmtId="0" fontId="6" fillId="0" borderId="0" xfId="0" applyFont="1"/>
    <xf numFmtId="0" fontId="7" fillId="3" borderId="1" xfId="0" applyFont="1" applyFill="1" applyBorder="1" applyAlignment="1">
      <alignment horizontal="centerContinuous"/>
    </xf>
    <xf numFmtId="0" fontId="6" fillId="0" borderId="10" xfId="0" applyFont="1" applyBorder="1"/>
    <xf numFmtId="0" fontId="8" fillId="0" borderId="0" xfId="0" applyFont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Continuous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R587"/>
  <sheetViews>
    <sheetView tabSelected="1" workbookViewId="0"/>
  </sheetViews>
  <sheetFormatPr defaultRowHeight="15"/>
  <cols>
    <col min="2" max="2" width="10.7109375" customWidth="1"/>
    <col min="3" max="3" width="20.7109375" customWidth="1"/>
  </cols>
  <sheetData>
    <row r="3" spans="2:14">
      <c r="C3" s="1" t="s">
        <v>0</v>
      </c>
      <c r="D3" s="1" t="s">
        <v>1</v>
      </c>
    </row>
    <row r="4" spans="2:14">
      <c r="B4" s="2" t="s">
        <v>2</v>
      </c>
      <c r="C4" s="2" t="s">
        <v>3</v>
      </c>
      <c r="D4" s="3">
        <v>245.87</v>
      </c>
      <c r="J4" s="4" t="s">
        <v>23</v>
      </c>
      <c r="K4" s="4"/>
      <c r="L4" s="4"/>
      <c r="M4" s="5" t="s">
        <v>13</v>
      </c>
      <c r="N4" s="5">
        <v>983.48</v>
      </c>
    </row>
    <row r="5" spans="2:14">
      <c r="B5" s="6" t="s">
        <v>2</v>
      </c>
      <c r="C5" s="2" t="s">
        <v>4</v>
      </c>
      <c r="D5" s="3">
        <v>245.87</v>
      </c>
    </row>
    <row r="6" spans="2:14">
      <c r="J6" s="7" t="s">
        <v>24</v>
      </c>
      <c r="K6" s="8">
        <v>163.8</v>
      </c>
      <c r="L6" s="8">
        <v>16.66</v>
      </c>
      <c r="M6" s="9" t="s">
        <v>25</v>
      </c>
    </row>
    <row r="7" spans="2:14">
      <c r="E7" s="3" t="s">
        <v>5</v>
      </c>
      <c r="F7" s="3">
        <v>245.87</v>
      </c>
    </row>
    <row r="9" spans="2:14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10" t="s">
        <v>13</v>
      </c>
    </row>
    <row r="10" spans="2:14">
      <c r="B10" s="2" t="s">
        <v>11</v>
      </c>
      <c r="C10" s="2" t="s">
        <v>12</v>
      </c>
      <c r="D10" s="11">
        <f>(285.02*0.07)+285.02</f>
        <v>0</v>
      </c>
      <c r="E10" s="11">
        <f>(285.02*0.10)+285.02</f>
        <v>0</v>
      </c>
      <c r="F10" s="11">
        <f>(285.02*0.15)+285.02</f>
        <v>0</v>
      </c>
      <c r="G10" s="11">
        <f>(285.02*0.20)+285.02</f>
        <v>0</v>
      </c>
      <c r="H10" s="12">
        <v>15.92</v>
      </c>
      <c r="L10" s="7" t="s">
        <v>26</v>
      </c>
      <c r="M10" s="13">
        <v>163.8</v>
      </c>
    </row>
    <row r="11" spans="2:14">
      <c r="B11" s="2" t="s">
        <v>14</v>
      </c>
      <c r="C11" s="2" t="s">
        <v>15</v>
      </c>
      <c r="D11" s="11">
        <f>(281.33*0.07)+281.33</f>
        <v>0</v>
      </c>
      <c r="E11" s="11">
        <f>(281.33*0.10)+281.33</f>
        <v>0</v>
      </c>
      <c r="F11" s="11">
        <f>(281.33*0.15)+281.33</f>
        <v>0</v>
      </c>
      <c r="G11" s="11">
        <f>(281.33*0.20)+281.33</f>
        <v>0</v>
      </c>
      <c r="H11" s="12">
        <v>14.42</v>
      </c>
    </row>
    <row r="12" spans="2:14">
      <c r="B12" s="2" t="s">
        <v>16</v>
      </c>
      <c r="C12" s="2" t="s">
        <v>17</v>
      </c>
      <c r="D12" s="11">
        <f>(284.77*0.07)+284.77</f>
        <v>0</v>
      </c>
      <c r="E12" s="11">
        <f>(284.77*0.10)+284.77</f>
        <v>0</v>
      </c>
      <c r="F12" s="11">
        <f>(284.77*0.15)+284.77</f>
        <v>0</v>
      </c>
      <c r="G12" s="11">
        <f>(284.77*0.20)+284.77</f>
        <v>0</v>
      </c>
      <c r="H12" s="12">
        <v>15.82</v>
      </c>
    </row>
    <row r="13" spans="2:14">
      <c r="B13" s="2" t="s">
        <v>18</v>
      </c>
      <c r="C13" s="2" t="s">
        <v>19</v>
      </c>
      <c r="D13" s="11">
        <f>(288.75*0.07)+288.75</f>
        <v>0</v>
      </c>
      <c r="E13" s="11">
        <f>(288.75*0.10)+288.75</f>
        <v>0</v>
      </c>
      <c r="F13" s="11">
        <f>(288.75*0.15)+288.75</f>
        <v>0</v>
      </c>
      <c r="G13" s="11">
        <f>(288.75*0.20)+288.75</f>
        <v>0</v>
      </c>
      <c r="H13" s="12">
        <v>17.44</v>
      </c>
      <c r="M13" s="14" t="s">
        <v>27</v>
      </c>
      <c r="N13" s="15">
        <v>983.48</v>
      </c>
    </row>
    <row r="14" spans="2:14">
      <c r="B14" s="2" t="s">
        <v>20</v>
      </c>
      <c r="C14" s="2" t="s">
        <v>21</v>
      </c>
      <c r="D14" s="11">
        <f>(287.24*0.07)+287.24</f>
        <v>0</v>
      </c>
      <c r="E14" s="11">
        <f>(287.24*0.10)+287.24</f>
        <v>0</v>
      </c>
      <c r="F14" s="11">
        <f>(287.24*0.15)+287.24</f>
        <v>0</v>
      </c>
      <c r="G14" s="11">
        <f>(287.24*0.20)+287.24</f>
        <v>0</v>
      </c>
      <c r="H14" s="12">
        <v>16.83</v>
      </c>
      <c r="M14" s="16"/>
      <c r="N14" s="17"/>
    </row>
    <row r="15" spans="2:14">
      <c r="B15" s="2" t="s">
        <v>4</v>
      </c>
      <c r="C15" s="2" t="s">
        <v>22</v>
      </c>
      <c r="D15" s="11">
        <f>(286.82*0.07)+286.82</f>
        <v>0</v>
      </c>
      <c r="E15" s="11">
        <f>(286.82*0.10)+286.82</f>
        <v>0</v>
      </c>
      <c r="F15" s="11">
        <f>(286.82*0.15)+286.82</f>
        <v>0</v>
      </c>
      <c r="G15" s="11">
        <f>(286.82*0.20)+286.82</f>
        <v>0</v>
      </c>
      <c r="H15" s="12">
        <v>16.66</v>
      </c>
      <c r="M15" s="18" t="s">
        <v>28</v>
      </c>
      <c r="N15" s="19">
        <v>163.8</v>
      </c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2" spans="1:15">
      <c r="C22" s="1" t="s">
        <v>29</v>
      </c>
      <c r="D22" s="1" t="s">
        <v>30</v>
      </c>
    </row>
    <row r="23" spans="1:15">
      <c r="B23" s="2" t="s">
        <v>31</v>
      </c>
      <c r="C23" s="2" t="s">
        <v>32</v>
      </c>
      <c r="D23" s="3">
        <v>108.27</v>
      </c>
    </row>
    <row r="24" spans="1:15">
      <c r="B24" s="2" t="s">
        <v>31</v>
      </c>
      <c r="C24" s="2" t="s">
        <v>33</v>
      </c>
      <c r="D24" s="3">
        <v>108.4</v>
      </c>
      <c r="K24" s="4" t="s">
        <v>41</v>
      </c>
      <c r="L24" s="4"/>
      <c r="M24" s="4"/>
      <c r="N24" s="5" t="s">
        <v>13</v>
      </c>
      <c r="O24" s="5">
        <v>108.27</v>
      </c>
    </row>
    <row r="25" spans="1:15">
      <c r="B25" s="6" t="s">
        <v>34</v>
      </c>
      <c r="C25" s="2" t="s">
        <v>4</v>
      </c>
      <c r="D25" s="3">
        <v>216.67</v>
      </c>
    </row>
    <row r="26" spans="1:15">
      <c r="K26" s="7" t="s">
        <v>24</v>
      </c>
      <c r="L26" s="21">
        <v>-13.89</v>
      </c>
      <c r="M26" s="21">
        <v>-12.83</v>
      </c>
      <c r="N26" s="9" t="s">
        <v>25</v>
      </c>
    </row>
    <row r="27" spans="1:15">
      <c r="E27" s="3" t="s">
        <v>5</v>
      </c>
      <c r="F27" s="3">
        <v>108.34</v>
      </c>
    </row>
    <row r="28" spans="1:15">
      <c r="K28" s="4" t="s">
        <v>42</v>
      </c>
      <c r="L28" s="4"/>
      <c r="M28" s="4"/>
      <c r="N28" s="5" t="s">
        <v>36</v>
      </c>
      <c r="O28" s="5">
        <v>108.4</v>
      </c>
    </row>
    <row r="29" spans="1:15"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10" t="s">
        <v>13</v>
      </c>
      <c r="I29" s="10" t="s">
        <v>36</v>
      </c>
    </row>
    <row r="30" spans="1:15">
      <c r="B30" s="2" t="s">
        <v>14</v>
      </c>
      <c r="C30" s="2" t="s">
        <v>35</v>
      </c>
      <c r="D30" s="11">
        <f>(102.82*0.07)+102.82</f>
        <v>0</v>
      </c>
      <c r="E30" s="11">
        <f>(102.82*0.10)+102.82</f>
        <v>0</v>
      </c>
      <c r="F30" s="11">
        <f>(102.82*0.15)+102.82</f>
        <v>0</v>
      </c>
      <c r="G30" s="11">
        <f>(102.82*0.20)+102.82</f>
        <v>0</v>
      </c>
      <c r="H30" s="22">
        <v>-5.04</v>
      </c>
      <c r="I30" s="22">
        <v>-5.15</v>
      </c>
      <c r="K30" s="7" t="s">
        <v>24</v>
      </c>
      <c r="L30" s="21">
        <v>-14.02</v>
      </c>
      <c r="M30" s="21">
        <v>-12.93</v>
      </c>
      <c r="N30" s="9" t="s">
        <v>25</v>
      </c>
    </row>
    <row r="31" spans="1:15">
      <c r="B31" s="2" t="s">
        <v>16</v>
      </c>
      <c r="C31" s="2" t="s">
        <v>37</v>
      </c>
      <c r="D31" s="11">
        <f>(106.55*0.07)+106.55</f>
        <v>0</v>
      </c>
      <c r="E31" s="11">
        <f>(106.55*0.10)+106.55</f>
        <v>0</v>
      </c>
      <c r="F31" s="11">
        <f>(106.55*0.15)+106.55</f>
        <v>0</v>
      </c>
      <c r="G31" s="11">
        <f>(106.55*0.20)+106.55</f>
        <v>0</v>
      </c>
      <c r="H31" s="22">
        <v>-1.59</v>
      </c>
      <c r="I31" s="22">
        <v>-1.71</v>
      </c>
    </row>
    <row r="32" spans="1:15">
      <c r="B32" s="2" t="s">
        <v>18</v>
      </c>
      <c r="C32" s="2" t="s">
        <v>38</v>
      </c>
      <c r="D32" s="11">
        <f>(98.35*0.07)+98.35</f>
        <v>0</v>
      </c>
      <c r="E32" s="11">
        <f>(98.35*0.10)+98.35</f>
        <v>0</v>
      </c>
      <c r="F32" s="11">
        <f>(98.35*0.15)+98.35</f>
        <v>0</v>
      </c>
      <c r="G32" s="11">
        <f>(98.35*0.20)+98.35</f>
        <v>0</v>
      </c>
      <c r="H32" s="22">
        <v>-9.16</v>
      </c>
      <c r="I32" s="22">
        <v>-9.27</v>
      </c>
    </row>
    <row r="33" spans="1:15">
      <c r="B33" s="2" t="s">
        <v>20</v>
      </c>
      <c r="C33" s="2" t="s">
        <v>39</v>
      </c>
      <c r="D33" s="11">
        <f>(99.37*0.07)+99.37</f>
        <v>0</v>
      </c>
      <c r="E33" s="11">
        <f>(99.37*0.10)+99.37</f>
        <v>0</v>
      </c>
      <c r="F33" s="11">
        <f>(99.37*0.15)+99.37</f>
        <v>0</v>
      </c>
      <c r="G33" s="11">
        <f>(99.37*0.20)+99.37</f>
        <v>0</v>
      </c>
      <c r="H33" s="22">
        <v>-8.220000000000001</v>
      </c>
      <c r="I33" s="22">
        <v>-8.33</v>
      </c>
    </row>
    <row r="34" spans="1:15">
      <c r="B34" s="2" t="s">
        <v>4</v>
      </c>
      <c r="C34" s="2" t="s">
        <v>40</v>
      </c>
      <c r="D34" s="11">
        <f>(94.38*0.07)+94.38</f>
        <v>0</v>
      </c>
      <c r="E34" s="11">
        <f>(94.38*0.10)+94.38</f>
        <v>0</v>
      </c>
      <c r="F34" s="11">
        <f>(94.38*0.15)+94.38</f>
        <v>0</v>
      </c>
      <c r="G34" s="11">
        <f>(94.38*0.20)+94.38</f>
        <v>0</v>
      </c>
      <c r="H34" s="22">
        <v>-12.83</v>
      </c>
      <c r="I34" s="22">
        <v>-12.93</v>
      </c>
      <c r="M34" s="7" t="s">
        <v>26</v>
      </c>
      <c r="N34" s="23">
        <v>-27.91</v>
      </c>
    </row>
    <row r="37" spans="1:15">
      <c r="N37" s="14" t="s">
        <v>27</v>
      </c>
      <c r="O37" s="15">
        <v>216.67</v>
      </c>
    </row>
    <row r="38" spans="1:15">
      <c r="N38" s="16"/>
      <c r="O38" s="17"/>
    </row>
    <row r="39" spans="1:15">
      <c r="N39" s="18" t="s">
        <v>28</v>
      </c>
      <c r="O39" s="24">
        <v>-27.91</v>
      </c>
    </row>
    <row r="41" spans="1: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5" spans="1:15">
      <c r="C45" s="1" t="s">
        <v>43</v>
      </c>
      <c r="D45" s="1" t="s">
        <v>44</v>
      </c>
    </row>
    <row r="46" spans="1:15">
      <c r="B46" s="2" t="s">
        <v>45</v>
      </c>
      <c r="C46" s="2" t="s">
        <v>46</v>
      </c>
      <c r="D46" s="3">
        <v>104.99</v>
      </c>
    </row>
    <row r="47" spans="1:15">
      <c r="B47" s="2" t="s">
        <v>2</v>
      </c>
      <c r="C47" s="2" t="s">
        <v>47</v>
      </c>
      <c r="D47" s="3">
        <v>131.71</v>
      </c>
    </row>
    <row r="48" spans="1:15">
      <c r="B48" s="2" t="s">
        <v>2</v>
      </c>
      <c r="C48" s="2" t="s">
        <v>48</v>
      </c>
      <c r="D48" s="3">
        <v>108.92</v>
      </c>
    </row>
    <row r="49" spans="2:18">
      <c r="B49" s="2" t="s">
        <v>2</v>
      </c>
      <c r="C49" s="2" t="s">
        <v>48</v>
      </c>
      <c r="D49" s="3">
        <v>110.89</v>
      </c>
    </row>
    <row r="50" spans="2:18">
      <c r="B50" s="2" t="s">
        <v>49</v>
      </c>
      <c r="C50" s="2" t="s">
        <v>50</v>
      </c>
      <c r="D50" s="3">
        <v>101.88</v>
      </c>
      <c r="N50" s="4" t="s">
        <v>59</v>
      </c>
      <c r="O50" s="4"/>
      <c r="P50" s="4"/>
      <c r="Q50" s="5" t="s">
        <v>13</v>
      </c>
      <c r="R50" s="5">
        <v>2099.84</v>
      </c>
    </row>
    <row r="51" spans="2:18">
      <c r="B51" s="6" t="s">
        <v>51</v>
      </c>
      <c r="C51" s="2" t="s">
        <v>4</v>
      </c>
      <c r="D51" s="3">
        <v>558.39</v>
      </c>
    </row>
    <row r="52" spans="2:18">
      <c r="N52" s="7" t="s">
        <v>24</v>
      </c>
      <c r="O52" s="21">
        <v>-121.2</v>
      </c>
      <c r="P52" s="21">
        <v>-5.77</v>
      </c>
      <c r="Q52" s="9" t="s">
        <v>25</v>
      </c>
    </row>
    <row r="53" spans="2:18">
      <c r="E53" s="3" t="s">
        <v>5</v>
      </c>
      <c r="F53" s="3">
        <v>108.52</v>
      </c>
    </row>
    <row r="54" spans="2:18">
      <c r="N54" s="4" t="s">
        <v>60</v>
      </c>
      <c r="O54" s="4"/>
      <c r="P54" s="4"/>
      <c r="Q54" s="5" t="s">
        <v>36</v>
      </c>
      <c r="R54" s="5">
        <v>526.8200000000001</v>
      </c>
    </row>
    <row r="55" spans="2:18">
      <c r="C55" s="2" t="s">
        <v>6</v>
      </c>
      <c r="D55" s="2" t="s">
        <v>7</v>
      </c>
      <c r="E55" s="2" t="s">
        <v>8</v>
      </c>
      <c r="F55" s="2" t="s">
        <v>9</v>
      </c>
      <c r="G55" s="2" t="s">
        <v>10</v>
      </c>
      <c r="H55" s="10" t="s">
        <v>13</v>
      </c>
      <c r="I55" s="10" t="s">
        <v>36</v>
      </c>
      <c r="J55" s="10" t="s">
        <v>53</v>
      </c>
      <c r="K55" s="10" t="s">
        <v>54</v>
      </c>
      <c r="L55" s="10" t="s">
        <v>55</v>
      </c>
    </row>
    <row r="56" spans="2:18">
      <c r="B56" s="2" t="s">
        <v>14</v>
      </c>
      <c r="C56" s="2" t="s">
        <v>52</v>
      </c>
      <c r="D56" s="11">
        <f>(102.93*0.07)+102.93</f>
        <v>0</v>
      </c>
      <c r="E56" s="11">
        <f>(102.93*0.10)+102.93</f>
        <v>0</v>
      </c>
      <c r="F56" s="11">
        <f>(102.93*0.15)+102.93</f>
        <v>0</v>
      </c>
      <c r="G56" s="11">
        <f>(102.93*0.20)+102.93</f>
        <v>0</v>
      </c>
      <c r="H56" s="22">
        <v>-1.96</v>
      </c>
      <c r="I56" s="22">
        <v>-21.85</v>
      </c>
      <c r="J56" s="22">
        <v>-5.5</v>
      </c>
      <c r="K56" s="22">
        <v>-7.17</v>
      </c>
      <c r="L56" s="12">
        <v>1.03</v>
      </c>
      <c r="N56" s="7" t="s">
        <v>24</v>
      </c>
      <c r="O56" s="21">
        <v>-131.09</v>
      </c>
      <c r="P56" s="21">
        <v>-24.88</v>
      </c>
      <c r="Q56" s="9" t="s">
        <v>25</v>
      </c>
    </row>
    <row r="57" spans="2:18">
      <c r="B57" s="2" t="s">
        <v>16</v>
      </c>
      <c r="C57" s="2" t="s">
        <v>56</v>
      </c>
      <c r="D57" s="11">
        <f>(101.17*0.07)+101.17</f>
        <v>0</v>
      </c>
      <c r="E57" s="11">
        <f>(101.17*0.10)+101.17</f>
        <v>0</v>
      </c>
      <c r="F57" s="11">
        <f>(101.17*0.15)+101.17</f>
        <v>0</v>
      </c>
      <c r="G57" s="11">
        <f>(101.17*0.20)+101.17</f>
        <v>0</v>
      </c>
      <c r="H57" s="22">
        <v>-3.64</v>
      </c>
      <c r="I57" s="22">
        <v>-23.18</v>
      </c>
      <c r="J57" s="22">
        <v>-7.12</v>
      </c>
      <c r="K57" s="22">
        <v>-8.76</v>
      </c>
      <c r="L57" s="22">
        <v>-0.7</v>
      </c>
    </row>
    <row r="58" spans="2:18">
      <c r="B58" s="2" t="s">
        <v>18</v>
      </c>
      <c r="C58" s="2" t="s">
        <v>57</v>
      </c>
      <c r="D58" s="11">
        <f>(102.04*0.07)+102.04</f>
        <v>0</v>
      </c>
      <c r="E58" s="11">
        <f>(102.04*0.10)+102.04</f>
        <v>0</v>
      </c>
      <c r="F58" s="11">
        <f>(102.04*0.15)+102.04</f>
        <v>0</v>
      </c>
      <c r="G58" s="11">
        <f>(102.04*0.20)+102.04</f>
        <v>0</v>
      </c>
      <c r="H58" s="22">
        <v>-2.81</v>
      </c>
      <c r="I58" s="22">
        <v>-22.52</v>
      </c>
      <c r="J58" s="22">
        <v>-6.32</v>
      </c>
      <c r="K58" s="22">
        <v>-7.98</v>
      </c>
      <c r="L58" s="12">
        <v>0.16</v>
      </c>
      <c r="N58" s="4" t="s">
        <v>61</v>
      </c>
      <c r="O58" s="4"/>
      <c r="P58" s="4"/>
      <c r="Q58" s="5" t="s">
        <v>53</v>
      </c>
      <c r="R58" s="5">
        <v>435.7</v>
      </c>
    </row>
    <row r="59" spans="2:18">
      <c r="B59" s="2" t="s">
        <v>4</v>
      </c>
      <c r="C59" s="2" t="s">
        <v>58</v>
      </c>
      <c r="D59" s="11">
        <f>(98.932*0.07)+98.932</f>
        <v>0</v>
      </c>
      <c r="E59" s="11">
        <f>(98.932*0.10)+98.932</f>
        <v>0</v>
      </c>
      <c r="F59" s="11">
        <f>(98.932*0.15)+98.932</f>
        <v>0</v>
      </c>
      <c r="G59" s="11">
        <f>(98.932*0.20)+98.932</f>
        <v>0</v>
      </c>
      <c r="H59" s="22">
        <v>-5.77</v>
      </c>
      <c r="I59" s="22">
        <v>-24.88</v>
      </c>
      <c r="J59" s="22">
        <v>-9.17</v>
      </c>
      <c r="K59" s="22">
        <v>-10.78</v>
      </c>
      <c r="L59" s="22">
        <v>-2.89</v>
      </c>
    </row>
    <row r="60" spans="2:18">
      <c r="N60" s="7" t="s">
        <v>24</v>
      </c>
      <c r="O60" s="21">
        <v>-39.97</v>
      </c>
      <c r="P60" s="21">
        <v>-9.17</v>
      </c>
      <c r="Q60" s="9" t="s">
        <v>25</v>
      </c>
    </row>
    <row r="62" spans="2:18">
      <c r="N62" s="4" t="s">
        <v>61</v>
      </c>
      <c r="O62" s="4"/>
      <c r="P62" s="4"/>
      <c r="Q62" s="5" t="s">
        <v>54</v>
      </c>
      <c r="R62" s="5">
        <v>443.54</v>
      </c>
    </row>
    <row r="64" spans="2:18">
      <c r="N64" s="7" t="s">
        <v>24</v>
      </c>
      <c r="O64" s="21">
        <v>-47.81</v>
      </c>
      <c r="P64" s="21">
        <v>-10.78</v>
      </c>
      <c r="Q64" s="9" t="s">
        <v>25</v>
      </c>
    </row>
    <row r="66" spans="1:18">
      <c r="N66" s="4" t="s">
        <v>62</v>
      </c>
      <c r="O66" s="4"/>
      <c r="P66" s="4"/>
      <c r="Q66" s="5" t="s">
        <v>55</v>
      </c>
      <c r="R66" s="5">
        <v>509.4</v>
      </c>
    </row>
    <row r="68" spans="1:18">
      <c r="N68" s="7" t="s">
        <v>24</v>
      </c>
      <c r="O68" s="21">
        <v>-14.74</v>
      </c>
      <c r="P68" s="21">
        <v>-2.89</v>
      </c>
      <c r="Q68" s="9" t="s">
        <v>25</v>
      </c>
    </row>
    <row r="72" spans="1:18">
      <c r="P72" s="7" t="s">
        <v>26</v>
      </c>
      <c r="Q72" s="23">
        <v>-354.82</v>
      </c>
    </row>
    <row r="75" spans="1:18">
      <c r="Q75" s="14" t="s">
        <v>27</v>
      </c>
      <c r="R75" s="15">
        <v>4015.31</v>
      </c>
    </row>
    <row r="76" spans="1:18">
      <c r="Q76" s="16"/>
      <c r="R76" s="17"/>
    </row>
    <row r="77" spans="1:18">
      <c r="Q77" s="18" t="s">
        <v>28</v>
      </c>
      <c r="R77" s="24">
        <v>-354.82</v>
      </c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3" spans="2:16">
      <c r="C83" s="1" t="s">
        <v>63</v>
      </c>
      <c r="D83" s="1" t="s">
        <v>64</v>
      </c>
    </row>
    <row r="84" spans="2:16">
      <c r="B84" s="2" t="s">
        <v>65</v>
      </c>
      <c r="C84" s="2" t="s">
        <v>66</v>
      </c>
      <c r="D84" s="3">
        <v>141.43</v>
      </c>
    </row>
    <row r="85" spans="2:16">
      <c r="B85" s="2" t="s">
        <v>67</v>
      </c>
      <c r="C85" s="2" t="s">
        <v>68</v>
      </c>
      <c r="D85" s="3">
        <v>140.95</v>
      </c>
    </row>
    <row r="86" spans="2:16">
      <c r="B86" s="2" t="s">
        <v>67</v>
      </c>
      <c r="C86" s="2" t="s">
        <v>69</v>
      </c>
      <c r="D86" s="3">
        <v>138.5</v>
      </c>
      <c r="L86" s="4" t="s">
        <v>88</v>
      </c>
      <c r="M86" s="4"/>
      <c r="N86" s="4"/>
      <c r="O86" s="5" t="s">
        <v>13</v>
      </c>
      <c r="P86" s="5">
        <v>1414.3</v>
      </c>
    </row>
    <row r="87" spans="2:16">
      <c r="B87" s="6" t="s">
        <v>70</v>
      </c>
      <c r="C87" s="2" t="s">
        <v>4</v>
      </c>
      <c r="D87" s="3">
        <v>420.88</v>
      </c>
    </row>
    <row r="88" spans="2:16">
      <c r="L88" s="7" t="s">
        <v>24</v>
      </c>
      <c r="M88" s="8">
        <v>123.1</v>
      </c>
      <c r="N88" s="8">
        <v>8.699999999999999</v>
      </c>
      <c r="O88" s="9" t="s">
        <v>25</v>
      </c>
    </row>
    <row r="89" spans="2:16">
      <c r="E89" s="3" t="s">
        <v>5</v>
      </c>
      <c r="F89" s="3">
        <v>140.79</v>
      </c>
    </row>
    <row r="90" spans="2:16">
      <c r="L90" s="4" t="s">
        <v>89</v>
      </c>
      <c r="M90" s="4"/>
      <c r="N90" s="4"/>
      <c r="O90" s="5" t="s">
        <v>36</v>
      </c>
      <c r="P90" s="5">
        <v>422.85</v>
      </c>
    </row>
    <row r="91" spans="2:16">
      <c r="C91" s="2" t="s">
        <v>6</v>
      </c>
      <c r="D91" s="2" t="s">
        <v>7</v>
      </c>
      <c r="E91" s="2" t="s">
        <v>8</v>
      </c>
      <c r="F91" s="2" t="s">
        <v>9</v>
      </c>
      <c r="G91" s="2" t="s">
        <v>10</v>
      </c>
      <c r="H91" s="10" t="s">
        <v>13</v>
      </c>
    </row>
    <row r="92" spans="2:16">
      <c r="B92" s="2" t="s">
        <v>66</v>
      </c>
      <c r="C92" s="2" t="s">
        <v>71</v>
      </c>
      <c r="D92" s="11">
        <f>(149.64*0.07)+149.64</f>
        <v>0</v>
      </c>
      <c r="E92" s="11">
        <f>(149.64*0.10)+149.64</f>
        <v>0</v>
      </c>
      <c r="F92" s="11">
        <f>(149.64*0.15)+149.64</f>
        <v>0</v>
      </c>
      <c r="G92" s="11">
        <f>(149.64*0.20)+149.64</f>
        <v>0</v>
      </c>
      <c r="H92" s="12">
        <v>5.8</v>
      </c>
      <c r="L92" s="7" t="s">
        <v>24</v>
      </c>
      <c r="M92" s="8">
        <v>38.37</v>
      </c>
      <c r="N92" s="8">
        <v>9.07</v>
      </c>
      <c r="O92" s="9" t="s">
        <v>25</v>
      </c>
    </row>
    <row r="93" spans="2:16">
      <c r="B93" s="2" t="s">
        <v>72</v>
      </c>
      <c r="C93" s="2" t="s">
        <v>73</v>
      </c>
      <c r="D93" s="11">
        <f>(145.38*0.07)+145.38</f>
        <v>0</v>
      </c>
      <c r="E93" s="11">
        <f>(145.38*0.10)+145.38</f>
        <v>0</v>
      </c>
      <c r="F93" s="11">
        <f>(145.38*0.15)+145.38</f>
        <v>0</v>
      </c>
      <c r="G93" s="11">
        <f>(145.38*0.20)+145.38</f>
        <v>0</v>
      </c>
      <c r="H93" s="12">
        <v>2.79</v>
      </c>
      <c r="I93" s="10" t="s">
        <v>36</v>
      </c>
    </row>
    <row r="94" spans="2:16">
      <c r="B94" s="2" t="s">
        <v>74</v>
      </c>
      <c r="C94" s="2" t="s">
        <v>75</v>
      </c>
      <c r="D94" s="11">
        <f>(132.26*0.07)+132.26</f>
        <v>0</v>
      </c>
      <c r="E94" s="11">
        <f>(132.26*0.10)+132.26</f>
        <v>0</v>
      </c>
      <c r="F94" s="11">
        <f>(132.26*0.15)+132.26</f>
        <v>0</v>
      </c>
      <c r="G94" s="11">
        <f>(132.26*0.20)+132.26</f>
        <v>0</v>
      </c>
      <c r="H94" s="22">
        <v>-6.48</v>
      </c>
      <c r="I94" s="22">
        <v>-6.17</v>
      </c>
      <c r="J94" s="10" t="s">
        <v>53</v>
      </c>
      <c r="L94" s="4" t="s">
        <v>90</v>
      </c>
      <c r="M94" s="4"/>
      <c r="N94" s="4"/>
      <c r="O94" s="5" t="s">
        <v>53</v>
      </c>
      <c r="P94" s="5">
        <v>415.5</v>
      </c>
    </row>
    <row r="95" spans="2:16">
      <c r="B95" s="2" t="s">
        <v>76</v>
      </c>
      <c r="C95" s="2" t="s">
        <v>77</v>
      </c>
      <c r="D95" s="11">
        <f>(136.18*0.07)+136.18</f>
        <v>0</v>
      </c>
      <c r="E95" s="11">
        <f>(136.18*0.10)+136.18</f>
        <v>0</v>
      </c>
      <c r="F95" s="11">
        <f>(136.18*0.15)+136.18</f>
        <v>0</v>
      </c>
      <c r="G95" s="11">
        <f>(136.18*0.20)+136.18</f>
        <v>0</v>
      </c>
      <c r="H95" s="22">
        <v>-3.71</v>
      </c>
      <c r="I95" s="22">
        <v>-3.38</v>
      </c>
      <c r="J95" s="22">
        <v>-1.68</v>
      </c>
    </row>
    <row r="96" spans="2:16">
      <c r="B96" s="2" t="s">
        <v>78</v>
      </c>
      <c r="C96" s="2" t="s">
        <v>79</v>
      </c>
      <c r="D96" s="11">
        <f>(149.70*0.07)+149.70</f>
        <v>0</v>
      </c>
      <c r="E96" s="11">
        <f>(149.70*0.10)+149.70</f>
        <v>0</v>
      </c>
      <c r="F96" s="11">
        <f>(149.70*0.15)+149.70</f>
        <v>0</v>
      </c>
      <c r="G96" s="11">
        <f>(149.70*0.20)+149.70</f>
        <v>0</v>
      </c>
      <c r="H96" s="12">
        <v>5.85</v>
      </c>
      <c r="I96" s="12">
        <v>6.21</v>
      </c>
      <c r="J96" s="12">
        <v>8.09</v>
      </c>
      <c r="L96" s="7" t="s">
        <v>24</v>
      </c>
      <c r="M96" s="8">
        <v>45.72</v>
      </c>
      <c r="N96" s="8">
        <v>11</v>
      </c>
      <c r="O96" s="9" t="s">
        <v>25</v>
      </c>
    </row>
    <row r="97" spans="1:16">
      <c r="B97" s="2" t="s">
        <v>80</v>
      </c>
      <c r="C97" s="2" t="s">
        <v>81</v>
      </c>
      <c r="D97" s="11">
        <f>(130.15*0.07)+130.15</f>
        <v>0</v>
      </c>
      <c r="E97" s="11">
        <f>(130.15*0.10)+130.15</f>
        <v>0</v>
      </c>
      <c r="F97" s="11">
        <f>(130.15*0.15)+130.15</f>
        <v>0</v>
      </c>
      <c r="G97" s="11">
        <f>(130.15*0.20)+130.15</f>
        <v>0</v>
      </c>
      <c r="H97" s="22">
        <v>-7.98</v>
      </c>
      <c r="I97" s="22">
        <v>-7.66</v>
      </c>
      <c r="J97" s="22">
        <v>-6.03</v>
      </c>
    </row>
    <row r="98" spans="1:16">
      <c r="B98" s="2" t="s">
        <v>11</v>
      </c>
      <c r="C98" s="2" t="s">
        <v>82</v>
      </c>
      <c r="D98" s="11">
        <f>(154.5*0.07)+154.5</f>
        <v>0</v>
      </c>
      <c r="E98" s="11">
        <f>(154.5*0.10)+154.5</f>
        <v>0</v>
      </c>
      <c r="F98" s="11">
        <f>(154.5*0.15)+154.5</f>
        <v>0</v>
      </c>
      <c r="G98" s="11">
        <f>(154.5*0.20)+154.5</f>
        <v>0</v>
      </c>
      <c r="H98" s="12">
        <v>9.24</v>
      </c>
      <c r="I98" s="12">
        <v>9.609999999999999</v>
      </c>
      <c r="J98" s="12">
        <v>11.55</v>
      </c>
    </row>
    <row r="99" spans="1:16">
      <c r="B99" s="2" t="s">
        <v>14</v>
      </c>
      <c r="C99" s="2" t="s">
        <v>83</v>
      </c>
      <c r="D99" s="11">
        <f>(151.79*0.07)+151.79</f>
        <v>0</v>
      </c>
      <c r="E99" s="11">
        <f>(151.79*0.10)+151.79</f>
        <v>0</v>
      </c>
      <c r="F99" s="11">
        <f>(151.79*0.15)+151.79</f>
        <v>0</v>
      </c>
      <c r="G99" s="11">
        <f>(151.79*0.20)+151.79</f>
        <v>0</v>
      </c>
      <c r="H99" s="12">
        <v>7.33</v>
      </c>
      <c r="I99" s="12">
        <v>7.69</v>
      </c>
      <c r="J99" s="12">
        <v>9.6</v>
      </c>
    </row>
    <row r="100" spans="1:16">
      <c r="B100" s="2" t="s">
        <v>16</v>
      </c>
      <c r="C100" s="2" t="s">
        <v>84</v>
      </c>
      <c r="D100" s="11">
        <f>(154.99*0.07)+154.99</f>
        <v>0</v>
      </c>
      <c r="E100" s="11">
        <f>(154.99*0.10)+154.99</f>
        <v>0</v>
      </c>
      <c r="F100" s="11">
        <f>(154.99*0.15)+154.99</f>
        <v>0</v>
      </c>
      <c r="G100" s="11">
        <f>(154.99*0.20)+154.99</f>
        <v>0</v>
      </c>
      <c r="H100" s="12">
        <v>9.59</v>
      </c>
      <c r="I100" s="12">
        <v>9.960000000000001</v>
      </c>
      <c r="J100" s="12">
        <v>11.91</v>
      </c>
      <c r="N100" s="7" t="s">
        <v>26</v>
      </c>
      <c r="O100" s="13">
        <v>207.19</v>
      </c>
    </row>
    <row r="101" spans="1:16">
      <c r="B101" s="2" t="s">
        <v>18</v>
      </c>
      <c r="C101" s="2" t="s">
        <v>85</v>
      </c>
      <c r="D101" s="11">
        <f>(151.85*0.07)+151.85</f>
        <v>0</v>
      </c>
      <c r="E101" s="11">
        <f>(151.85*0.10)+151.85</f>
        <v>0</v>
      </c>
      <c r="F101" s="11">
        <f>(151.85*0.15)+151.85</f>
        <v>0</v>
      </c>
      <c r="G101" s="11">
        <f>(151.85*0.20)+151.85</f>
        <v>0</v>
      </c>
      <c r="H101" s="12">
        <v>7.37</v>
      </c>
      <c r="I101" s="12">
        <v>7.73</v>
      </c>
      <c r="J101" s="12">
        <v>9.640000000000001</v>
      </c>
    </row>
    <row r="102" spans="1:16">
      <c r="B102" s="2" t="s">
        <v>20</v>
      </c>
      <c r="C102" s="2" t="s">
        <v>86</v>
      </c>
      <c r="D102" s="11">
        <f>(151.92*0.07)+151.92</f>
        <v>0</v>
      </c>
      <c r="E102" s="11">
        <f>(151.92*0.10)+151.92</f>
        <v>0</v>
      </c>
      <c r="F102" s="11">
        <f>(151.92*0.15)+151.92</f>
        <v>0</v>
      </c>
      <c r="G102" s="11">
        <f>(151.92*0.20)+151.92</f>
        <v>0</v>
      </c>
      <c r="H102" s="12">
        <v>7.42</v>
      </c>
      <c r="I102" s="12">
        <v>7.78</v>
      </c>
      <c r="J102" s="12">
        <v>9.69</v>
      </c>
    </row>
    <row r="103" spans="1:16">
      <c r="B103" s="2" t="s">
        <v>4</v>
      </c>
      <c r="C103" s="2" t="s">
        <v>87</v>
      </c>
      <c r="D103" s="11">
        <f>(153.74*0.07)+153.74</f>
        <v>0</v>
      </c>
      <c r="E103" s="11">
        <f>(153.74*0.10)+153.74</f>
        <v>0</v>
      </c>
      <c r="F103" s="11">
        <f>(153.74*0.15)+153.74</f>
        <v>0</v>
      </c>
      <c r="G103" s="11">
        <f>(153.74*0.20)+153.74</f>
        <v>0</v>
      </c>
      <c r="H103" s="12">
        <v>8.699999999999999</v>
      </c>
      <c r="I103" s="12">
        <v>9.07</v>
      </c>
      <c r="J103" s="12">
        <v>11</v>
      </c>
      <c r="O103" s="14" t="s">
        <v>27</v>
      </c>
      <c r="P103" s="15">
        <v>2252.65</v>
      </c>
    </row>
    <row r="104" spans="1:16">
      <c r="O104" s="16"/>
      <c r="P104" s="17"/>
    </row>
    <row r="105" spans="1:16">
      <c r="O105" s="18" t="s">
        <v>28</v>
      </c>
      <c r="P105" s="19">
        <v>207.19</v>
      </c>
    </row>
    <row r="107" spans="1:1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11" spans="1:16">
      <c r="C111" s="1" t="s">
        <v>91</v>
      </c>
      <c r="D111" s="1" t="s">
        <v>92</v>
      </c>
    </row>
    <row r="112" spans="1:16">
      <c r="B112" s="2" t="s">
        <v>93</v>
      </c>
      <c r="C112" s="2" t="s">
        <v>94</v>
      </c>
      <c r="D112" s="3">
        <v>35.25</v>
      </c>
      <c r="J112" s="4" t="s">
        <v>101</v>
      </c>
      <c r="K112" s="4"/>
      <c r="L112" s="4"/>
      <c r="M112" s="5" t="s">
        <v>13</v>
      </c>
      <c r="N112" s="5">
        <v>528.72</v>
      </c>
    </row>
    <row r="113" spans="1:14">
      <c r="B113" s="6" t="s">
        <v>93</v>
      </c>
      <c r="C113" s="2" t="s">
        <v>4</v>
      </c>
      <c r="D113" s="3">
        <v>35.25</v>
      </c>
    </row>
    <row r="114" spans="1:14">
      <c r="J114" s="7" t="s">
        <v>24</v>
      </c>
      <c r="K114" s="8">
        <v>5.66</v>
      </c>
      <c r="L114" s="8">
        <v>1.07</v>
      </c>
      <c r="M114" s="9" t="s">
        <v>25</v>
      </c>
    </row>
    <row r="115" spans="1:14">
      <c r="E115" s="3" t="s">
        <v>5</v>
      </c>
      <c r="F115" s="3">
        <v>35.25</v>
      </c>
    </row>
    <row r="117" spans="1:14"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10</v>
      </c>
      <c r="H117" s="10" t="s">
        <v>13</v>
      </c>
    </row>
    <row r="118" spans="1:14">
      <c r="B118" s="2" t="s">
        <v>11</v>
      </c>
      <c r="C118" s="2" t="s">
        <v>95</v>
      </c>
      <c r="D118" s="11">
        <f>(36.43*0.07)+36.43</f>
        <v>0</v>
      </c>
      <c r="E118" s="11">
        <f>(36.43*0.10)+36.43</f>
        <v>0</v>
      </c>
      <c r="F118" s="11">
        <f>(36.43*0.15)+36.43</f>
        <v>0</v>
      </c>
      <c r="G118" s="11">
        <f>(36.43*0.20)+36.43</f>
        <v>0</v>
      </c>
      <c r="H118" s="12">
        <v>3.35</v>
      </c>
      <c r="L118" s="7" t="s">
        <v>26</v>
      </c>
      <c r="M118" s="13">
        <v>5.66</v>
      </c>
    </row>
    <row r="119" spans="1:14">
      <c r="B119" s="2" t="s">
        <v>14</v>
      </c>
      <c r="C119" s="2" t="s">
        <v>96</v>
      </c>
      <c r="D119" s="11">
        <f>(36.355*0.07)+36.355</f>
        <v>0</v>
      </c>
      <c r="E119" s="11">
        <f>(36.355*0.10)+36.355</f>
        <v>0</v>
      </c>
      <c r="F119" s="11">
        <f>(36.355*0.15)+36.355</f>
        <v>0</v>
      </c>
      <c r="G119" s="11">
        <f>(36.355*0.20)+36.355</f>
        <v>0</v>
      </c>
      <c r="H119" s="12">
        <v>3.14</v>
      </c>
    </row>
    <row r="120" spans="1:14">
      <c r="B120" s="2" t="s">
        <v>16</v>
      </c>
      <c r="C120" s="2" t="s">
        <v>97</v>
      </c>
      <c r="D120" s="11">
        <f>(36.975*0.07)+36.975</f>
        <v>0</v>
      </c>
      <c r="E120" s="11">
        <f>(36.975*0.10)+36.975</f>
        <v>0</v>
      </c>
      <c r="F120" s="11">
        <f>(36.975*0.15)+36.975</f>
        <v>0</v>
      </c>
      <c r="G120" s="11">
        <f>(36.975*0.20)+36.975</f>
        <v>0</v>
      </c>
      <c r="H120" s="12">
        <v>4.9</v>
      </c>
    </row>
    <row r="121" spans="1:14">
      <c r="B121" s="2" t="s">
        <v>18</v>
      </c>
      <c r="C121" s="2" t="s">
        <v>98</v>
      </c>
      <c r="D121" s="11">
        <f>(36.565*0.07)+36.565</f>
        <v>0</v>
      </c>
      <c r="E121" s="11">
        <f>(36.565*0.10)+36.565</f>
        <v>0</v>
      </c>
      <c r="F121" s="11">
        <f>(36.565*0.15)+36.565</f>
        <v>0</v>
      </c>
      <c r="G121" s="11">
        <f>(36.565*0.20)+36.565</f>
        <v>0</v>
      </c>
      <c r="H121" s="12">
        <v>3.74</v>
      </c>
      <c r="M121" s="14" t="s">
        <v>27</v>
      </c>
      <c r="N121" s="15">
        <v>528.72</v>
      </c>
    </row>
    <row r="122" spans="1:14">
      <c r="B122" s="2" t="s">
        <v>20</v>
      </c>
      <c r="C122" s="2" t="s">
        <v>99</v>
      </c>
      <c r="D122" s="11">
        <f>(36.5*0.07)+36.5</f>
        <v>0</v>
      </c>
      <c r="E122" s="11">
        <f>(36.5*0.10)+36.5</f>
        <v>0</v>
      </c>
      <c r="F122" s="11">
        <f>(36.5*0.15)+36.5</f>
        <v>0</v>
      </c>
      <c r="G122" s="11">
        <f>(36.5*0.20)+36.5</f>
        <v>0</v>
      </c>
      <c r="H122" s="12">
        <v>3.55</v>
      </c>
      <c r="M122" s="16"/>
      <c r="N122" s="17"/>
    </row>
    <row r="123" spans="1:14">
      <c r="B123" s="2" t="s">
        <v>4</v>
      </c>
      <c r="C123" s="2" t="s">
        <v>100</v>
      </c>
      <c r="D123" s="11">
        <f>(35.625*0.07)+35.625</f>
        <v>0</v>
      </c>
      <c r="E123" s="11">
        <f>(35.625*0.10)+35.625</f>
        <v>0</v>
      </c>
      <c r="F123" s="11">
        <f>(35.625*0.15)+35.625</f>
        <v>0</v>
      </c>
      <c r="G123" s="11">
        <f>(35.625*0.20)+35.625</f>
        <v>0</v>
      </c>
      <c r="H123" s="12">
        <v>1.07</v>
      </c>
      <c r="M123" s="18" t="s">
        <v>28</v>
      </c>
      <c r="N123" s="19">
        <v>5.66</v>
      </c>
    </row>
    <row r="126" spans="1:14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spans="1:14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30" spans="2:16">
      <c r="C130" s="1" t="s">
        <v>102</v>
      </c>
      <c r="D130" s="1" t="s">
        <v>103</v>
      </c>
    </row>
    <row r="131" spans="2:16">
      <c r="B131" s="2" t="s">
        <v>51</v>
      </c>
      <c r="C131" s="2" t="s">
        <v>104</v>
      </c>
      <c r="D131" s="3">
        <v>13.43</v>
      </c>
    </row>
    <row r="132" spans="2:16">
      <c r="B132" s="2" t="s">
        <v>105</v>
      </c>
      <c r="C132" s="2" t="s">
        <v>106</v>
      </c>
      <c r="D132" s="3">
        <v>10.42</v>
      </c>
    </row>
    <row r="133" spans="2:16">
      <c r="B133" s="2" t="s">
        <v>105</v>
      </c>
      <c r="C133" s="2" t="s">
        <v>48</v>
      </c>
      <c r="D133" s="3">
        <v>9.73</v>
      </c>
      <c r="L133" s="4" t="s">
        <v>114</v>
      </c>
      <c r="M133" s="4"/>
      <c r="N133" s="4"/>
      <c r="O133" s="5" t="s">
        <v>13</v>
      </c>
      <c r="P133" s="5">
        <v>496.91</v>
      </c>
    </row>
    <row r="134" spans="2:16">
      <c r="B134" s="6" t="s">
        <v>107</v>
      </c>
      <c r="C134" s="2" t="s">
        <v>4</v>
      </c>
      <c r="D134" s="3">
        <v>33.58</v>
      </c>
    </row>
    <row r="135" spans="2:16">
      <c r="L135" s="7" t="s">
        <v>24</v>
      </c>
      <c r="M135" s="21">
        <v>-69.15000000000001</v>
      </c>
      <c r="N135" s="21">
        <v>-13.92</v>
      </c>
      <c r="O135" s="9" t="s">
        <v>25</v>
      </c>
    </row>
    <row r="136" spans="2:16">
      <c r="E136" s="3" t="s">
        <v>5</v>
      </c>
      <c r="F136" s="3">
        <v>10.98</v>
      </c>
    </row>
    <row r="137" spans="2:16">
      <c r="L137" s="4" t="s">
        <v>115</v>
      </c>
      <c r="M137" s="4"/>
      <c r="N137" s="4"/>
      <c r="O137" s="5" t="s">
        <v>36</v>
      </c>
      <c r="P137" s="5">
        <v>521</v>
      </c>
    </row>
    <row r="138" spans="2:16"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10</v>
      </c>
      <c r="H138" s="10" t="s">
        <v>13</v>
      </c>
      <c r="I138" s="10" t="s">
        <v>36</v>
      </c>
      <c r="J138" s="10" t="s">
        <v>53</v>
      </c>
    </row>
    <row r="139" spans="2:16">
      <c r="B139" s="2" t="s">
        <v>11</v>
      </c>
      <c r="C139" s="2" t="s">
        <v>108</v>
      </c>
      <c r="D139" s="11">
        <f>(11.8*0.07)+11.8</f>
        <v>0</v>
      </c>
      <c r="E139" s="11">
        <f>(11.8*0.10)+11.8</f>
        <v>0</v>
      </c>
      <c r="F139" s="11">
        <f>(11.8*0.15)+11.8</f>
        <v>0</v>
      </c>
      <c r="G139" s="11">
        <f>(11.8*0.20)+11.8</f>
        <v>0</v>
      </c>
      <c r="H139" s="22">
        <v>-12.14</v>
      </c>
      <c r="I139" s="12">
        <v>13.24</v>
      </c>
      <c r="J139" s="12">
        <v>21.26</v>
      </c>
      <c r="L139" s="7" t="s">
        <v>24</v>
      </c>
      <c r="M139" s="8">
        <v>57.05</v>
      </c>
      <c r="N139" s="8">
        <v>10.95</v>
      </c>
      <c r="O139" s="9" t="s">
        <v>25</v>
      </c>
    </row>
    <row r="140" spans="2:16">
      <c r="B140" s="2" t="s">
        <v>14</v>
      </c>
      <c r="C140" s="2" t="s">
        <v>109</v>
      </c>
      <c r="D140" s="11">
        <f>(11.715*0.07)+11.715</f>
        <v>0</v>
      </c>
      <c r="E140" s="11">
        <f>(11.715*0.10)+11.715</f>
        <v>0</v>
      </c>
      <c r="F140" s="11">
        <f>(11.715*0.15)+11.715</f>
        <v>0</v>
      </c>
      <c r="G140" s="11">
        <f>(11.715*0.20)+11.715</f>
        <v>0</v>
      </c>
      <c r="H140" s="22">
        <v>-12.77</v>
      </c>
      <c r="I140" s="12">
        <v>12.43</v>
      </c>
      <c r="J140" s="12">
        <v>20.39</v>
      </c>
    </row>
    <row r="141" spans="2:16">
      <c r="B141" s="2" t="s">
        <v>16</v>
      </c>
      <c r="C141" s="2" t="s">
        <v>110</v>
      </c>
      <c r="D141" s="11">
        <f>(12.1*0.07)+12.1</f>
        <v>0</v>
      </c>
      <c r="E141" s="11">
        <f>(12.1*0.10)+12.1</f>
        <v>0</v>
      </c>
      <c r="F141" s="11">
        <f>(12.1*0.15)+12.1</f>
        <v>0</v>
      </c>
      <c r="G141" s="11">
        <f>(12.1*0.20)+12.1</f>
        <v>0</v>
      </c>
      <c r="H141" s="22">
        <v>-9.9</v>
      </c>
      <c r="I141" s="12">
        <v>16.12</v>
      </c>
      <c r="J141" s="12">
        <v>24.34</v>
      </c>
      <c r="L141" s="4" t="s">
        <v>61</v>
      </c>
      <c r="M141" s="4"/>
      <c r="N141" s="4"/>
      <c r="O141" s="5" t="s">
        <v>53</v>
      </c>
      <c r="P141" s="5">
        <v>486.55</v>
      </c>
    </row>
    <row r="142" spans="2:16">
      <c r="B142" s="2" t="s">
        <v>18</v>
      </c>
      <c r="C142" s="2" t="s">
        <v>111</v>
      </c>
      <c r="D142" s="11">
        <f>(11.915*0.07)+11.915</f>
        <v>0</v>
      </c>
      <c r="E142" s="11">
        <f>(11.915*0.10)+11.915</f>
        <v>0</v>
      </c>
      <c r="F142" s="11">
        <f>(11.915*0.15)+11.915</f>
        <v>0</v>
      </c>
      <c r="G142" s="11">
        <f>(11.915*0.20)+11.915</f>
        <v>0</v>
      </c>
      <c r="H142" s="22">
        <v>-11.28</v>
      </c>
      <c r="I142" s="12">
        <v>14.35</v>
      </c>
      <c r="J142" s="12">
        <v>22.44</v>
      </c>
    </row>
    <row r="143" spans="2:16">
      <c r="B143" s="2" t="s">
        <v>20</v>
      </c>
      <c r="C143" s="2" t="s">
        <v>112</v>
      </c>
      <c r="D143" s="11">
        <f>(11.87*0.07)+11.87</f>
        <v>0</v>
      </c>
      <c r="E143" s="11">
        <f>(11.87*0.10)+11.87</f>
        <v>0</v>
      </c>
      <c r="F143" s="11">
        <f>(11.87*0.15)+11.87</f>
        <v>0</v>
      </c>
      <c r="G143" s="11">
        <f>(11.87*0.20)+11.87</f>
        <v>0</v>
      </c>
      <c r="H143" s="22">
        <v>-11.62</v>
      </c>
      <c r="I143" s="12">
        <v>13.92</v>
      </c>
      <c r="J143" s="12">
        <v>21.98</v>
      </c>
      <c r="L143" s="7" t="s">
        <v>24</v>
      </c>
      <c r="M143" s="8">
        <v>91.5</v>
      </c>
      <c r="N143" s="8">
        <v>18.81</v>
      </c>
      <c r="O143" s="9" t="s">
        <v>25</v>
      </c>
    </row>
    <row r="144" spans="2:16">
      <c r="B144" s="2" t="s">
        <v>4</v>
      </c>
      <c r="C144" s="2" t="s">
        <v>113</v>
      </c>
      <c r="D144" s="11">
        <f>(11.561*0.07)+11.561</f>
        <v>0</v>
      </c>
      <c r="E144" s="11">
        <f>(11.561*0.10)+11.561</f>
        <v>0</v>
      </c>
      <c r="F144" s="11">
        <f>(11.561*0.15)+11.561</f>
        <v>0</v>
      </c>
      <c r="G144" s="11">
        <f>(11.561*0.20)+11.561</f>
        <v>0</v>
      </c>
      <c r="H144" s="22">
        <v>-13.92</v>
      </c>
      <c r="I144" s="12">
        <v>10.95</v>
      </c>
      <c r="J144" s="12">
        <v>18.81</v>
      </c>
    </row>
    <row r="147" spans="1:16">
      <c r="N147" s="7" t="s">
        <v>26</v>
      </c>
      <c r="O147" s="13">
        <v>79.40000000000001</v>
      </c>
    </row>
    <row r="150" spans="1:16">
      <c r="O150" s="14" t="s">
        <v>27</v>
      </c>
      <c r="P150" s="15">
        <v>1504.46</v>
      </c>
    </row>
    <row r="151" spans="1:16">
      <c r="O151" s="16"/>
      <c r="P151" s="17"/>
    </row>
    <row r="152" spans="1:16">
      <c r="O152" s="18" t="s">
        <v>28</v>
      </c>
      <c r="P152" s="19">
        <v>79.40000000000001</v>
      </c>
    </row>
    <row r="154" spans="1:1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8" spans="1:16">
      <c r="C158" s="1" t="s">
        <v>116</v>
      </c>
      <c r="D158" s="1" t="s">
        <v>117</v>
      </c>
    </row>
    <row r="159" spans="1:16">
      <c r="B159" s="2" t="s">
        <v>118</v>
      </c>
      <c r="C159" s="2" t="s">
        <v>106</v>
      </c>
      <c r="D159" s="3">
        <v>48.05</v>
      </c>
    </row>
    <row r="160" spans="1:16">
      <c r="B160" s="2" t="s">
        <v>118</v>
      </c>
      <c r="C160" s="2" t="s">
        <v>48</v>
      </c>
      <c r="D160" s="3">
        <v>47.81</v>
      </c>
    </row>
    <row r="161" spans="2:17">
      <c r="B161" s="2" t="s">
        <v>49</v>
      </c>
      <c r="C161" s="2" t="s">
        <v>47</v>
      </c>
      <c r="D161" s="3">
        <v>55.6</v>
      </c>
    </row>
    <row r="162" spans="2:17">
      <c r="B162" s="2" t="s">
        <v>65</v>
      </c>
      <c r="C162" s="2" t="s">
        <v>119</v>
      </c>
      <c r="D162" s="3">
        <v>55.27</v>
      </c>
      <c r="M162" s="4" t="s">
        <v>115</v>
      </c>
      <c r="N162" s="4"/>
      <c r="O162" s="4"/>
      <c r="P162" s="5" t="s">
        <v>13</v>
      </c>
      <c r="Q162" s="5">
        <v>528.58</v>
      </c>
    </row>
    <row r="163" spans="2:17">
      <c r="B163" s="6" t="s">
        <v>51</v>
      </c>
      <c r="C163" s="2" t="s">
        <v>4</v>
      </c>
      <c r="D163" s="3">
        <v>206.74</v>
      </c>
    </row>
    <row r="164" spans="2:17">
      <c r="M164" s="7" t="s">
        <v>24</v>
      </c>
      <c r="N164" s="8">
        <v>32.14</v>
      </c>
      <c r="O164" s="8">
        <v>6.08</v>
      </c>
      <c r="P164" s="9" t="s">
        <v>25</v>
      </c>
    </row>
    <row r="165" spans="2:17">
      <c r="E165" s="3" t="s">
        <v>5</v>
      </c>
      <c r="F165" s="3">
        <v>50.95</v>
      </c>
    </row>
    <row r="166" spans="2:17">
      <c r="M166" s="4" t="s">
        <v>61</v>
      </c>
      <c r="N166" s="4"/>
      <c r="O166" s="4"/>
      <c r="P166" s="5" t="s">
        <v>36</v>
      </c>
      <c r="Q166" s="5">
        <v>525.9400000000001</v>
      </c>
    </row>
    <row r="167" spans="2:17"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10</v>
      </c>
      <c r="H167" s="10" t="s">
        <v>13</v>
      </c>
      <c r="I167" s="10" t="s">
        <v>36</v>
      </c>
      <c r="J167" s="10" t="s">
        <v>53</v>
      </c>
      <c r="K167" s="10" t="s">
        <v>54</v>
      </c>
    </row>
    <row r="168" spans="2:17">
      <c r="B168" s="2" t="s">
        <v>11</v>
      </c>
      <c r="C168" s="2" t="s">
        <v>120</v>
      </c>
      <c r="D168" s="11">
        <f>(50.95*0.07)+50.95</f>
        <v>0</v>
      </c>
      <c r="E168" s="11">
        <f>(50.95*0.10)+50.95</f>
        <v>0</v>
      </c>
      <c r="F168" s="11">
        <f>(50.95*0.15)+50.95</f>
        <v>0</v>
      </c>
      <c r="G168" s="11">
        <f>(50.95*0.20)+50.95</f>
        <v>0</v>
      </c>
      <c r="H168" s="12">
        <v>6.03</v>
      </c>
      <c r="I168" s="12">
        <v>6.56</v>
      </c>
      <c r="J168" s="22">
        <v>-8.369999999999999</v>
      </c>
      <c r="K168" s="22">
        <v>-7.81</v>
      </c>
      <c r="M168" s="7" t="s">
        <v>24</v>
      </c>
      <c r="N168" s="8">
        <v>34.78</v>
      </c>
      <c r="O168" s="8">
        <v>6.61</v>
      </c>
      <c r="P168" s="9" t="s">
        <v>25</v>
      </c>
    </row>
    <row r="169" spans="2:17">
      <c r="B169" s="2" t="s">
        <v>14</v>
      </c>
      <c r="C169" s="2" t="s">
        <v>121</v>
      </c>
      <c r="D169" s="11">
        <f>(50.86*0.07)+50.86</f>
        <v>0</v>
      </c>
      <c r="E169" s="11">
        <f>(50.86*0.10)+50.86</f>
        <v>0</v>
      </c>
      <c r="F169" s="11">
        <f>(50.86*0.15)+50.86</f>
        <v>0</v>
      </c>
      <c r="G169" s="11">
        <f>(50.86*0.20)+50.86</f>
        <v>0</v>
      </c>
      <c r="H169" s="12">
        <v>5.84</v>
      </c>
      <c r="I169" s="12">
        <v>6.37</v>
      </c>
      <c r="J169" s="22">
        <v>-8.529999999999999</v>
      </c>
      <c r="K169" s="22">
        <v>-7.97</v>
      </c>
    </row>
    <row r="170" spans="2:17">
      <c r="B170" s="2" t="s">
        <v>16</v>
      </c>
      <c r="C170" s="2" t="s">
        <v>122</v>
      </c>
      <c r="D170" s="11">
        <f>(51.72*0.07)+51.72</f>
        <v>0</v>
      </c>
      <c r="E170" s="11">
        <f>(51.72*0.10)+51.72</f>
        <v>0</v>
      </c>
      <c r="F170" s="11">
        <f>(51.72*0.15)+51.72</f>
        <v>0</v>
      </c>
      <c r="G170" s="11">
        <f>(51.72*0.20)+51.72</f>
        <v>0</v>
      </c>
      <c r="H170" s="12">
        <v>7.63</v>
      </c>
      <c r="I170" s="12">
        <v>8.17</v>
      </c>
      <c r="J170" s="22">
        <v>-6.99</v>
      </c>
      <c r="K170" s="22">
        <v>-6.41</v>
      </c>
      <c r="M170" s="4" t="s">
        <v>60</v>
      </c>
      <c r="N170" s="4"/>
      <c r="O170" s="4"/>
      <c r="P170" s="5" t="s">
        <v>53</v>
      </c>
      <c r="Q170" s="5">
        <v>278.02</v>
      </c>
    </row>
    <row r="171" spans="2:17">
      <c r="B171" s="2" t="s">
        <v>18</v>
      </c>
      <c r="C171" s="2" t="s">
        <v>123</v>
      </c>
      <c r="D171" s="11">
        <f>(50.99*0.07)+50.99</f>
        <v>0</v>
      </c>
      <c r="E171" s="11">
        <f>(50.99*0.10)+50.99</f>
        <v>0</v>
      </c>
      <c r="F171" s="11">
        <f>(50.99*0.15)+50.99</f>
        <v>0</v>
      </c>
      <c r="G171" s="11">
        <f>(50.99*0.20)+50.99</f>
        <v>0</v>
      </c>
      <c r="H171" s="12">
        <v>6.11</v>
      </c>
      <c r="I171" s="12">
        <v>6.64</v>
      </c>
      <c r="J171" s="22">
        <v>-8.300000000000001</v>
      </c>
      <c r="K171" s="22">
        <v>-7.74</v>
      </c>
    </row>
    <row r="172" spans="2:17">
      <c r="B172" s="2" t="s">
        <v>20</v>
      </c>
      <c r="C172" s="2" t="s">
        <v>124</v>
      </c>
      <c r="D172" s="11">
        <f>(51.15*0.07)+51.15</f>
        <v>0</v>
      </c>
      <c r="E172" s="11">
        <f>(51.15*0.10)+51.15</f>
        <v>0</v>
      </c>
      <c r="F172" s="11">
        <f>(51.15*0.15)+51.15</f>
        <v>0</v>
      </c>
      <c r="G172" s="11">
        <f>(51.15*0.20)+51.15</f>
        <v>0</v>
      </c>
      <c r="H172" s="12">
        <v>6.44</v>
      </c>
      <c r="I172" s="12">
        <v>6.98</v>
      </c>
      <c r="J172" s="22">
        <v>-8.01</v>
      </c>
      <c r="K172" s="22">
        <v>-7.45</v>
      </c>
      <c r="M172" s="7" t="s">
        <v>24</v>
      </c>
      <c r="N172" s="21">
        <v>-23.15</v>
      </c>
      <c r="O172" s="21">
        <v>-8.32</v>
      </c>
      <c r="P172" s="9" t="s">
        <v>25</v>
      </c>
    </row>
    <row r="173" spans="2:17">
      <c r="B173" s="2" t="s">
        <v>4</v>
      </c>
      <c r="C173" s="2" t="s">
        <v>125</v>
      </c>
      <c r="D173" s="11">
        <f>(50.975*0.07)+50.975</f>
        <v>0</v>
      </c>
      <c r="E173" s="11">
        <f>(50.975*0.10)+50.975</f>
        <v>0</v>
      </c>
      <c r="F173" s="11">
        <f>(50.975*0.15)+50.975</f>
        <v>0</v>
      </c>
      <c r="G173" s="11">
        <f>(50.975*0.20)+50.975</f>
        <v>0</v>
      </c>
      <c r="H173" s="12">
        <v>6.08</v>
      </c>
      <c r="I173" s="12">
        <v>6.61</v>
      </c>
      <c r="J173" s="22">
        <v>-8.32</v>
      </c>
      <c r="K173" s="22">
        <v>-7.76</v>
      </c>
    </row>
    <row r="174" spans="2:17">
      <c r="M174" s="4" t="s">
        <v>126</v>
      </c>
      <c r="N174" s="4"/>
      <c r="O174" s="4"/>
      <c r="P174" s="5" t="s">
        <v>54</v>
      </c>
      <c r="Q174" s="5">
        <v>552.65</v>
      </c>
    </row>
    <row r="176" spans="2:17">
      <c r="M176" s="7" t="s">
        <v>24</v>
      </c>
      <c r="N176" s="21">
        <v>-42.9</v>
      </c>
      <c r="O176" s="21">
        <v>-7.76</v>
      </c>
      <c r="P176" s="9" t="s">
        <v>25</v>
      </c>
    </row>
    <row r="180" spans="1:17">
      <c r="O180" s="7" t="s">
        <v>26</v>
      </c>
      <c r="P180" s="13">
        <v>0.88</v>
      </c>
    </row>
    <row r="183" spans="1:17">
      <c r="P183" s="14" t="s">
        <v>27</v>
      </c>
      <c r="Q183" s="15">
        <v>1885.2</v>
      </c>
    </row>
    <row r="184" spans="1:17">
      <c r="P184" s="16"/>
      <c r="Q184" s="17"/>
    </row>
    <row r="185" spans="1:17">
      <c r="P185" s="18" t="s">
        <v>28</v>
      </c>
      <c r="Q185" s="19">
        <v>0.88</v>
      </c>
    </row>
    <row r="187" spans="1:1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91" spans="1:17">
      <c r="C191" s="1" t="s">
        <v>127</v>
      </c>
      <c r="D191" s="1" t="s">
        <v>128</v>
      </c>
    </row>
    <row r="192" spans="1:17">
      <c r="B192" s="2" t="s">
        <v>31</v>
      </c>
      <c r="C192" s="2" t="s">
        <v>106</v>
      </c>
      <c r="D192" s="3">
        <v>474.29</v>
      </c>
    </row>
    <row r="193" spans="2:16">
      <c r="B193" s="2" t="s">
        <v>31</v>
      </c>
      <c r="C193" s="2" t="s">
        <v>48</v>
      </c>
      <c r="D193" s="3">
        <v>467.48</v>
      </c>
    </row>
    <row r="194" spans="2:16">
      <c r="B194" s="2" t="s">
        <v>34</v>
      </c>
      <c r="C194" s="2" t="s">
        <v>3</v>
      </c>
      <c r="D194" s="3">
        <v>463.62</v>
      </c>
      <c r="L194" s="4" t="s">
        <v>115</v>
      </c>
      <c r="M194" s="4"/>
      <c r="N194" s="4"/>
      <c r="O194" s="5" t="s">
        <v>13</v>
      </c>
      <c r="P194" s="5">
        <v>474.29</v>
      </c>
    </row>
    <row r="195" spans="2:16">
      <c r="B195" s="6" t="s">
        <v>2</v>
      </c>
      <c r="C195" s="2" t="s">
        <v>4</v>
      </c>
      <c r="D195" s="3">
        <v>1405.38</v>
      </c>
    </row>
    <row r="196" spans="2:16">
      <c r="L196" s="7" t="s">
        <v>24</v>
      </c>
      <c r="M196" s="8">
        <v>30.39</v>
      </c>
      <c r="N196" s="8">
        <v>6.41</v>
      </c>
      <c r="O196" s="9" t="s">
        <v>25</v>
      </c>
    </row>
    <row r="197" spans="2:16">
      <c r="E197" s="3" t="s">
        <v>5</v>
      </c>
      <c r="F197" s="3">
        <v>467.25</v>
      </c>
    </row>
    <row r="198" spans="2:16">
      <c r="L198" s="4" t="s">
        <v>61</v>
      </c>
      <c r="M198" s="4"/>
      <c r="N198" s="4"/>
      <c r="O198" s="5" t="s">
        <v>36</v>
      </c>
      <c r="P198" s="5">
        <v>467.48</v>
      </c>
    </row>
    <row r="199" spans="2:16"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10</v>
      </c>
      <c r="H199" s="10" t="s">
        <v>13</v>
      </c>
      <c r="I199" s="10" t="s">
        <v>36</v>
      </c>
      <c r="J199" s="10" t="s">
        <v>53</v>
      </c>
    </row>
    <row r="200" spans="2:16">
      <c r="B200" s="2" t="s">
        <v>129</v>
      </c>
      <c r="C200" s="2" t="s">
        <v>130</v>
      </c>
      <c r="D200" s="11">
        <f>(489.12*0.07)+489.12</f>
        <v>0</v>
      </c>
      <c r="E200" s="11">
        <f>(489.12*0.10)+489.12</f>
        <v>0</v>
      </c>
      <c r="F200" s="11">
        <f>(489.12*0.15)+489.12</f>
        <v>0</v>
      </c>
      <c r="G200" s="11">
        <f>(489.12*0.20)+489.12</f>
        <v>0</v>
      </c>
      <c r="H200" s="12">
        <v>3.13</v>
      </c>
      <c r="I200" s="12">
        <v>4.63</v>
      </c>
      <c r="J200" s="12">
        <v>5.5</v>
      </c>
      <c r="L200" s="7" t="s">
        <v>24</v>
      </c>
      <c r="M200" s="8">
        <v>37.2</v>
      </c>
      <c r="N200" s="8">
        <v>7.96</v>
      </c>
      <c r="O200" s="9" t="s">
        <v>25</v>
      </c>
    </row>
    <row r="201" spans="2:16">
      <c r="B201" s="2" t="s">
        <v>11</v>
      </c>
      <c r="C201" s="2" t="s">
        <v>131</v>
      </c>
      <c r="D201" s="11">
        <f>(514.8*0.07)+514.8</f>
        <v>0</v>
      </c>
      <c r="E201" s="11">
        <f>(514.8*0.10)+514.8</f>
        <v>0</v>
      </c>
      <c r="F201" s="11">
        <f>(514.8*0.15)+514.8</f>
        <v>0</v>
      </c>
      <c r="G201" s="11">
        <f>(514.8*0.20)+514.8</f>
        <v>0</v>
      </c>
      <c r="H201" s="12">
        <v>8.539999999999999</v>
      </c>
      <c r="I201" s="12">
        <v>10.12</v>
      </c>
      <c r="J201" s="12">
        <v>11.04</v>
      </c>
    </row>
    <row r="202" spans="2:16">
      <c r="B202" s="2" t="s">
        <v>14</v>
      </c>
      <c r="C202" s="2" t="s">
        <v>132</v>
      </c>
      <c r="D202" s="11">
        <f>(514.74*0.07)+514.74</f>
        <v>0</v>
      </c>
      <c r="E202" s="11">
        <f>(514.74*0.10)+514.74</f>
        <v>0</v>
      </c>
      <c r="F202" s="11">
        <f>(514.74*0.15)+514.74</f>
        <v>0</v>
      </c>
      <c r="G202" s="11">
        <f>(514.74*0.20)+514.74</f>
        <v>0</v>
      </c>
      <c r="H202" s="12">
        <v>8.529999999999999</v>
      </c>
      <c r="I202" s="12">
        <v>10.11</v>
      </c>
      <c r="J202" s="12">
        <v>11.03</v>
      </c>
      <c r="L202" s="4" t="s">
        <v>23</v>
      </c>
      <c r="M202" s="4"/>
      <c r="N202" s="4"/>
      <c r="O202" s="5" t="s">
        <v>53</v>
      </c>
      <c r="P202" s="5">
        <v>927.23</v>
      </c>
    </row>
    <row r="203" spans="2:16">
      <c r="B203" s="2" t="s">
        <v>16</v>
      </c>
      <c r="C203" s="2" t="s">
        <v>133</v>
      </c>
      <c r="D203" s="11">
        <f>(516.615*0.07)+516.615</f>
        <v>0</v>
      </c>
      <c r="E203" s="11">
        <f>(516.615*0.10)+516.615</f>
        <v>0</v>
      </c>
      <c r="F203" s="11">
        <f>(516.615*0.15)+516.615</f>
        <v>0</v>
      </c>
      <c r="G203" s="11">
        <f>(516.615*0.20)+516.615</f>
        <v>0</v>
      </c>
      <c r="H203" s="12">
        <v>8.92</v>
      </c>
      <c r="I203" s="12">
        <v>10.51</v>
      </c>
      <c r="J203" s="12">
        <v>11.43</v>
      </c>
    </row>
    <row r="204" spans="2:16">
      <c r="B204" s="2" t="s">
        <v>18</v>
      </c>
      <c r="C204" s="2" t="s">
        <v>134</v>
      </c>
      <c r="D204" s="11">
        <f>(505.99*0.07)+505.99</f>
        <v>0</v>
      </c>
      <c r="E204" s="11">
        <f>(505.99*0.10)+505.99</f>
        <v>0</v>
      </c>
      <c r="F204" s="11">
        <f>(505.99*0.15)+505.99</f>
        <v>0</v>
      </c>
      <c r="G204" s="11">
        <f>(505.99*0.20)+505.99</f>
        <v>0</v>
      </c>
      <c r="H204" s="12">
        <v>6.68</v>
      </c>
      <c r="I204" s="12">
        <v>8.24</v>
      </c>
      <c r="J204" s="12">
        <v>9.140000000000001</v>
      </c>
      <c r="L204" s="7" t="s">
        <v>24</v>
      </c>
      <c r="M204" s="8">
        <v>82.13</v>
      </c>
      <c r="N204" s="8">
        <v>8.859999999999999</v>
      </c>
      <c r="O204" s="9" t="s">
        <v>25</v>
      </c>
    </row>
    <row r="205" spans="2:16">
      <c r="B205" s="2" t="s">
        <v>20</v>
      </c>
      <c r="C205" s="2" t="s">
        <v>135</v>
      </c>
      <c r="D205" s="11">
        <f>(503.81*0.07)+503.81</f>
        <v>0</v>
      </c>
      <c r="E205" s="11">
        <f>(503.81*0.10)+503.81</f>
        <v>0</v>
      </c>
      <c r="F205" s="11">
        <f>(503.81*0.15)+503.81</f>
        <v>0</v>
      </c>
      <c r="G205" s="11">
        <f>(503.81*0.20)+503.81</f>
        <v>0</v>
      </c>
      <c r="H205" s="12">
        <v>6.22</v>
      </c>
      <c r="I205" s="12">
        <v>7.77</v>
      </c>
      <c r="J205" s="12">
        <v>8.67</v>
      </c>
    </row>
    <row r="206" spans="2:16">
      <c r="B206" s="2" t="s">
        <v>4</v>
      </c>
      <c r="C206" s="2" t="s">
        <v>136</v>
      </c>
      <c r="D206" s="11">
        <f>(504.68*0.07)+504.68</f>
        <v>0</v>
      </c>
      <c r="E206" s="11">
        <f>(504.68*0.10)+504.68</f>
        <v>0</v>
      </c>
      <c r="F206" s="11">
        <f>(504.68*0.15)+504.68</f>
        <v>0</v>
      </c>
      <c r="G206" s="11">
        <f>(504.68*0.20)+504.68</f>
        <v>0</v>
      </c>
      <c r="H206" s="12">
        <v>6.41</v>
      </c>
      <c r="I206" s="12">
        <v>7.96</v>
      </c>
      <c r="J206" s="12">
        <v>8.859999999999999</v>
      </c>
    </row>
    <row r="208" spans="2:16">
      <c r="N208" s="7" t="s">
        <v>26</v>
      </c>
      <c r="O208" s="13">
        <v>149.72</v>
      </c>
    </row>
    <row r="211" spans="1:16">
      <c r="O211" s="14" t="s">
        <v>27</v>
      </c>
      <c r="P211" s="15">
        <v>1869</v>
      </c>
    </row>
    <row r="212" spans="1:16">
      <c r="O212" s="16"/>
      <c r="P212" s="17"/>
    </row>
    <row r="213" spans="1:16">
      <c r="O213" s="18" t="s">
        <v>28</v>
      </c>
      <c r="P213" s="19">
        <v>149.72</v>
      </c>
    </row>
    <row r="215" spans="1:1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9" spans="1:16">
      <c r="C219" s="1" t="s">
        <v>137</v>
      </c>
      <c r="D219" s="1" t="s">
        <v>138</v>
      </c>
    </row>
    <row r="220" spans="1:16">
      <c r="B220" s="2" t="s">
        <v>49</v>
      </c>
      <c r="C220" s="2" t="s">
        <v>104</v>
      </c>
      <c r="D220" s="3">
        <v>215.33</v>
      </c>
      <c r="J220" s="4" t="s">
        <v>114</v>
      </c>
      <c r="K220" s="4"/>
      <c r="L220" s="4"/>
      <c r="M220" s="5" t="s">
        <v>13</v>
      </c>
      <c r="N220" s="5">
        <v>1076.65</v>
      </c>
    </row>
    <row r="221" spans="1:16">
      <c r="B221" s="6" t="s">
        <v>49</v>
      </c>
      <c r="C221" s="2" t="s">
        <v>4</v>
      </c>
      <c r="D221" s="3">
        <v>215.33</v>
      </c>
    </row>
    <row r="222" spans="1:16">
      <c r="J222" s="7" t="s">
        <v>24</v>
      </c>
      <c r="K222" s="21">
        <v>-27.9</v>
      </c>
      <c r="L222" s="21">
        <v>-2.59</v>
      </c>
      <c r="M222" s="9" t="s">
        <v>25</v>
      </c>
    </row>
    <row r="223" spans="1:16">
      <c r="E223" s="3" t="s">
        <v>5</v>
      </c>
      <c r="F223" s="3">
        <v>215.33</v>
      </c>
    </row>
    <row r="225" spans="1:14"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10</v>
      </c>
      <c r="H225" s="10" t="s">
        <v>13</v>
      </c>
    </row>
    <row r="226" spans="1:14">
      <c r="B226" s="2" t="s">
        <v>11</v>
      </c>
      <c r="C226" s="2" t="s">
        <v>139</v>
      </c>
      <c r="D226" s="11">
        <f>(214.67*0.07)+214.67</f>
        <v>0</v>
      </c>
      <c r="E226" s="11">
        <f>(214.67*0.10)+214.67</f>
        <v>0</v>
      </c>
      <c r="F226" s="11">
        <f>(214.67*0.15)+214.67</f>
        <v>0</v>
      </c>
      <c r="G226" s="11">
        <f>(214.67*0.20)+214.67</f>
        <v>0</v>
      </c>
      <c r="H226" s="22">
        <v>-0.31</v>
      </c>
      <c r="L226" s="7" t="s">
        <v>26</v>
      </c>
      <c r="M226" s="23">
        <v>-27.9</v>
      </c>
    </row>
    <row r="227" spans="1:14">
      <c r="B227" s="2" t="s">
        <v>14</v>
      </c>
      <c r="C227" s="2" t="s">
        <v>140</v>
      </c>
      <c r="D227" s="11">
        <f>(210.04*0.07)+210.04</f>
        <v>0</v>
      </c>
      <c r="E227" s="11">
        <f>(210.04*0.10)+210.04</f>
        <v>0</v>
      </c>
      <c r="F227" s="11">
        <f>(210.04*0.15)+210.04</f>
        <v>0</v>
      </c>
      <c r="G227" s="11">
        <f>(210.04*0.20)+210.04</f>
        <v>0</v>
      </c>
      <c r="H227" s="22">
        <v>-2.46</v>
      </c>
    </row>
    <row r="228" spans="1:14">
      <c r="B228" s="2" t="s">
        <v>16</v>
      </c>
      <c r="C228" s="2" t="s">
        <v>141</v>
      </c>
      <c r="D228" s="11">
        <f>(210.02*0.07)+210.02</f>
        <v>0</v>
      </c>
      <c r="E228" s="11">
        <f>(210.02*0.10)+210.02</f>
        <v>0</v>
      </c>
      <c r="F228" s="11">
        <f>(210.02*0.15)+210.02</f>
        <v>0</v>
      </c>
      <c r="G228" s="11">
        <f>(210.02*0.20)+210.02</f>
        <v>0</v>
      </c>
      <c r="H228" s="22">
        <v>-2.47</v>
      </c>
    </row>
    <row r="229" spans="1:14">
      <c r="B229" s="2" t="s">
        <v>18</v>
      </c>
      <c r="C229" s="2" t="s">
        <v>142</v>
      </c>
      <c r="D229" s="11">
        <f>(208.4*0.07)+208.4</f>
        <v>0</v>
      </c>
      <c r="E229" s="11">
        <f>(208.4*0.10)+208.4</f>
        <v>0</v>
      </c>
      <c r="F229" s="11">
        <f>(208.4*0.15)+208.4</f>
        <v>0</v>
      </c>
      <c r="G229" s="11">
        <f>(208.4*0.20)+208.4</f>
        <v>0</v>
      </c>
      <c r="H229" s="22">
        <v>-3.22</v>
      </c>
      <c r="M229" s="14" t="s">
        <v>27</v>
      </c>
      <c r="N229" s="15">
        <v>1076.65</v>
      </c>
    </row>
    <row r="230" spans="1:14">
      <c r="B230" s="2" t="s">
        <v>20</v>
      </c>
      <c r="C230" s="2" t="s">
        <v>143</v>
      </c>
      <c r="D230" s="11">
        <f>(209.48*0.07)+209.48</f>
        <v>0</v>
      </c>
      <c r="E230" s="11">
        <f>(209.48*0.10)+209.48</f>
        <v>0</v>
      </c>
      <c r="F230" s="11">
        <f>(209.48*0.15)+209.48</f>
        <v>0</v>
      </c>
      <c r="G230" s="11">
        <f>(209.48*0.20)+209.48</f>
        <v>0</v>
      </c>
      <c r="H230" s="22">
        <v>-2.72</v>
      </c>
      <c r="M230" s="16"/>
      <c r="N230" s="17"/>
    </row>
    <row r="231" spans="1:14">
      <c r="B231" s="2" t="s">
        <v>4</v>
      </c>
      <c r="C231" s="2" t="s">
        <v>144</v>
      </c>
      <c r="D231" s="11">
        <f>(209.75*0.07)+209.75</f>
        <v>0</v>
      </c>
      <c r="E231" s="11">
        <f>(209.75*0.10)+209.75</f>
        <v>0</v>
      </c>
      <c r="F231" s="11">
        <f>(209.75*0.15)+209.75</f>
        <v>0</v>
      </c>
      <c r="G231" s="11">
        <f>(209.75*0.20)+209.75</f>
        <v>0</v>
      </c>
      <c r="H231" s="22">
        <v>-2.59</v>
      </c>
      <c r="M231" s="18" t="s">
        <v>28</v>
      </c>
      <c r="N231" s="24">
        <v>-27.9</v>
      </c>
    </row>
    <row r="234" spans="1:1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</row>
    <row r="235" spans="1:14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</row>
    <row r="238" spans="1:14">
      <c r="C238" s="1" t="s">
        <v>145</v>
      </c>
      <c r="D238" s="1" t="s">
        <v>146</v>
      </c>
    </row>
    <row r="239" spans="1:14">
      <c r="B239" s="2" t="s">
        <v>147</v>
      </c>
      <c r="C239" s="2" t="s">
        <v>3</v>
      </c>
      <c r="D239" s="3">
        <v>13.38</v>
      </c>
      <c r="J239" s="4" t="s">
        <v>23</v>
      </c>
      <c r="K239" s="4"/>
      <c r="L239" s="4"/>
      <c r="M239" s="5" t="s">
        <v>13</v>
      </c>
      <c r="N239" s="5">
        <v>1016.73</v>
      </c>
    </row>
    <row r="240" spans="1:14">
      <c r="B240" s="6" t="s">
        <v>147</v>
      </c>
      <c r="C240" s="2" t="s">
        <v>4</v>
      </c>
      <c r="D240" s="3">
        <v>13.38</v>
      </c>
    </row>
    <row r="241" spans="1:14">
      <c r="J241" s="7" t="s">
        <v>24</v>
      </c>
      <c r="K241" s="21">
        <v>-31.39</v>
      </c>
      <c r="L241" s="21">
        <v>-3.09</v>
      </c>
      <c r="M241" s="9" t="s">
        <v>25</v>
      </c>
    </row>
    <row r="242" spans="1:14">
      <c r="E242" s="3" t="s">
        <v>5</v>
      </c>
      <c r="F242" s="3">
        <v>13.38</v>
      </c>
    </row>
    <row r="244" spans="1:14"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10</v>
      </c>
      <c r="H244" s="10" t="s">
        <v>13</v>
      </c>
    </row>
    <row r="245" spans="1:14">
      <c r="B245" s="2" t="s">
        <v>14</v>
      </c>
      <c r="C245" s="2" t="s">
        <v>148</v>
      </c>
      <c r="D245" s="11">
        <f>(13.045*0.07)+13.045</f>
        <v>0</v>
      </c>
      <c r="E245" s="11">
        <f>(13.045*0.10)+13.045</f>
        <v>0</v>
      </c>
      <c r="F245" s="11">
        <f>(13.045*0.15)+13.045</f>
        <v>0</v>
      </c>
      <c r="G245" s="11">
        <f>(13.045*0.20)+13.045</f>
        <v>0</v>
      </c>
      <c r="H245" s="22">
        <v>-2.49</v>
      </c>
      <c r="L245" s="7" t="s">
        <v>26</v>
      </c>
      <c r="M245" s="23">
        <v>-31.39</v>
      </c>
    </row>
    <row r="246" spans="1:14">
      <c r="B246" s="2" t="s">
        <v>16</v>
      </c>
      <c r="C246" s="2" t="s">
        <v>149</v>
      </c>
      <c r="D246" s="11">
        <f>(13.475*0.07)+13.475</f>
        <v>0</v>
      </c>
      <c r="E246" s="11">
        <f>(13.475*0.10)+13.475</f>
        <v>0</v>
      </c>
      <c r="F246" s="11">
        <f>(13.475*0.15)+13.475</f>
        <v>0</v>
      </c>
      <c r="G246" s="11">
        <f>(13.475*0.20)+13.475</f>
        <v>0</v>
      </c>
      <c r="H246" s="12">
        <v>0.73</v>
      </c>
    </row>
    <row r="247" spans="1:14">
      <c r="B247" s="2" t="s">
        <v>18</v>
      </c>
      <c r="C247" s="2" t="s">
        <v>150</v>
      </c>
      <c r="D247" s="11">
        <f>(13.425*0.07)+13.425</f>
        <v>0</v>
      </c>
      <c r="E247" s="11">
        <f>(13.425*0.10)+13.425</f>
        <v>0</v>
      </c>
      <c r="F247" s="11">
        <f>(13.425*0.15)+13.425</f>
        <v>0</v>
      </c>
      <c r="G247" s="11">
        <f>(13.425*0.20)+13.425</f>
        <v>0</v>
      </c>
      <c r="H247" s="12">
        <v>0.35</v>
      </c>
    </row>
    <row r="248" spans="1:14">
      <c r="B248" s="2" t="s">
        <v>20</v>
      </c>
      <c r="C248" s="2" t="s">
        <v>151</v>
      </c>
      <c r="D248" s="11">
        <f>(13.42*0.07)+13.42</f>
        <v>0</v>
      </c>
      <c r="E248" s="11">
        <f>(13.42*0.10)+13.42</f>
        <v>0</v>
      </c>
      <c r="F248" s="11">
        <f>(13.42*0.15)+13.42</f>
        <v>0</v>
      </c>
      <c r="G248" s="11">
        <f>(13.42*0.20)+13.42</f>
        <v>0</v>
      </c>
      <c r="H248" s="12">
        <v>0.31</v>
      </c>
      <c r="M248" s="14" t="s">
        <v>27</v>
      </c>
      <c r="N248" s="15">
        <v>1016.73</v>
      </c>
    </row>
    <row r="249" spans="1:14">
      <c r="B249" s="2" t="s">
        <v>4</v>
      </c>
      <c r="C249" s="2" t="s">
        <v>152</v>
      </c>
      <c r="D249" s="11">
        <f>(12.965*0.07)+12.965</f>
        <v>0</v>
      </c>
      <c r="E249" s="11">
        <f>(12.965*0.10)+12.965</f>
        <v>0</v>
      </c>
      <c r="F249" s="11">
        <f>(12.965*0.15)+12.965</f>
        <v>0</v>
      </c>
      <c r="G249" s="11">
        <f>(12.965*0.20)+12.965</f>
        <v>0</v>
      </c>
      <c r="H249" s="22">
        <v>-3.09</v>
      </c>
      <c r="M249" s="16"/>
      <c r="N249" s="17"/>
    </row>
    <row r="250" spans="1:14">
      <c r="M250" s="18" t="s">
        <v>28</v>
      </c>
      <c r="N250" s="24">
        <v>-31.39</v>
      </c>
    </row>
    <row r="252" spans="1:14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</row>
    <row r="253" spans="1:14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</row>
    <row r="256" spans="1:14">
      <c r="C256" s="1" t="s">
        <v>153</v>
      </c>
      <c r="D256" s="1" t="s">
        <v>154</v>
      </c>
    </row>
    <row r="257" spans="2:15">
      <c r="B257" s="2" t="s">
        <v>155</v>
      </c>
      <c r="C257" s="2" t="s">
        <v>48</v>
      </c>
      <c r="D257" s="3">
        <v>55.9</v>
      </c>
    </row>
    <row r="258" spans="2:15">
      <c r="B258" s="2" t="s">
        <v>155</v>
      </c>
      <c r="C258" s="2" t="s">
        <v>3</v>
      </c>
      <c r="D258" s="3">
        <v>63.54</v>
      </c>
      <c r="K258" s="4" t="s">
        <v>61</v>
      </c>
      <c r="L258" s="4"/>
      <c r="M258" s="4"/>
      <c r="N258" s="5" t="s">
        <v>13</v>
      </c>
      <c r="O258" s="5">
        <v>391.33</v>
      </c>
    </row>
    <row r="259" spans="2:15">
      <c r="B259" s="6" t="s">
        <v>156</v>
      </c>
      <c r="C259" s="2" t="s">
        <v>4</v>
      </c>
      <c r="D259" s="3">
        <v>119.44</v>
      </c>
    </row>
    <row r="260" spans="2:15">
      <c r="K260" s="7" t="s">
        <v>24</v>
      </c>
      <c r="L260" s="8">
        <v>187.26</v>
      </c>
      <c r="M260" s="8">
        <v>47.85</v>
      </c>
      <c r="N260" s="9" t="s">
        <v>25</v>
      </c>
    </row>
    <row r="261" spans="2:15">
      <c r="E261" s="3" t="s">
        <v>5</v>
      </c>
      <c r="F261" s="3">
        <v>59.72</v>
      </c>
    </row>
    <row r="262" spans="2:15">
      <c r="K262" s="4" t="s">
        <v>23</v>
      </c>
      <c r="L262" s="4"/>
      <c r="M262" s="4"/>
      <c r="N262" s="5" t="s">
        <v>36</v>
      </c>
      <c r="O262" s="5">
        <v>444.77</v>
      </c>
    </row>
    <row r="263" spans="2:15"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10</v>
      </c>
      <c r="H263" s="10" t="s">
        <v>13</v>
      </c>
      <c r="I263" s="10" t="s">
        <v>36</v>
      </c>
    </row>
    <row r="264" spans="2:15">
      <c r="B264" s="2" t="s">
        <v>14</v>
      </c>
      <c r="C264" s="2" t="s">
        <v>157</v>
      </c>
      <c r="D264" s="11">
        <f>(82.17*0.07)+82.17</f>
        <v>0</v>
      </c>
      <c r="E264" s="11">
        <f>(82.17*0.10)+82.17</f>
        <v>0</v>
      </c>
      <c r="F264" s="11">
        <f>(82.17*0.15)+82.17</f>
        <v>0</v>
      </c>
      <c r="G264" s="11">
        <f>(82.17*0.20)+82.17</f>
        <v>0</v>
      </c>
      <c r="H264" s="12">
        <v>46.98</v>
      </c>
      <c r="I264" s="12">
        <v>29.32</v>
      </c>
      <c r="K264" s="7" t="s">
        <v>24</v>
      </c>
      <c r="L264" s="8">
        <v>133.81</v>
      </c>
      <c r="M264" s="8">
        <v>30.09</v>
      </c>
      <c r="N264" s="9" t="s">
        <v>25</v>
      </c>
    </row>
    <row r="265" spans="2:15">
      <c r="B265" s="2" t="s">
        <v>16</v>
      </c>
      <c r="C265" s="2" t="s">
        <v>158</v>
      </c>
      <c r="D265" s="11">
        <f>(81.88*0.07)+81.88</f>
        <v>0</v>
      </c>
      <c r="E265" s="11">
        <f>(81.88*0.10)+81.88</f>
        <v>0</v>
      </c>
      <c r="F265" s="11">
        <f>(81.88*0.15)+81.88</f>
        <v>0</v>
      </c>
      <c r="G265" s="11">
        <f>(81.88*0.20)+81.88</f>
        <v>0</v>
      </c>
      <c r="H265" s="12">
        <v>46.47</v>
      </c>
      <c r="I265" s="12">
        <v>28.87</v>
      </c>
    </row>
    <row r="266" spans="2:15">
      <c r="B266" s="2" t="s">
        <v>18</v>
      </c>
      <c r="C266" s="2" t="s">
        <v>159</v>
      </c>
      <c r="D266" s="11">
        <f>(81.57*0.07)+81.57</f>
        <v>0</v>
      </c>
      <c r="E266" s="11">
        <f>(81.57*0.10)+81.57</f>
        <v>0</v>
      </c>
      <c r="F266" s="11">
        <f>(81.57*0.15)+81.57</f>
        <v>0</v>
      </c>
      <c r="G266" s="11">
        <f>(81.57*0.20)+81.57</f>
        <v>0</v>
      </c>
      <c r="H266" s="12">
        <v>45.91</v>
      </c>
      <c r="I266" s="12">
        <v>28.38</v>
      </c>
    </row>
    <row r="267" spans="2:15">
      <c r="B267" s="2" t="s">
        <v>20</v>
      </c>
      <c r="C267" s="2" t="s">
        <v>160</v>
      </c>
      <c r="D267" s="11">
        <f>(81.96*0.07)+81.96</f>
        <v>0</v>
      </c>
      <c r="E267" s="11">
        <f>(81.96*0.10)+81.96</f>
        <v>0</v>
      </c>
      <c r="F267" s="11">
        <f>(81.96*0.15)+81.96</f>
        <v>0</v>
      </c>
      <c r="G267" s="11">
        <f>(81.96*0.20)+81.96</f>
        <v>0</v>
      </c>
      <c r="H267" s="12">
        <v>46.61</v>
      </c>
      <c r="I267" s="12">
        <v>28.99</v>
      </c>
    </row>
    <row r="268" spans="2:15">
      <c r="B268" s="2" t="s">
        <v>4</v>
      </c>
      <c r="C268" s="2" t="s">
        <v>161</v>
      </c>
      <c r="D268" s="11">
        <f>(82.655*0.07)+82.655</f>
        <v>0</v>
      </c>
      <c r="E268" s="11">
        <f>(82.655*0.10)+82.655</f>
        <v>0</v>
      </c>
      <c r="F268" s="11">
        <f>(82.655*0.15)+82.655</f>
        <v>0</v>
      </c>
      <c r="G268" s="11">
        <f>(82.655*0.20)+82.655</f>
        <v>0</v>
      </c>
      <c r="H268" s="12">
        <v>47.85</v>
      </c>
      <c r="I268" s="12">
        <v>30.09</v>
      </c>
      <c r="M268" s="7" t="s">
        <v>26</v>
      </c>
      <c r="N268" s="13">
        <v>321.07</v>
      </c>
    </row>
    <row r="271" spans="2:15">
      <c r="N271" s="14" t="s">
        <v>27</v>
      </c>
      <c r="O271" s="15">
        <v>836.1</v>
      </c>
    </row>
    <row r="272" spans="2:15">
      <c r="N272" s="16"/>
      <c r="O272" s="17"/>
    </row>
    <row r="273" spans="1:15">
      <c r="N273" s="18" t="s">
        <v>28</v>
      </c>
      <c r="O273" s="19">
        <v>321.07</v>
      </c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9" spans="1:15">
      <c r="C279" s="1" t="s">
        <v>162</v>
      </c>
      <c r="D279" s="1" t="s">
        <v>163</v>
      </c>
    </row>
    <row r="280" spans="1:15">
      <c r="B280" s="2" t="s">
        <v>2</v>
      </c>
      <c r="C280" s="2" t="s">
        <v>164</v>
      </c>
      <c r="D280" s="3">
        <v>293.95</v>
      </c>
      <c r="J280" s="4" t="s">
        <v>171</v>
      </c>
      <c r="K280" s="4"/>
      <c r="L280" s="4"/>
      <c r="M280" s="5" t="s">
        <v>13</v>
      </c>
      <c r="N280" s="5">
        <v>1175.8</v>
      </c>
    </row>
    <row r="281" spans="1:15">
      <c r="B281" s="6" t="s">
        <v>2</v>
      </c>
      <c r="C281" s="2" t="s">
        <v>4</v>
      </c>
      <c r="D281" s="3">
        <v>293.95</v>
      </c>
    </row>
    <row r="282" spans="1:15">
      <c r="J282" s="7" t="s">
        <v>24</v>
      </c>
      <c r="K282" s="8">
        <v>40.92</v>
      </c>
      <c r="L282" s="8">
        <v>3.48</v>
      </c>
      <c r="M282" s="9" t="s">
        <v>25</v>
      </c>
    </row>
    <row r="283" spans="1:15">
      <c r="E283" s="3" t="s">
        <v>5</v>
      </c>
      <c r="F283" s="3">
        <v>293.95</v>
      </c>
    </row>
    <row r="285" spans="1:15"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10</v>
      </c>
      <c r="H285" s="10" t="s">
        <v>13</v>
      </c>
    </row>
    <row r="286" spans="1:15">
      <c r="B286" s="2" t="s">
        <v>11</v>
      </c>
      <c r="C286" s="2" t="s">
        <v>165</v>
      </c>
      <c r="D286" s="11">
        <f>(306.18*0.07)+306.18</f>
        <v>0</v>
      </c>
      <c r="E286" s="11">
        <f>(306.18*0.10)+306.18</f>
        <v>0</v>
      </c>
      <c r="F286" s="11">
        <f>(306.18*0.15)+306.18</f>
        <v>0</v>
      </c>
      <c r="G286" s="11">
        <f>(306.18*0.20)+306.18</f>
        <v>0</v>
      </c>
      <c r="H286" s="12">
        <v>4.16</v>
      </c>
      <c r="L286" s="7" t="s">
        <v>26</v>
      </c>
      <c r="M286" s="13">
        <v>40.92</v>
      </c>
    </row>
    <row r="287" spans="1:15">
      <c r="B287" s="2" t="s">
        <v>14</v>
      </c>
      <c r="C287" s="2" t="s">
        <v>166</v>
      </c>
      <c r="D287" s="11">
        <f>(303.04*0.07)+303.04</f>
        <v>0</v>
      </c>
      <c r="E287" s="11">
        <f>(303.04*0.10)+303.04</f>
        <v>0</v>
      </c>
      <c r="F287" s="11">
        <f>(303.04*0.15)+303.04</f>
        <v>0</v>
      </c>
      <c r="G287" s="11">
        <f>(303.04*0.20)+303.04</f>
        <v>0</v>
      </c>
      <c r="H287" s="12">
        <v>3.09</v>
      </c>
    </row>
    <row r="288" spans="1:15">
      <c r="B288" s="2" t="s">
        <v>16</v>
      </c>
      <c r="C288" s="2" t="s">
        <v>167</v>
      </c>
      <c r="D288" s="11">
        <f>(309.65*0.07)+309.65</f>
        <v>0</v>
      </c>
      <c r="E288" s="11">
        <f>(309.65*0.10)+309.65</f>
        <v>0</v>
      </c>
      <c r="F288" s="11">
        <f>(309.65*0.15)+309.65</f>
        <v>0</v>
      </c>
      <c r="G288" s="11">
        <f>(309.65*0.20)+309.65</f>
        <v>0</v>
      </c>
      <c r="H288" s="12">
        <v>5.34</v>
      </c>
    </row>
    <row r="289" spans="1:17">
      <c r="B289" s="2" t="s">
        <v>18</v>
      </c>
      <c r="C289" s="2" t="s">
        <v>168</v>
      </c>
      <c r="D289" s="11">
        <f>(303.97*0.07)+303.97</f>
        <v>0</v>
      </c>
      <c r="E289" s="11">
        <f>(303.97*0.10)+303.97</f>
        <v>0</v>
      </c>
      <c r="F289" s="11">
        <f>(303.97*0.15)+303.97</f>
        <v>0</v>
      </c>
      <c r="G289" s="11">
        <f>(303.97*0.20)+303.97</f>
        <v>0</v>
      </c>
      <c r="H289" s="12">
        <v>3.41</v>
      </c>
      <c r="M289" s="14" t="s">
        <v>27</v>
      </c>
      <c r="N289" s="15">
        <v>1175.8</v>
      </c>
    </row>
    <row r="290" spans="1:17">
      <c r="B290" s="2" t="s">
        <v>20</v>
      </c>
      <c r="C290" s="2" t="s">
        <v>169</v>
      </c>
      <c r="D290" s="11">
        <f>(304.37*0.07)+304.37</f>
        <v>0</v>
      </c>
      <c r="E290" s="11">
        <f>(304.37*0.10)+304.37</f>
        <v>0</v>
      </c>
      <c r="F290" s="11">
        <f>(304.37*0.15)+304.37</f>
        <v>0</v>
      </c>
      <c r="G290" s="11">
        <f>(304.37*0.20)+304.37</f>
        <v>0</v>
      </c>
      <c r="H290" s="12">
        <v>3.54</v>
      </c>
      <c r="M290" s="16"/>
      <c r="N290" s="17"/>
    </row>
    <row r="291" spans="1:17">
      <c r="B291" s="2" t="s">
        <v>4</v>
      </c>
      <c r="C291" s="2" t="s">
        <v>170</v>
      </c>
      <c r="D291" s="11">
        <f>(304.18*0.07)+304.18</f>
        <v>0</v>
      </c>
      <c r="E291" s="11">
        <f>(304.18*0.10)+304.18</f>
        <v>0</v>
      </c>
      <c r="F291" s="11">
        <f>(304.18*0.15)+304.18</f>
        <v>0</v>
      </c>
      <c r="G291" s="11">
        <f>(304.18*0.20)+304.18</f>
        <v>0</v>
      </c>
      <c r="H291" s="12">
        <v>3.48</v>
      </c>
      <c r="M291" s="18" t="s">
        <v>28</v>
      </c>
      <c r="N291" s="19">
        <v>40.92</v>
      </c>
    </row>
    <row r="294" spans="1:17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</row>
    <row r="295" spans="1:17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</row>
    <row r="298" spans="1:17">
      <c r="C298" s="1" t="s">
        <v>172</v>
      </c>
      <c r="D298" s="1" t="s">
        <v>173</v>
      </c>
    </row>
    <row r="299" spans="1:17">
      <c r="B299" s="2" t="s">
        <v>2</v>
      </c>
      <c r="C299" s="2" t="s">
        <v>106</v>
      </c>
      <c r="D299" s="3">
        <v>117.81</v>
      </c>
    </row>
    <row r="300" spans="1:17">
      <c r="B300" s="2" t="s">
        <v>2</v>
      </c>
      <c r="C300" s="2" t="s">
        <v>48</v>
      </c>
      <c r="D300" s="3">
        <v>121.3</v>
      </c>
    </row>
    <row r="301" spans="1:17">
      <c r="B301" s="2" t="s">
        <v>67</v>
      </c>
      <c r="C301" s="2" t="s">
        <v>47</v>
      </c>
      <c r="D301" s="3">
        <v>137.63</v>
      </c>
    </row>
    <row r="302" spans="1:17">
      <c r="B302" s="2" t="s">
        <v>67</v>
      </c>
      <c r="C302" s="2" t="s">
        <v>119</v>
      </c>
      <c r="D302" s="3">
        <v>137.35</v>
      </c>
      <c r="M302" s="4" t="s">
        <v>115</v>
      </c>
      <c r="N302" s="4"/>
      <c r="O302" s="4"/>
      <c r="P302" s="5" t="s">
        <v>13</v>
      </c>
      <c r="Q302" s="5">
        <v>471.26</v>
      </c>
    </row>
    <row r="303" spans="1:17">
      <c r="B303" s="6" t="s">
        <v>156</v>
      </c>
      <c r="C303" s="2" t="s">
        <v>4</v>
      </c>
      <c r="D303" s="3">
        <v>514.09</v>
      </c>
    </row>
    <row r="304" spans="1:17">
      <c r="M304" s="7" t="s">
        <v>24</v>
      </c>
      <c r="N304" s="8">
        <v>97.7</v>
      </c>
      <c r="O304" s="8">
        <v>20.73</v>
      </c>
      <c r="P304" s="9" t="s">
        <v>25</v>
      </c>
    </row>
    <row r="305" spans="2:17">
      <c r="E305" s="3" t="s">
        <v>5</v>
      </c>
      <c r="F305" s="3">
        <v>127.24</v>
      </c>
    </row>
    <row r="306" spans="2:17">
      <c r="M306" s="4" t="s">
        <v>61</v>
      </c>
      <c r="N306" s="4"/>
      <c r="O306" s="4"/>
      <c r="P306" s="5" t="s">
        <v>36</v>
      </c>
      <c r="Q306" s="5">
        <v>485.21</v>
      </c>
    </row>
    <row r="307" spans="2:17"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10</v>
      </c>
      <c r="H307" s="10" t="s">
        <v>13</v>
      </c>
      <c r="I307" s="10" t="s">
        <v>36</v>
      </c>
      <c r="J307" s="10" t="s">
        <v>53</v>
      </c>
      <c r="K307" s="10" t="s">
        <v>54</v>
      </c>
    </row>
    <row r="308" spans="2:17">
      <c r="B308" s="2" t="s">
        <v>11</v>
      </c>
      <c r="C308" s="2" t="s">
        <v>174</v>
      </c>
      <c r="D308" s="11">
        <f>(141.09*0.07)+141.09</f>
        <v>0</v>
      </c>
      <c r="E308" s="11">
        <f>(141.09*0.10)+141.09</f>
        <v>0</v>
      </c>
      <c r="F308" s="11">
        <f>(141.09*0.15)+141.09</f>
        <v>0</v>
      </c>
      <c r="G308" s="11">
        <f>(141.09*0.20)+141.09</f>
        <v>0</v>
      </c>
      <c r="H308" s="12">
        <v>19.76</v>
      </c>
      <c r="I308" s="12">
        <v>16.31</v>
      </c>
      <c r="J308" s="12">
        <v>2.52</v>
      </c>
      <c r="K308" s="12">
        <v>2.73</v>
      </c>
      <c r="M308" s="7" t="s">
        <v>24</v>
      </c>
      <c r="N308" s="8">
        <v>83.75</v>
      </c>
      <c r="O308" s="8">
        <v>17.26</v>
      </c>
      <c r="P308" s="9" t="s">
        <v>25</v>
      </c>
    </row>
    <row r="309" spans="2:17">
      <c r="B309" s="2" t="s">
        <v>14</v>
      </c>
      <c r="C309" s="2" t="s">
        <v>175</v>
      </c>
      <c r="D309" s="11">
        <f>(141.715*0.07)+141.715</f>
        <v>0</v>
      </c>
      <c r="E309" s="11">
        <f>(141.715*0.10)+141.715</f>
        <v>0</v>
      </c>
      <c r="F309" s="11">
        <f>(141.715*0.15)+141.715</f>
        <v>0</v>
      </c>
      <c r="G309" s="11">
        <f>(141.715*0.20)+141.715</f>
        <v>0</v>
      </c>
      <c r="H309" s="12">
        <v>20.29</v>
      </c>
      <c r="I309" s="12">
        <v>16.83</v>
      </c>
      <c r="J309" s="12">
        <v>2.97</v>
      </c>
      <c r="K309" s="12">
        <v>3.18</v>
      </c>
    </row>
    <row r="310" spans="2:17">
      <c r="B310" s="2" t="s">
        <v>16</v>
      </c>
      <c r="C310" s="2" t="s">
        <v>176</v>
      </c>
      <c r="D310" s="11">
        <f>(144.225*0.07)+144.225</f>
        <v>0</v>
      </c>
      <c r="E310" s="11">
        <f>(144.225*0.10)+144.225</f>
        <v>0</v>
      </c>
      <c r="F310" s="11">
        <f>(144.225*0.15)+144.225</f>
        <v>0</v>
      </c>
      <c r="G310" s="11">
        <f>(144.225*0.20)+144.225</f>
        <v>0</v>
      </c>
      <c r="H310" s="12">
        <v>22.42</v>
      </c>
      <c r="I310" s="12">
        <v>18.9</v>
      </c>
      <c r="J310" s="12">
        <v>4.79</v>
      </c>
      <c r="K310" s="12">
        <v>5.01</v>
      </c>
      <c r="M310" s="4" t="s">
        <v>60</v>
      </c>
      <c r="N310" s="4"/>
      <c r="O310" s="4"/>
      <c r="P310" s="5" t="s">
        <v>53</v>
      </c>
      <c r="Q310" s="5">
        <v>412.88</v>
      </c>
    </row>
    <row r="311" spans="2:17">
      <c r="B311" s="2" t="s">
        <v>18</v>
      </c>
      <c r="C311" s="2" t="s">
        <v>177</v>
      </c>
      <c r="D311" s="11">
        <f>(143.37*0.07)+143.37</f>
        <v>0</v>
      </c>
      <c r="E311" s="11">
        <f>(143.37*0.10)+143.37</f>
        <v>0</v>
      </c>
      <c r="F311" s="11">
        <f>(143.37*0.15)+143.37</f>
        <v>0</v>
      </c>
      <c r="G311" s="11">
        <f>(143.37*0.20)+143.37</f>
        <v>0</v>
      </c>
      <c r="H311" s="12">
        <v>21.69</v>
      </c>
      <c r="I311" s="12">
        <v>18.19</v>
      </c>
      <c r="J311" s="12">
        <v>4.17</v>
      </c>
      <c r="K311" s="12">
        <v>4.39</v>
      </c>
    </row>
    <row r="312" spans="2:17">
      <c r="B312" s="2" t="s">
        <v>20</v>
      </c>
      <c r="C312" s="2" t="s">
        <v>178</v>
      </c>
      <c r="D312" s="11">
        <f>(142.64*0.07)+142.64</f>
        <v>0</v>
      </c>
      <c r="E312" s="11">
        <f>(142.64*0.10)+142.64</f>
        <v>0</v>
      </c>
      <c r="F312" s="11">
        <f>(142.64*0.15)+142.64</f>
        <v>0</v>
      </c>
      <c r="G312" s="11">
        <f>(142.64*0.20)+142.64</f>
        <v>0</v>
      </c>
      <c r="H312" s="12">
        <v>21.07</v>
      </c>
      <c r="I312" s="12">
        <v>17.59</v>
      </c>
      <c r="J312" s="12">
        <v>3.64</v>
      </c>
      <c r="K312" s="12">
        <v>3.85</v>
      </c>
      <c r="M312" s="7" t="s">
        <v>24</v>
      </c>
      <c r="N312" s="8">
        <v>13.84</v>
      </c>
      <c r="O312" s="8">
        <v>3.35</v>
      </c>
      <c r="P312" s="9" t="s">
        <v>25</v>
      </c>
    </row>
    <row r="313" spans="2:17">
      <c r="B313" s="2" t="s">
        <v>4</v>
      </c>
      <c r="C313" s="2" t="s">
        <v>179</v>
      </c>
      <c r="D313" s="11">
        <f>(142.24*0.07)+142.24</f>
        <v>0</v>
      </c>
      <c r="E313" s="11">
        <f>(142.24*0.10)+142.24</f>
        <v>0</v>
      </c>
      <c r="F313" s="11">
        <f>(142.24*0.15)+142.24</f>
        <v>0</v>
      </c>
      <c r="G313" s="11">
        <f>(142.24*0.20)+142.24</f>
        <v>0</v>
      </c>
      <c r="H313" s="12">
        <v>20.73</v>
      </c>
      <c r="I313" s="12">
        <v>17.26</v>
      </c>
      <c r="J313" s="12">
        <v>3.35</v>
      </c>
      <c r="K313" s="12">
        <v>3.56</v>
      </c>
    </row>
    <row r="314" spans="2:17">
      <c r="M314" s="4" t="s">
        <v>126</v>
      </c>
      <c r="N314" s="4"/>
      <c r="O314" s="4"/>
      <c r="P314" s="5" t="s">
        <v>54</v>
      </c>
      <c r="Q314" s="5">
        <v>412.04</v>
      </c>
    </row>
    <row r="316" spans="2:17">
      <c r="M316" s="7" t="s">
        <v>24</v>
      </c>
      <c r="N316" s="8">
        <v>14.68</v>
      </c>
      <c r="O316" s="8">
        <v>3.56</v>
      </c>
      <c r="P316" s="9" t="s">
        <v>25</v>
      </c>
    </row>
    <row r="320" spans="2:17">
      <c r="O320" s="7" t="s">
        <v>26</v>
      </c>
      <c r="P320" s="13">
        <v>209.97</v>
      </c>
    </row>
    <row r="323" spans="1:17">
      <c r="P323" s="14" t="s">
        <v>27</v>
      </c>
      <c r="Q323" s="15">
        <v>1781.39</v>
      </c>
    </row>
    <row r="324" spans="1:17">
      <c r="P324" s="16"/>
      <c r="Q324" s="17"/>
    </row>
    <row r="325" spans="1:17">
      <c r="P325" s="18" t="s">
        <v>28</v>
      </c>
      <c r="Q325" s="19">
        <v>209.97</v>
      </c>
    </row>
    <row r="327" spans="1:1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31" spans="1:17">
      <c r="C331" s="1" t="s">
        <v>180</v>
      </c>
      <c r="D331" s="1" t="s">
        <v>181</v>
      </c>
    </row>
    <row r="332" spans="1:17">
      <c r="B332" s="2" t="s">
        <v>67</v>
      </c>
      <c r="C332" s="2" t="s">
        <v>106</v>
      </c>
      <c r="D332" s="3">
        <v>178.16</v>
      </c>
    </row>
    <row r="333" spans="1:17">
      <c r="B333" s="2" t="s">
        <v>67</v>
      </c>
      <c r="C333" s="2" t="s">
        <v>48</v>
      </c>
      <c r="D333" s="3">
        <v>176.09</v>
      </c>
      <c r="K333" s="4" t="s">
        <v>115</v>
      </c>
      <c r="L333" s="4"/>
      <c r="M333" s="4"/>
      <c r="N333" s="5" t="s">
        <v>13</v>
      </c>
      <c r="O333" s="5">
        <v>534.47</v>
      </c>
    </row>
    <row r="334" spans="1:17">
      <c r="B334" s="6" t="s">
        <v>182</v>
      </c>
      <c r="C334" s="2" t="s">
        <v>4</v>
      </c>
      <c r="D334" s="3">
        <v>354.25</v>
      </c>
    </row>
    <row r="335" spans="1:17">
      <c r="K335" s="7" t="s">
        <v>24</v>
      </c>
      <c r="L335" s="21">
        <v>-48.56</v>
      </c>
      <c r="M335" s="21">
        <v>-9.09</v>
      </c>
      <c r="N335" s="9" t="s">
        <v>25</v>
      </c>
    </row>
    <row r="336" spans="1:17">
      <c r="E336" s="3" t="s">
        <v>5</v>
      </c>
      <c r="F336" s="3">
        <v>177.12</v>
      </c>
    </row>
    <row r="337" spans="1:15">
      <c r="K337" s="4" t="s">
        <v>61</v>
      </c>
      <c r="L337" s="4"/>
      <c r="M337" s="4"/>
      <c r="N337" s="5" t="s">
        <v>36</v>
      </c>
      <c r="O337" s="5">
        <v>528.27</v>
      </c>
    </row>
    <row r="338" spans="1:15">
      <c r="C338" s="2" t="s">
        <v>6</v>
      </c>
      <c r="D338" s="2" t="s">
        <v>7</v>
      </c>
      <c r="E338" s="2" t="s">
        <v>8</v>
      </c>
      <c r="F338" s="2" t="s">
        <v>9</v>
      </c>
      <c r="G338" s="2" t="s">
        <v>10</v>
      </c>
      <c r="H338" s="10" t="s">
        <v>13</v>
      </c>
      <c r="I338" s="10" t="s">
        <v>36</v>
      </c>
    </row>
    <row r="339" spans="1:15">
      <c r="B339" s="2" t="s">
        <v>11</v>
      </c>
      <c r="C339" s="2" t="s">
        <v>183</v>
      </c>
      <c r="D339" s="11">
        <f>(164.61*0.07)+164.61</f>
        <v>0</v>
      </c>
      <c r="E339" s="11">
        <f>(164.61*0.10)+164.61</f>
        <v>0</v>
      </c>
      <c r="F339" s="11">
        <f>(164.61*0.15)+164.61</f>
        <v>0</v>
      </c>
      <c r="G339" s="11">
        <f>(164.61*0.20)+164.61</f>
        <v>0</v>
      </c>
      <c r="H339" s="22">
        <v>-7.6</v>
      </c>
      <c r="I339" s="22">
        <v>-6.52</v>
      </c>
      <c r="K339" s="7" t="s">
        <v>24</v>
      </c>
      <c r="L339" s="21">
        <v>-42.36</v>
      </c>
      <c r="M339" s="21">
        <v>-8.02</v>
      </c>
      <c r="N339" s="9" t="s">
        <v>25</v>
      </c>
    </row>
    <row r="340" spans="1:15">
      <c r="B340" s="2" t="s">
        <v>14</v>
      </c>
      <c r="C340" s="2" t="s">
        <v>184</v>
      </c>
      <c r="D340" s="11">
        <f>(163.355*0.07)+163.355</f>
        <v>0</v>
      </c>
      <c r="E340" s="11">
        <f>(163.355*0.10)+163.355</f>
        <v>0</v>
      </c>
      <c r="F340" s="11">
        <f>(163.355*0.15)+163.355</f>
        <v>0</v>
      </c>
      <c r="G340" s="11">
        <f>(163.355*0.20)+163.355</f>
        <v>0</v>
      </c>
      <c r="H340" s="22">
        <v>-8.31</v>
      </c>
      <c r="I340" s="22">
        <v>-7.23</v>
      </c>
    </row>
    <row r="341" spans="1:15">
      <c r="B341" s="2" t="s">
        <v>16</v>
      </c>
      <c r="C341" s="2" t="s">
        <v>185</v>
      </c>
      <c r="D341" s="11">
        <f>(162.78*0.07)+162.78</f>
        <v>0</v>
      </c>
      <c r="E341" s="11">
        <f>(162.78*0.10)+162.78</f>
        <v>0</v>
      </c>
      <c r="F341" s="11">
        <f>(162.78*0.15)+162.78</f>
        <v>0</v>
      </c>
      <c r="G341" s="11">
        <f>(162.78*0.20)+162.78</f>
        <v>0</v>
      </c>
      <c r="H341" s="22">
        <v>-8.630000000000001</v>
      </c>
      <c r="I341" s="22">
        <v>-7.56</v>
      </c>
    </row>
    <row r="342" spans="1:15">
      <c r="B342" s="2" t="s">
        <v>18</v>
      </c>
      <c r="C342" s="2" t="s">
        <v>186</v>
      </c>
      <c r="D342" s="11">
        <f>(163.72*0.07)+163.72</f>
        <v>0</v>
      </c>
      <c r="E342" s="11">
        <f>(163.72*0.10)+163.72</f>
        <v>0</v>
      </c>
      <c r="F342" s="11">
        <f>(163.72*0.15)+163.72</f>
        <v>0</v>
      </c>
      <c r="G342" s="11">
        <f>(163.72*0.20)+163.72</f>
        <v>0</v>
      </c>
      <c r="H342" s="22">
        <v>-8.1</v>
      </c>
      <c r="I342" s="22">
        <v>-7.02</v>
      </c>
    </row>
    <row r="343" spans="1:15">
      <c r="B343" s="2" t="s">
        <v>20</v>
      </c>
      <c r="C343" s="2" t="s">
        <v>187</v>
      </c>
      <c r="D343" s="11">
        <f>(163.61*0.07)+163.61</f>
        <v>0</v>
      </c>
      <c r="E343" s="11">
        <f>(163.61*0.10)+163.61</f>
        <v>0</v>
      </c>
      <c r="F343" s="11">
        <f>(163.61*0.15)+163.61</f>
        <v>0</v>
      </c>
      <c r="G343" s="11">
        <f>(163.61*0.20)+163.61</f>
        <v>0</v>
      </c>
      <c r="H343" s="22">
        <v>-8.17</v>
      </c>
      <c r="I343" s="22">
        <v>-7.09</v>
      </c>
      <c r="M343" s="7" t="s">
        <v>26</v>
      </c>
      <c r="N343" s="23">
        <v>-90.92</v>
      </c>
    </row>
    <row r="344" spans="1:15">
      <c r="B344" s="2" t="s">
        <v>4</v>
      </c>
      <c r="C344" s="2" t="s">
        <v>188</v>
      </c>
      <c r="D344" s="11">
        <f>(161.97*0.07)+161.97</f>
        <v>0</v>
      </c>
      <c r="E344" s="11">
        <f>(161.97*0.10)+161.97</f>
        <v>0</v>
      </c>
      <c r="F344" s="11">
        <f>(161.97*0.15)+161.97</f>
        <v>0</v>
      </c>
      <c r="G344" s="11">
        <f>(161.97*0.20)+161.97</f>
        <v>0</v>
      </c>
      <c r="H344" s="22">
        <v>-9.09</v>
      </c>
      <c r="I344" s="22">
        <v>-8.02</v>
      </c>
    </row>
    <row r="346" spans="1:15">
      <c r="N346" s="14" t="s">
        <v>27</v>
      </c>
      <c r="O346" s="15">
        <v>1062.74</v>
      </c>
    </row>
    <row r="347" spans="1:15">
      <c r="N347" s="16"/>
      <c r="O347" s="17"/>
    </row>
    <row r="348" spans="1:15">
      <c r="N348" s="18" t="s">
        <v>28</v>
      </c>
      <c r="O348" s="24">
        <v>-90.92</v>
      </c>
    </row>
    <row r="350" spans="1: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4" spans="2:14">
      <c r="C354" s="1" t="s">
        <v>189</v>
      </c>
      <c r="D354" s="1" t="s">
        <v>190</v>
      </c>
    </row>
    <row r="355" spans="2:14">
      <c r="B355" s="2" t="s">
        <v>49</v>
      </c>
      <c r="C355" s="2" t="s">
        <v>191</v>
      </c>
      <c r="D355" s="3">
        <v>192.93</v>
      </c>
      <c r="J355" s="4" t="s">
        <v>198</v>
      </c>
      <c r="K355" s="4"/>
      <c r="L355" s="4"/>
      <c r="M355" s="5" t="s">
        <v>13</v>
      </c>
      <c r="N355" s="5">
        <v>964.65</v>
      </c>
    </row>
    <row r="356" spans="2:14">
      <c r="B356" s="6" t="s">
        <v>49</v>
      </c>
      <c r="C356" s="2" t="s">
        <v>4</v>
      </c>
      <c r="D356" s="3">
        <v>192.93</v>
      </c>
    </row>
    <row r="357" spans="2:14">
      <c r="J357" s="7" t="s">
        <v>24</v>
      </c>
      <c r="K357" s="21">
        <v>-68.2</v>
      </c>
      <c r="L357" s="21">
        <v>-7.07</v>
      </c>
      <c r="M357" s="9" t="s">
        <v>25</v>
      </c>
    </row>
    <row r="358" spans="2:14">
      <c r="E358" s="3" t="s">
        <v>5</v>
      </c>
      <c r="F358" s="3">
        <v>192.93</v>
      </c>
    </row>
    <row r="360" spans="2:14">
      <c r="C360" s="2" t="s">
        <v>6</v>
      </c>
      <c r="D360" s="2" t="s">
        <v>7</v>
      </c>
      <c r="E360" s="2" t="s">
        <v>8</v>
      </c>
      <c r="F360" s="2" t="s">
        <v>9</v>
      </c>
      <c r="G360" s="2" t="s">
        <v>10</v>
      </c>
      <c r="H360" s="10" t="s">
        <v>13</v>
      </c>
    </row>
    <row r="361" spans="2:14">
      <c r="B361" s="2" t="s">
        <v>11</v>
      </c>
      <c r="C361" s="2" t="s">
        <v>192</v>
      </c>
      <c r="D361" s="11">
        <f>(186.53*0.07)+186.53</f>
        <v>0</v>
      </c>
      <c r="E361" s="11">
        <f>(186.53*0.10)+186.53</f>
        <v>0</v>
      </c>
      <c r="F361" s="11">
        <f>(186.53*0.15)+186.53</f>
        <v>0</v>
      </c>
      <c r="G361" s="11">
        <f>(186.53*0.20)+186.53</f>
        <v>0</v>
      </c>
      <c r="H361" s="22">
        <v>-3.32</v>
      </c>
      <c r="L361" s="7" t="s">
        <v>26</v>
      </c>
      <c r="M361" s="23">
        <v>-68.2</v>
      </c>
    </row>
    <row r="362" spans="2:14">
      <c r="B362" s="2" t="s">
        <v>14</v>
      </c>
      <c r="C362" s="2" t="s">
        <v>193</v>
      </c>
      <c r="D362" s="11">
        <f>(185.99*0.07)+185.99</f>
        <v>0</v>
      </c>
      <c r="E362" s="11">
        <f>(185.99*0.10)+185.99</f>
        <v>0</v>
      </c>
      <c r="F362" s="11">
        <f>(185.99*0.15)+185.99</f>
        <v>0</v>
      </c>
      <c r="G362" s="11">
        <f>(185.99*0.20)+185.99</f>
        <v>0</v>
      </c>
      <c r="H362" s="22">
        <v>-3.6</v>
      </c>
    </row>
    <row r="363" spans="2:14">
      <c r="B363" s="2" t="s">
        <v>16</v>
      </c>
      <c r="C363" s="2" t="s">
        <v>194</v>
      </c>
      <c r="D363" s="11">
        <f>(193.52*0.07)+193.52</f>
        <v>0</v>
      </c>
      <c r="E363" s="11">
        <f>(193.52*0.10)+193.52</f>
        <v>0</v>
      </c>
      <c r="F363" s="11">
        <f>(193.52*0.15)+193.52</f>
        <v>0</v>
      </c>
      <c r="G363" s="11">
        <f>(193.52*0.20)+193.52</f>
        <v>0</v>
      </c>
      <c r="H363" s="12">
        <v>0.31</v>
      </c>
    </row>
    <row r="364" spans="2:14">
      <c r="B364" s="2" t="s">
        <v>18</v>
      </c>
      <c r="C364" s="2" t="s">
        <v>195</v>
      </c>
      <c r="D364" s="11">
        <f>(183.17*0.07)+183.17</f>
        <v>0</v>
      </c>
      <c r="E364" s="11">
        <f>(183.17*0.10)+183.17</f>
        <v>0</v>
      </c>
      <c r="F364" s="11">
        <f>(183.17*0.15)+183.17</f>
        <v>0</v>
      </c>
      <c r="G364" s="11">
        <f>(183.17*0.20)+183.17</f>
        <v>0</v>
      </c>
      <c r="H364" s="22">
        <v>-5.06</v>
      </c>
      <c r="M364" s="14" t="s">
        <v>27</v>
      </c>
      <c r="N364" s="15">
        <v>964.65</v>
      </c>
    </row>
    <row r="365" spans="2:14">
      <c r="B365" s="2" t="s">
        <v>20</v>
      </c>
      <c r="C365" s="2" t="s">
        <v>196</v>
      </c>
      <c r="D365" s="11">
        <f>(183.43*0.07)+183.43</f>
        <v>0</v>
      </c>
      <c r="E365" s="11">
        <f>(183.43*0.10)+183.43</f>
        <v>0</v>
      </c>
      <c r="F365" s="11">
        <f>(183.43*0.15)+183.43</f>
        <v>0</v>
      </c>
      <c r="G365" s="11">
        <f>(183.43*0.20)+183.43</f>
        <v>0</v>
      </c>
      <c r="H365" s="22">
        <v>-4.92</v>
      </c>
      <c r="M365" s="16"/>
      <c r="N365" s="17"/>
    </row>
    <row r="366" spans="2:14">
      <c r="B366" s="2" t="s">
        <v>4</v>
      </c>
      <c r="C366" s="2" t="s">
        <v>197</v>
      </c>
      <c r="D366" s="11">
        <f>(179.29*0.07)+179.29</f>
        <v>0</v>
      </c>
      <c r="E366" s="11">
        <f>(179.29*0.10)+179.29</f>
        <v>0</v>
      </c>
      <c r="F366" s="11">
        <f>(179.29*0.15)+179.29</f>
        <v>0</v>
      </c>
      <c r="G366" s="11">
        <f>(179.29*0.20)+179.29</f>
        <v>0</v>
      </c>
      <c r="H366" s="22">
        <v>-7.07</v>
      </c>
      <c r="M366" s="18" t="s">
        <v>28</v>
      </c>
      <c r="N366" s="24">
        <v>-68.2</v>
      </c>
    </row>
    <row r="369" spans="1: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</row>
    <row r="370" spans="1: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</row>
    <row r="373" spans="1:15">
      <c r="C373" s="1" t="s">
        <v>199</v>
      </c>
      <c r="D373" s="1" t="s">
        <v>200</v>
      </c>
    </row>
    <row r="374" spans="1:15">
      <c r="B374" s="2" t="s">
        <v>34</v>
      </c>
      <c r="C374" s="2" t="s">
        <v>47</v>
      </c>
      <c r="D374" s="3">
        <v>280.7</v>
      </c>
    </row>
    <row r="375" spans="1:15">
      <c r="B375" s="2" t="s">
        <v>2</v>
      </c>
      <c r="C375" s="2" t="s">
        <v>119</v>
      </c>
      <c r="D375" s="3">
        <v>275.49</v>
      </c>
      <c r="K375" s="4" t="s">
        <v>60</v>
      </c>
      <c r="L375" s="4"/>
      <c r="M375" s="4"/>
      <c r="N375" s="5" t="s">
        <v>13</v>
      </c>
      <c r="O375" s="5">
        <v>561.4</v>
      </c>
    </row>
    <row r="376" spans="1:15">
      <c r="B376" s="6" t="s">
        <v>182</v>
      </c>
      <c r="C376" s="2" t="s">
        <v>4</v>
      </c>
      <c r="D376" s="3">
        <v>556.1799999999999</v>
      </c>
    </row>
    <row r="377" spans="1:15">
      <c r="K377" s="7" t="s">
        <v>24</v>
      </c>
      <c r="L377" s="21">
        <v>-18.56</v>
      </c>
      <c r="M377" s="21">
        <v>-3.31</v>
      </c>
      <c r="N377" s="9" t="s">
        <v>25</v>
      </c>
    </row>
    <row r="378" spans="1:15">
      <c r="E378" s="3" t="s">
        <v>5</v>
      </c>
      <c r="F378" s="3">
        <v>277.22</v>
      </c>
    </row>
    <row r="379" spans="1:15">
      <c r="K379" s="4" t="s">
        <v>126</v>
      </c>
      <c r="L379" s="4"/>
      <c r="M379" s="4"/>
      <c r="N379" s="5" t="s">
        <v>36</v>
      </c>
      <c r="O379" s="5">
        <v>1101.94</v>
      </c>
    </row>
    <row r="380" spans="1:15">
      <c r="C380" s="2" t="s">
        <v>6</v>
      </c>
      <c r="D380" s="2" t="s">
        <v>7</v>
      </c>
      <c r="E380" s="2" t="s">
        <v>8</v>
      </c>
      <c r="F380" s="2" t="s">
        <v>9</v>
      </c>
      <c r="G380" s="2" t="s">
        <v>10</v>
      </c>
      <c r="H380" s="10" t="s">
        <v>13</v>
      </c>
      <c r="I380" s="10" t="s">
        <v>36</v>
      </c>
    </row>
    <row r="381" spans="1:15">
      <c r="B381" s="2" t="s">
        <v>14</v>
      </c>
      <c r="C381" s="2" t="s">
        <v>201</v>
      </c>
      <c r="D381" s="11">
        <f>(256.56*0.07)+256.56</f>
        <v>0</v>
      </c>
      <c r="E381" s="11">
        <f>(256.56*0.10)+256.56</f>
        <v>0</v>
      </c>
      <c r="F381" s="11">
        <f>(256.56*0.15)+256.56</f>
        <v>0</v>
      </c>
      <c r="G381" s="11">
        <f>(256.56*0.20)+256.56</f>
        <v>0</v>
      </c>
      <c r="H381" s="22">
        <v>-8.6</v>
      </c>
      <c r="I381" s="22">
        <v>-6.87</v>
      </c>
      <c r="K381" s="7" t="s">
        <v>24</v>
      </c>
      <c r="L381" s="21">
        <v>-16.26</v>
      </c>
      <c r="M381" s="21">
        <v>-1.48</v>
      </c>
      <c r="N381" s="9" t="s">
        <v>25</v>
      </c>
    </row>
    <row r="382" spans="1:15">
      <c r="B382" s="2" t="s">
        <v>16</v>
      </c>
      <c r="C382" s="2" t="s">
        <v>202</v>
      </c>
      <c r="D382" s="11">
        <f>(268.06*0.07)+268.06</f>
        <v>0</v>
      </c>
      <c r="E382" s="11">
        <f>(268.06*0.10)+268.06</f>
        <v>0</v>
      </c>
      <c r="F382" s="11">
        <f>(268.06*0.15)+268.06</f>
        <v>0</v>
      </c>
      <c r="G382" s="11">
        <f>(268.06*0.20)+268.06</f>
        <v>0</v>
      </c>
      <c r="H382" s="22">
        <v>-4.5</v>
      </c>
      <c r="I382" s="22">
        <v>-2.7</v>
      </c>
    </row>
    <row r="383" spans="1:15">
      <c r="B383" s="2" t="s">
        <v>18</v>
      </c>
      <c r="C383" s="2" t="s">
        <v>203</v>
      </c>
      <c r="D383" s="11">
        <f>(267.78*0.07)+267.78</f>
        <v>0</v>
      </c>
      <c r="E383" s="11">
        <f>(267.78*0.10)+267.78</f>
        <v>0</v>
      </c>
      <c r="F383" s="11">
        <f>(267.78*0.15)+267.78</f>
        <v>0</v>
      </c>
      <c r="G383" s="11">
        <f>(267.78*0.20)+267.78</f>
        <v>0</v>
      </c>
      <c r="H383" s="22">
        <v>-4.6</v>
      </c>
      <c r="I383" s="22">
        <v>-2.8</v>
      </c>
    </row>
    <row r="384" spans="1:15">
      <c r="B384" s="2" t="s">
        <v>20</v>
      </c>
      <c r="C384" s="2" t="s">
        <v>204</v>
      </c>
      <c r="D384" s="11">
        <f>(266.73*0.07)+266.73</f>
        <v>0</v>
      </c>
      <c r="E384" s="11">
        <f>(266.73*0.10)+266.73</f>
        <v>0</v>
      </c>
      <c r="F384" s="11">
        <f>(266.73*0.15)+266.73</f>
        <v>0</v>
      </c>
      <c r="G384" s="11">
        <f>(266.73*0.20)+266.73</f>
        <v>0</v>
      </c>
      <c r="H384" s="22">
        <v>-4.98</v>
      </c>
      <c r="I384" s="22">
        <v>-3.18</v>
      </c>
    </row>
    <row r="385" spans="1:16">
      <c r="B385" s="2" t="s">
        <v>4</v>
      </c>
      <c r="C385" s="2" t="s">
        <v>205</v>
      </c>
      <c r="D385" s="11">
        <f>(271.42*0.07)+271.42</f>
        <v>0</v>
      </c>
      <c r="E385" s="11">
        <f>(271.42*0.10)+271.42</f>
        <v>0</v>
      </c>
      <c r="F385" s="11">
        <f>(271.42*0.15)+271.42</f>
        <v>0</v>
      </c>
      <c r="G385" s="11">
        <f>(271.42*0.20)+271.42</f>
        <v>0</v>
      </c>
      <c r="H385" s="22">
        <v>-3.31</v>
      </c>
      <c r="I385" s="22">
        <v>-1.48</v>
      </c>
      <c r="M385" s="7" t="s">
        <v>26</v>
      </c>
      <c r="N385" s="23">
        <v>-34.82</v>
      </c>
    </row>
    <row r="388" spans="1:16">
      <c r="N388" s="14" t="s">
        <v>27</v>
      </c>
      <c r="O388" s="15">
        <v>1663.34</v>
      </c>
    </row>
    <row r="389" spans="1:16">
      <c r="N389" s="16"/>
      <c r="O389" s="17"/>
    </row>
    <row r="390" spans="1:16">
      <c r="N390" s="18" t="s">
        <v>28</v>
      </c>
      <c r="O390" s="24">
        <v>-34.82</v>
      </c>
    </row>
    <row r="392" spans="1:1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</row>
    <row r="393" spans="1:1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</row>
    <row r="396" spans="1:16">
      <c r="C396" s="1" t="s">
        <v>206</v>
      </c>
      <c r="D396" s="1" t="s">
        <v>207</v>
      </c>
    </row>
    <row r="397" spans="1:16">
      <c r="B397" s="2" t="s">
        <v>182</v>
      </c>
      <c r="C397" s="2" t="s">
        <v>208</v>
      </c>
      <c r="D397" s="3">
        <v>90.29000000000001</v>
      </c>
    </row>
    <row r="398" spans="1:16">
      <c r="B398" s="2" t="s">
        <v>182</v>
      </c>
      <c r="C398" s="2" t="s">
        <v>106</v>
      </c>
      <c r="D398" s="3">
        <v>76.75</v>
      </c>
    </row>
    <row r="399" spans="1:16">
      <c r="B399" s="2" t="s">
        <v>182</v>
      </c>
      <c r="C399" s="2" t="s">
        <v>48</v>
      </c>
      <c r="D399" s="3">
        <v>76.76000000000001</v>
      </c>
      <c r="L399" s="4" t="s">
        <v>216</v>
      </c>
      <c r="M399" s="4"/>
      <c r="N399" s="4"/>
      <c r="O399" s="5" t="s">
        <v>13</v>
      </c>
      <c r="P399" s="5">
        <v>541.76</v>
      </c>
    </row>
    <row r="400" spans="1:16">
      <c r="B400" s="6" t="s">
        <v>209</v>
      </c>
      <c r="C400" s="2" t="s">
        <v>4</v>
      </c>
      <c r="D400" s="3">
        <v>243.8</v>
      </c>
    </row>
    <row r="401" spans="2:16">
      <c r="L401" s="7" t="s">
        <v>24</v>
      </c>
      <c r="M401" s="8">
        <v>56.32</v>
      </c>
      <c r="N401" s="8">
        <v>10.4</v>
      </c>
      <c r="O401" s="9" t="s">
        <v>25</v>
      </c>
    </row>
    <row r="402" spans="2:16">
      <c r="E402" s="3" t="s">
        <v>5</v>
      </c>
      <c r="F402" s="3">
        <v>81.27</v>
      </c>
    </row>
    <row r="403" spans="2:16">
      <c r="L403" s="4" t="s">
        <v>115</v>
      </c>
      <c r="M403" s="4"/>
      <c r="N403" s="4"/>
      <c r="O403" s="5" t="s">
        <v>36</v>
      </c>
      <c r="P403" s="5">
        <v>460.49</v>
      </c>
    </row>
    <row r="404" spans="2:16">
      <c r="C404" s="2" t="s">
        <v>6</v>
      </c>
      <c r="D404" s="2" t="s">
        <v>7</v>
      </c>
      <c r="E404" s="2" t="s">
        <v>8</v>
      </c>
      <c r="F404" s="2" t="s">
        <v>9</v>
      </c>
      <c r="G404" s="2" t="s">
        <v>10</v>
      </c>
      <c r="H404" s="10" t="s">
        <v>13</v>
      </c>
      <c r="I404" s="10" t="s">
        <v>36</v>
      </c>
      <c r="J404" s="10" t="s">
        <v>53</v>
      </c>
    </row>
    <row r="405" spans="2:16">
      <c r="B405" s="2" t="s">
        <v>11</v>
      </c>
      <c r="C405" s="2" t="s">
        <v>210</v>
      </c>
      <c r="D405" s="11">
        <f>(99.43*0.07)+99.43</f>
        <v>0</v>
      </c>
      <c r="E405" s="11">
        <f>(99.43*0.10)+99.43</f>
        <v>0</v>
      </c>
      <c r="F405" s="11">
        <f>(99.43*0.15)+99.43</f>
        <v>0</v>
      </c>
      <c r="G405" s="11">
        <f>(99.43*0.20)+99.43</f>
        <v>0</v>
      </c>
      <c r="H405" s="12">
        <v>10.12</v>
      </c>
      <c r="I405" s="12">
        <v>29.55</v>
      </c>
      <c r="J405" s="12">
        <v>29.54</v>
      </c>
      <c r="L405" s="7" t="s">
        <v>24</v>
      </c>
      <c r="M405" s="8">
        <v>137.59</v>
      </c>
      <c r="N405" s="8">
        <v>29.88</v>
      </c>
      <c r="O405" s="9" t="s">
        <v>25</v>
      </c>
    </row>
    <row r="406" spans="2:16">
      <c r="B406" s="2" t="s">
        <v>14</v>
      </c>
      <c r="C406" s="2" t="s">
        <v>211</v>
      </c>
      <c r="D406" s="11">
        <f>(98.74*0.07)+98.74</f>
        <v>0</v>
      </c>
      <c r="E406" s="11">
        <f>(98.74*0.10)+98.74</f>
        <v>0</v>
      </c>
      <c r="F406" s="11">
        <f>(98.74*0.15)+98.74</f>
        <v>0</v>
      </c>
      <c r="G406" s="11">
        <f>(98.74*0.20)+98.74</f>
        <v>0</v>
      </c>
      <c r="H406" s="12">
        <v>9.359999999999999</v>
      </c>
      <c r="I406" s="12">
        <v>28.65</v>
      </c>
      <c r="J406" s="12">
        <v>28.64</v>
      </c>
    </row>
    <row r="407" spans="2:16">
      <c r="B407" s="2" t="s">
        <v>16</v>
      </c>
      <c r="C407" s="2" t="s">
        <v>212</v>
      </c>
      <c r="D407" s="11">
        <f>(99.775*0.07)+99.775</f>
        <v>0</v>
      </c>
      <c r="E407" s="11">
        <f>(99.775*0.10)+99.775</f>
        <v>0</v>
      </c>
      <c r="F407" s="11">
        <f>(99.775*0.15)+99.775</f>
        <v>0</v>
      </c>
      <c r="G407" s="11">
        <f>(99.775*0.20)+99.775</f>
        <v>0</v>
      </c>
      <c r="H407" s="12">
        <v>10.5</v>
      </c>
      <c r="I407" s="12">
        <v>30</v>
      </c>
      <c r="J407" s="12">
        <v>29.99</v>
      </c>
      <c r="L407" s="4" t="s">
        <v>61</v>
      </c>
      <c r="M407" s="4"/>
      <c r="N407" s="4"/>
      <c r="O407" s="5" t="s">
        <v>53</v>
      </c>
      <c r="P407" s="5">
        <v>460.55</v>
      </c>
    </row>
    <row r="408" spans="2:16">
      <c r="B408" s="2" t="s">
        <v>18</v>
      </c>
      <c r="C408" s="2" t="s">
        <v>213</v>
      </c>
      <c r="D408" s="11">
        <f>(99.34*0.07)+99.34</f>
        <v>0</v>
      </c>
      <c r="E408" s="11">
        <f>(99.34*0.10)+99.34</f>
        <v>0</v>
      </c>
      <c r="F408" s="11">
        <f>(99.34*0.15)+99.34</f>
        <v>0</v>
      </c>
      <c r="G408" s="11">
        <f>(99.34*0.20)+99.34</f>
        <v>0</v>
      </c>
      <c r="H408" s="12">
        <v>10.02</v>
      </c>
      <c r="I408" s="12">
        <v>29.44</v>
      </c>
      <c r="J408" s="12">
        <v>29.42</v>
      </c>
    </row>
    <row r="409" spans="2:16">
      <c r="B409" s="2" t="s">
        <v>20</v>
      </c>
      <c r="C409" s="2" t="s">
        <v>214</v>
      </c>
      <c r="D409" s="11">
        <f>(98.96*0.07)+98.96</f>
        <v>0</v>
      </c>
      <c r="E409" s="11">
        <f>(98.96*0.10)+98.96</f>
        <v>0</v>
      </c>
      <c r="F409" s="11">
        <f>(98.96*0.15)+98.96</f>
        <v>0</v>
      </c>
      <c r="G409" s="11">
        <f>(98.96*0.20)+98.96</f>
        <v>0</v>
      </c>
      <c r="H409" s="12">
        <v>9.6</v>
      </c>
      <c r="I409" s="12">
        <v>28.94</v>
      </c>
      <c r="J409" s="12">
        <v>28.92</v>
      </c>
      <c r="L409" s="7" t="s">
        <v>24</v>
      </c>
      <c r="M409" s="8">
        <v>137.53</v>
      </c>
      <c r="N409" s="8">
        <v>29.86</v>
      </c>
      <c r="O409" s="9" t="s">
        <v>25</v>
      </c>
    </row>
    <row r="410" spans="2:16">
      <c r="B410" s="2" t="s">
        <v>4</v>
      </c>
      <c r="C410" s="2" t="s">
        <v>215</v>
      </c>
      <c r="D410" s="11">
        <f>(99.68*0.07)+99.68</f>
        <v>0</v>
      </c>
      <c r="E410" s="11">
        <f>(99.68*0.10)+99.68</f>
        <v>0</v>
      </c>
      <c r="F410" s="11">
        <f>(99.68*0.15)+99.68</f>
        <v>0</v>
      </c>
      <c r="G410" s="11">
        <f>(99.68*0.20)+99.68</f>
        <v>0</v>
      </c>
      <c r="H410" s="12">
        <v>10.4</v>
      </c>
      <c r="I410" s="12">
        <v>29.88</v>
      </c>
      <c r="J410" s="12">
        <v>29.86</v>
      </c>
    </row>
    <row r="413" spans="2:16">
      <c r="N413" s="7" t="s">
        <v>26</v>
      </c>
      <c r="O413" s="13">
        <v>331.45</v>
      </c>
    </row>
    <row r="416" spans="2:16">
      <c r="O416" s="14" t="s">
        <v>27</v>
      </c>
      <c r="P416" s="15">
        <v>1462.79</v>
      </c>
    </row>
    <row r="417" spans="1:16">
      <c r="O417" s="16"/>
      <c r="P417" s="17"/>
    </row>
    <row r="418" spans="1:16">
      <c r="O418" s="18" t="s">
        <v>28</v>
      </c>
      <c r="P418" s="19">
        <v>331.45</v>
      </c>
    </row>
    <row r="420" spans="1:1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4" spans="1:16">
      <c r="C424" s="1" t="s">
        <v>217</v>
      </c>
      <c r="D424" s="1" t="s">
        <v>218</v>
      </c>
    </row>
    <row r="425" spans="1:16">
      <c r="B425" s="2" t="s">
        <v>65</v>
      </c>
      <c r="C425" s="2" t="s">
        <v>219</v>
      </c>
      <c r="D425" s="3">
        <v>76.25</v>
      </c>
    </row>
    <row r="426" spans="1:16">
      <c r="B426" s="2" t="s">
        <v>155</v>
      </c>
      <c r="C426" s="2" t="s">
        <v>119</v>
      </c>
      <c r="D426" s="3">
        <v>87.22</v>
      </c>
      <c r="K426" s="4" t="s">
        <v>227</v>
      </c>
      <c r="L426" s="4"/>
      <c r="M426" s="4"/>
      <c r="N426" s="5" t="s">
        <v>13</v>
      </c>
      <c r="O426" s="5">
        <v>762.54</v>
      </c>
    </row>
    <row r="427" spans="1:16">
      <c r="B427" s="6" t="s">
        <v>220</v>
      </c>
      <c r="C427" s="2" t="s">
        <v>4</v>
      </c>
      <c r="D427" s="3">
        <v>163.47</v>
      </c>
    </row>
    <row r="428" spans="1:16">
      <c r="K428" s="7" t="s">
        <v>24</v>
      </c>
      <c r="L428" s="8">
        <v>38.41</v>
      </c>
      <c r="M428" s="8">
        <v>5.04</v>
      </c>
      <c r="N428" s="9" t="s">
        <v>25</v>
      </c>
    </row>
    <row r="429" spans="1:16">
      <c r="E429" s="3" t="s">
        <v>5</v>
      </c>
      <c r="F429" s="3">
        <v>80.77</v>
      </c>
    </row>
    <row r="430" spans="1:16">
      <c r="K430" s="4" t="s">
        <v>126</v>
      </c>
      <c r="L430" s="4"/>
      <c r="M430" s="4"/>
      <c r="N430" s="5" t="s">
        <v>36</v>
      </c>
      <c r="O430" s="5">
        <v>610.54</v>
      </c>
    </row>
    <row r="431" spans="1:16">
      <c r="C431" s="2" t="s">
        <v>6</v>
      </c>
      <c r="D431" s="2" t="s">
        <v>7</v>
      </c>
      <c r="E431" s="2" t="s">
        <v>8</v>
      </c>
      <c r="F431" s="2" t="s">
        <v>9</v>
      </c>
      <c r="G431" s="2" t="s">
        <v>10</v>
      </c>
      <c r="H431" s="10" t="s">
        <v>13</v>
      </c>
      <c r="I431" s="10" t="s">
        <v>36</v>
      </c>
    </row>
    <row r="432" spans="1:16">
      <c r="B432" s="2" t="s">
        <v>11</v>
      </c>
      <c r="C432" s="2" t="s">
        <v>221</v>
      </c>
      <c r="D432" s="11">
        <f>(85.52*0.07)+85.52</f>
        <v>0</v>
      </c>
      <c r="E432" s="11">
        <f>(85.52*0.10)+85.52</f>
        <v>0</v>
      </c>
      <c r="F432" s="11">
        <f>(85.52*0.15)+85.52</f>
        <v>0</v>
      </c>
      <c r="G432" s="11">
        <f>(85.52*0.20)+85.52</f>
        <v>0</v>
      </c>
      <c r="H432" s="12">
        <v>12.15</v>
      </c>
      <c r="I432" s="22">
        <v>-1.95</v>
      </c>
      <c r="K432" s="7" t="s">
        <v>24</v>
      </c>
      <c r="L432" s="21">
        <v>-49.87</v>
      </c>
      <c r="M432" s="21">
        <v>-8.17</v>
      </c>
      <c r="N432" s="9" t="s">
        <v>25</v>
      </c>
    </row>
    <row r="433" spans="1:15">
      <c r="B433" s="2" t="s">
        <v>14</v>
      </c>
      <c r="C433" s="2" t="s">
        <v>222</v>
      </c>
      <c r="D433" s="11">
        <f>(82.395*0.07)+82.395</f>
        <v>0</v>
      </c>
      <c r="E433" s="11">
        <f>(82.395*0.10)+82.395</f>
        <v>0</v>
      </c>
      <c r="F433" s="11">
        <f>(82.395*0.15)+82.395</f>
        <v>0</v>
      </c>
      <c r="G433" s="11">
        <f>(82.395*0.20)+82.395</f>
        <v>0</v>
      </c>
      <c r="H433" s="12">
        <v>8.050000000000001</v>
      </c>
      <c r="I433" s="22">
        <v>-5.53</v>
      </c>
    </row>
    <row r="434" spans="1:15">
      <c r="B434" s="2" t="s">
        <v>16</v>
      </c>
      <c r="C434" s="2" t="s">
        <v>223</v>
      </c>
      <c r="D434" s="11">
        <f>(83.27*0.07)+83.27</f>
        <v>0</v>
      </c>
      <c r="E434" s="11">
        <f>(83.27*0.10)+83.27</f>
        <v>0</v>
      </c>
      <c r="F434" s="11">
        <f>(83.27*0.15)+83.27</f>
        <v>0</v>
      </c>
      <c r="G434" s="11">
        <f>(83.27*0.20)+83.27</f>
        <v>0</v>
      </c>
      <c r="H434" s="12">
        <v>9.199999999999999</v>
      </c>
      <c r="I434" s="22">
        <v>-4.53</v>
      </c>
    </row>
    <row r="435" spans="1:15">
      <c r="B435" s="2" t="s">
        <v>18</v>
      </c>
      <c r="C435" s="2" t="s">
        <v>224</v>
      </c>
      <c r="D435" s="11">
        <f>(80.145*0.07)+80.145</f>
        <v>0</v>
      </c>
      <c r="E435" s="11">
        <f>(80.145*0.10)+80.145</f>
        <v>0</v>
      </c>
      <c r="F435" s="11">
        <f>(80.145*0.15)+80.145</f>
        <v>0</v>
      </c>
      <c r="G435" s="11">
        <f>(80.145*0.20)+80.145</f>
        <v>0</v>
      </c>
      <c r="H435" s="12">
        <v>5.1</v>
      </c>
      <c r="I435" s="22">
        <v>-8.109999999999999</v>
      </c>
    </row>
    <row r="436" spans="1:15">
      <c r="B436" s="2" t="s">
        <v>20</v>
      </c>
      <c r="C436" s="2" t="s">
        <v>225</v>
      </c>
      <c r="D436" s="11">
        <f>(79.72*0.07)+79.72</f>
        <v>0</v>
      </c>
      <c r="E436" s="11">
        <f>(79.72*0.10)+79.72</f>
        <v>0</v>
      </c>
      <c r="F436" s="11">
        <f>(79.72*0.15)+79.72</f>
        <v>0</v>
      </c>
      <c r="G436" s="11">
        <f>(79.72*0.20)+79.72</f>
        <v>0</v>
      </c>
      <c r="H436" s="12">
        <v>4.55</v>
      </c>
      <c r="I436" s="22">
        <v>-8.6</v>
      </c>
      <c r="M436" s="7" t="s">
        <v>26</v>
      </c>
      <c r="N436" s="23">
        <v>-11.47</v>
      </c>
    </row>
    <row r="437" spans="1:15">
      <c r="B437" s="2" t="s">
        <v>4</v>
      </c>
      <c r="C437" s="2" t="s">
        <v>226</v>
      </c>
      <c r="D437" s="11">
        <f>(80.095*0.07)+80.095</f>
        <v>0</v>
      </c>
      <c r="E437" s="11">
        <f>(80.095*0.10)+80.095</f>
        <v>0</v>
      </c>
      <c r="F437" s="11">
        <f>(80.095*0.15)+80.095</f>
        <v>0</v>
      </c>
      <c r="G437" s="11">
        <f>(80.095*0.20)+80.095</f>
        <v>0</v>
      </c>
      <c r="H437" s="12">
        <v>5.04</v>
      </c>
      <c r="I437" s="22">
        <v>-8.17</v>
      </c>
    </row>
    <row r="439" spans="1:15">
      <c r="N439" s="14" t="s">
        <v>27</v>
      </c>
      <c r="O439" s="15">
        <v>1373.08</v>
      </c>
    </row>
    <row r="440" spans="1:15">
      <c r="N440" s="16"/>
      <c r="O440" s="17"/>
    </row>
    <row r="441" spans="1:15">
      <c r="N441" s="18" t="s">
        <v>28</v>
      </c>
      <c r="O441" s="24">
        <v>-11.47</v>
      </c>
    </row>
    <row r="443" spans="1: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</row>
    <row r="444" spans="1: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</row>
    <row r="447" spans="1:15">
      <c r="C447" s="1" t="s">
        <v>228</v>
      </c>
      <c r="D447" s="1" t="s">
        <v>229</v>
      </c>
    </row>
    <row r="448" spans="1:15">
      <c r="B448" s="2" t="s">
        <v>31</v>
      </c>
      <c r="C448" s="2" t="s">
        <v>129</v>
      </c>
      <c r="D448" s="3">
        <v>100</v>
      </c>
    </row>
    <row r="449" spans="2:15">
      <c r="B449" s="2" t="s">
        <v>34</v>
      </c>
      <c r="C449" s="2" t="s">
        <v>48</v>
      </c>
      <c r="D449" s="3">
        <v>377.85</v>
      </c>
      <c r="K449" s="4" t="s">
        <v>237</v>
      </c>
      <c r="L449" s="4"/>
      <c r="M449" s="4"/>
      <c r="N449" s="5" t="s">
        <v>13</v>
      </c>
      <c r="O449" s="5">
        <v>100</v>
      </c>
    </row>
    <row r="450" spans="2:15">
      <c r="B450" s="6" t="s">
        <v>67</v>
      </c>
      <c r="C450" s="2" t="s">
        <v>4</v>
      </c>
      <c r="D450" s="3">
        <v>477.85</v>
      </c>
    </row>
    <row r="451" spans="2:15">
      <c r="K451" s="7" t="s">
        <v>24</v>
      </c>
      <c r="L451" s="8">
        <v>312.06</v>
      </c>
      <c r="M451" s="8">
        <v>312.06</v>
      </c>
      <c r="N451" s="9" t="s">
        <v>25</v>
      </c>
    </row>
    <row r="452" spans="2:15">
      <c r="E452" s="3" t="s">
        <v>5</v>
      </c>
      <c r="F452" s="3">
        <v>285.23</v>
      </c>
    </row>
    <row r="453" spans="2:15">
      <c r="K453" s="4" t="s">
        <v>61</v>
      </c>
      <c r="L453" s="4"/>
      <c r="M453" s="4"/>
      <c r="N453" s="5" t="s">
        <v>36</v>
      </c>
      <c r="O453" s="5">
        <v>755.7</v>
      </c>
    </row>
    <row r="454" spans="2:15">
      <c r="C454" s="2" t="s">
        <v>6</v>
      </c>
      <c r="D454" s="2" t="s">
        <v>7</v>
      </c>
      <c r="E454" s="2" t="s">
        <v>8</v>
      </c>
      <c r="F454" s="2" t="s">
        <v>9</v>
      </c>
      <c r="G454" s="2" t="s">
        <v>10</v>
      </c>
      <c r="H454" s="10" t="s">
        <v>13</v>
      </c>
      <c r="I454" s="10" t="s">
        <v>36</v>
      </c>
    </row>
    <row r="455" spans="2:15">
      <c r="B455" s="2" t="s">
        <v>129</v>
      </c>
      <c r="C455" s="2" t="s">
        <v>230</v>
      </c>
      <c r="D455" s="11">
        <f>(400.28*0.07)+400.28</f>
        <v>0</v>
      </c>
      <c r="E455" s="11">
        <f>(400.28*0.10)+400.28</f>
        <v>0</v>
      </c>
      <c r="F455" s="11">
        <f>(400.28*0.15)+400.28</f>
        <v>0</v>
      </c>
      <c r="G455" s="11">
        <f>(400.28*0.20)+400.28</f>
        <v>0</v>
      </c>
      <c r="H455" s="12">
        <v>300.28</v>
      </c>
      <c r="I455" s="12">
        <v>5.94</v>
      </c>
      <c r="K455" s="7" t="s">
        <v>24</v>
      </c>
      <c r="L455" s="8">
        <v>68.42</v>
      </c>
      <c r="M455" s="8">
        <v>9.050000000000001</v>
      </c>
      <c r="N455" s="9" t="s">
        <v>25</v>
      </c>
    </row>
    <row r="456" spans="2:15">
      <c r="B456" s="2" t="s">
        <v>11</v>
      </c>
      <c r="C456" s="2" t="s">
        <v>231</v>
      </c>
      <c r="D456" s="11">
        <f>(412.35*0.07)+412.35</f>
        <v>0</v>
      </c>
      <c r="E456" s="11">
        <f>(412.35*0.10)+412.35</f>
        <v>0</v>
      </c>
      <c r="F456" s="11">
        <f>(412.35*0.15)+412.35</f>
        <v>0</v>
      </c>
      <c r="G456" s="11">
        <f>(412.35*0.20)+412.35</f>
        <v>0</v>
      </c>
      <c r="H456" s="12">
        <v>312.35</v>
      </c>
      <c r="I456" s="12">
        <v>9.130000000000001</v>
      </c>
    </row>
    <row r="457" spans="2:15">
      <c r="B457" s="2" t="s">
        <v>14</v>
      </c>
      <c r="C457" s="2" t="s">
        <v>232</v>
      </c>
      <c r="D457" s="11">
        <f>(409.25*0.07)+409.25</f>
        <v>0</v>
      </c>
      <c r="E457" s="11">
        <f>(409.25*0.10)+409.25</f>
        <v>0</v>
      </c>
      <c r="F457" s="11">
        <f>(409.25*0.15)+409.25</f>
        <v>0</v>
      </c>
      <c r="G457" s="11">
        <f>(409.25*0.20)+409.25</f>
        <v>0</v>
      </c>
      <c r="H457" s="12">
        <v>309.25</v>
      </c>
      <c r="I457" s="12">
        <v>8.31</v>
      </c>
    </row>
    <row r="458" spans="2:15">
      <c r="B458" s="2" t="s">
        <v>16</v>
      </c>
      <c r="C458" s="2" t="s">
        <v>233</v>
      </c>
      <c r="D458" s="11">
        <f>(414.75*0.07)+414.75</f>
        <v>0</v>
      </c>
      <c r="E458" s="11">
        <f>(414.75*0.10)+414.75</f>
        <v>0</v>
      </c>
      <c r="F458" s="11">
        <f>(414.75*0.15)+414.75</f>
        <v>0</v>
      </c>
      <c r="G458" s="11">
        <f>(414.75*0.20)+414.75</f>
        <v>0</v>
      </c>
      <c r="H458" s="12">
        <v>314.75</v>
      </c>
      <c r="I458" s="12">
        <v>9.77</v>
      </c>
    </row>
    <row r="459" spans="2:15">
      <c r="B459" s="2" t="s">
        <v>18</v>
      </c>
      <c r="C459" s="2" t="s">
        <v>234</v>
      </c>
      <c r="D459" s="11">
        <f>(410.59*0.07)+410.59</f>
        <v>0</v>
      </c>
      <c r="E459" s="11">
        <f>(410.59*0.10)+410.59</f>
        <v>0</v>
      </c>
      <c r="F459" s="11">
        <f>(410.59*0.15)+410.59</f>
        <v>0</v>
      </c>
      <c r="G459" s="11">
        <f>(410.59*0.20)+410.59</f>
        <v>0</v>
      </c>
      <c r="H459" s="12">
        <v>310.59</v>
      </c>
      <c r="I459" s="12">
        <v>8.66</v>
      </c>
      <c r="M459" s="7" t="s">
        <v>26</v>
      </c>
      <c r="N459" s="13">
        <v>380.48</v>
      </c>
    </row>
    <row r="460" spans="2:15">
      <c r="B460" s="2" t="s">
        <v>20</v>
      </c>
      <c r="C460" s="2" t="s">
        <v>235</v>
      </c>
      <c r="D460" s="11">
        <f>(410.65*0.07)+410.65</f>
        <v>0</v>
      </c>
      <c r="E460" s="11">
        <f>(410.65*0.10)+410.65</f>
        <v>0</v>
      </c>
      <c r="F460" s="11">
        <f>(410.65*0.15)+410.65</f>
        <v>0</v>
      </c>
      <c r="G460" s="11">
        <f>(410.65*0.20)+410.65</f>
        <v>0</v>
      </c>
      <c r="H460" s="12">
        <v>310.65</v>
      </c>
      <c r="I460" s="12">
        <v>8.68</v>
      </c>
    </row>
    <row r="461" spans="2:15">
      <c r="B461" s="2" t="s">
        <v>4</v>
      </c>
      <c r="C461" s="2" t="s">
        <v>236</v>
      </c>
      <c r="D461" s="11">
        <f>(412.06*0.07)+412.06</f>
        <v>0</v>
      </c>
      <c r="E461" s="11">
        <f>(412.06*0.10)+412.06</f>
        <v>0</v>
      </c>
      <c r="F461" s="11">
        <f>(412.06*0.15)+412.06</f>
        <v>0</v>
      </c>
      <c r="G461" s="11">
        <f>(412.06*0.20)+412.06</f>
        <v>0</v>
      </c>
      <c r="H461" s="12">
        <v>312.06</v>
      </c>
      <c r="I461" s="12">
        <v>9.050000000000001</v>
      </c>
    </row>
    <row r="462" spans="2:15">
      <c r="N462" s="14" t="s">
        <v>27</v>
      </c>
      <c r="O462" s="15">
        <v>855.7</v>
      </c>
    </row>
    <row r="463" spans="2:15">
      <c r="N463" s="16"/>
      <c r="O463" s="17"/>
    </row>
    <row r="464" spans="2:15">
      <c r="N464" s="18" t="s">
        <v>28</v>
      </c>
      <c r="O464" s="19">
        <v>380.48</v>
      </c>
    </row>
    <row r="466" spans="1: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</row>
    <row r="467" spans="1: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</row>
    <row r="470" spans="1:15">
      <c r="C470" s="1" t="s">
        <v>238</v>
      </c>
      <c r="D470" s="1" t="s">
        <v>238</v>
      </c>
    </row>
    <row r="471" spans="1:15">
      <c r="B471" s="2" t="s">
        <v>239</v>
      </c>
      <c r="C471" s="2" t="s">
        <v>240</v>
      </c>
      <c r="D471" s="3">
        <v>45.5</v>
      </c>
    </row>
    <row r="472" spans="1:15">
      <c r="B472" s="2" t="s">
        <v>239</v>
      </c>
      <c r="C472" s="2" t="s">
        <v>240</v>
      </c>
      <c r="D472" s="3">
        <v>45.5</v>
      </c>
      <c r="K472" s="4" t="s">
        <v>244</v>
      </c>
      <c r="L472" s="4"/>
      <c r="M472" s="4"/>
      <c r="N472" s="5" t="s">
        <v>13</v>
      </c>
      <c r="O472" s="5">
        <v>546</v>
      </c>
    </row>
    <row r="473" spans="1:15">
      <c r="B473" s="6" t="s">
        <v>241</v>
      </c>
      <c r="C473" s="2" t="s">
        <v>4</v>
      </c>
      <c r="D473" s="3">
        <v>91</v>
      </c>
    </row>
    <row r="474" spans="1:15">
      <c r="K474" s="7" t="s">
        <v>24</v>
      </c>
      <c r="L474" s="8">
        <v>1689.68</v>
      </c>
      <c r="M474" s="8">
        <v>309.47</v>
      </c>
      <c r="N474" s="9" t="s">
        <v>25</v>
      </c>
    </row>
    <row r="475" spans="1:15">
      <c r="E475" s="3" t="s">
        <v>5</v>
      </c>
      <c r="F475" s="3">
        <v>45.5</v>
      </c>
    </row>
    <row r="476" spans="1:15">
      <c r="K476" s="4" t="s">
        <v>244</v>
      </c>
      <c r="L476" s="4"/>
      <c r="M476" s="4"/>
      <c r="N476" s="5" t="s">
        <v>36</v>
      </c>
      <c r="O476" s="5">
        <v>546</v>
      </c>
    </row>
    <row r="477" spans="1:15">
      <c r="C477" s="2" t="s">
        <v>6</v>
      </c>
      <c r="D477" s="2" t="s">
        <v>7</v>
      </c>
      <c r="E477" s="2" t="s">
        <v>8</v>
      </c>
      <c r="F477" s="2" t="s">
        <v>9</v>
      </c>
      <c r="G477" s="2" t="s">
        <v>10</v>
      </c>
      <c r="H477" s="10" t="s">
        <v>13</v>
      </c>
      <c r="I477" s="10" t="s">
        <v>36</v>
      </c>
    </row>
    <row r="478" spans="1:15">
      <c r="B478" s="2" t="s">
        <v>20</v>
      </c>
      <c r="C478" s="2" t="s">
        <v>242</v>
      </c>
      <c r="D478" s="11">
        <f>(182.78*0.07)+182.78</f>
        <v>0</v>
      </c>
      <c r="E478" s="11">
        <f>(182.78*0.10)+182.78</f>
        <v>0</v>
      </c>
      <c r="F478" s="11">
        <f>(182.78*0.15)+182.78</f>
        <v>0</v>
      </c>
      <c r="G478" s="11">
        <f>(182.78*0.20)+182.78</f>
        <v>0</v>
      </c>
      <c r="H478" s="12">
        <v>301.71</v>
      </c>
      <c r="I478" s="12">
        <v>301.71</v>
      </c>
      <c r="K478" s="7" t="s">
        <v>24</v>
      </c>
      <c r="L478" s="8">
        <v>1689.68</v>
      </c>
      <c r="M478" s="8">
        <v>309.47</v>
      </c>
      <c r="N478" s="9" t="s">
        <v>25</v>
      </c>
    </row>
    <row r="479" spans="1:15">
      <c r="B479" s="2" t="s">
        <v>4</v>
      </c>
      <c r="C479" s="2" t="s">
        <v>243</v>
      </c>
      <c r="D479" s="11">
        <f>(186.307*0.07)+186.307</f>
        <v>0</v>
      </c>
      <c r="E479" s="11">
        <f>(186.307*0.10)+186.307</f>
        <v>0</v>
      </c>
      <c r="F479" s="11">
        <f>(186.307*0.15)+186.307</f>
        <v>0</v>
      </c>
      <c r="G479" s="11">
        <f>(186.307*0.20)+186.307</f>
        <v>0</v>
      </c>
      <c r="H479" s="12">
        <v>309.47</v>
      </c>
      <c r="I479" s="12">
        <v>309.47</v>
      </c>
    </row>
    <row r="482" spans="1:15">
      <c r="M482" s="7" t="s">
        <v>26</v>
      </c>
      <c r="N482" s="13">
        <v>3379.37</v>
      </c>
    </row>
    <row r="485" spans="1:15">
      <c r="N485" s="14" t="s">
        <v>27</v>
      </c>
      <c r="O485" s="15">
        <v>1092</v>
      </c>
    </row>
    <row r="486" spans="1:15">
      <c r="N486" s="16"/>
      <c r="O486" s="17"/>
    </row>
    <row r="487" spans="1:15">
      <c r="N487" s="18" t="s">
        <v>28</v>
      </c>
      <c r="O487" s="19">
        <v>3379.37</v>
      </c>
    </row>
    <row r="489" spans="1: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</row>
    <row r="490" spans="1: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</row>
    <row r="493" spans="1:15">
      <c r="C493" s="1" t="s">
        <v>245</v>
      </c>
      <c r="D493" s="1" t="s">
        <v>246</v>
      </c>
    </row>
    <row r="494" spans="1:15">
      <c r="B494" s="2" t="s">
        <v>49</v>
      </c>
      <c r="C494" s="2" t="s">
        <v>247</v>
      </c>
      <c r="D494" s="3">
        <v>183.9</v>
      </c>
    </row>
    <row r="495" spans="1:15">
      <c r="B495" s="2" t="s">
        <v>49</v>
      </c>
      <c r="C495" s="2" t="s">
        <v>248</v>
      </c>
      <c r="D495" s="3">
        <v>172.07</v>
      </c>
      <c r="K495" s="4" t="s">
        <v>255</v>
      </c>
      <c r="L495" s="4"/>
      <c r="M495" s="4"/>
      <c r="N495" s="5" t="s">
        <v>13</v>
      </c>
      <c r="O495" s="5">
        <v>919.52</v>
      </c>
    </row>
    <row r="496" spans="1:15">
      <c r="B496" s="6" t="s">
        <v>65</v>
      </c>
      <c r="C496" s="2" t="s">
        <v>4</v>
      </c>
      <c r="D496" s="3">
        <v>355.98</v>
      </c>
    </row>
    <row r="497" spans="1:15">
      <c r="K497" s="7" t="s">
        <v>24</v>
      </c>
      <c r="L497" s="8">
        <v>51.91</v>
      </c>
      <c r="M497" s="8">
        <v>5.64</v>
      </c>
      <c r="N497" s="9" t="s">
        <v>25</v>
      </c>
    </row>
    <row r="498" spans="1:15">
      <c r="E498" s="3" t="s">
        <v>5</v>
      </c>
      <c r="F498" s="3">
        <v>177.99</v>
      </c>
    </row>
    <row r="499" spans="1:15">
      <c r="K499" s="4" t="s">
        <v>256</v>
      </c>
      <c r="L499" s="4"/>
      <c r="M499" s="4"/>
      <c r="N499" s="5" t="s">
        <v>36</v>
      </c>
      <c r="O499" s="5">
        <v>860.36</v>
      </c>
    </row>
    <row r="500" spans="1:15">
      <c r="C500" s="2" t="s">
        <v>6</v>
      </c>
      <c r="D500" s="2" t="s">
        <v>7</v>
      </c>
      <c r="E500" s="2" t="s">
        <v>8</v>
      </c>
      <c r="F500" s="2" t="s">
        <v>9</v>
      </c>
      <c r="G500" s="2" t="s">
        <v>10</v>
      </c>
      <c r="H500" s="10" t="s">
        <v>13</v>
      </c>
      <c r="I500" s="10" t="s">
        <v>36</v>
      </c>
    </row>
    <row r="501" spans="1:15">
      <c r="B501" s="2" t="s">
        <v>11</v>
      </c>
      <c r="C501" s="2" t="s">
        <v>249</v>
      </c>
      <c r="D501" s="11">
        <f>(189.98*0.07)+189.98</f>
        <v>0</v>
      </c>
      <c r="E501" s="11">
        <f>(189.98*0.10)+189.98</f>
        <v>0</v>
      </c>
      <c r="F501" s="11">
        <f>(189.98*0.15)+189.98</f>
        <v>0</v>
      </c>
      <c r="G501" s="11">
        <f>(189.98*0.20)+189.98</f>
        <v>0</v>
      </c>
      <c r="H501" s="12">
        <v>3.3</v>
      </c>
      <c r="I501" s="12">
        <v>10.41</v>
      </c>
      <c r="K501" s="7" t="s">
        <v>24</v>
      </c>
      <c r="L501" s="8">
        <v>111.06</v>
      </c>
      <c r="M501" s="8">
        <v>12.91</v>
      </c>
      <c r="N501" s="9" t="s">
        <v>25</v>
      </c>
    </row>
    <row r="502" spans="1:15">
      <c r="B502" s="2" t="s">
        <v>14</v>
      </c>
      <c r="C502" s="2" t="s">
        <v>250</v>
      </c>
      <c r="D502" s="11">
        <f>(194.19*0.07)+194.19</f>
        <v>0</v>
      </c>
      <c r="E502" s="11">
        <f>(194.19*0.10)+194.19</f>
        <v>0</v>
      </c>
      <c r="F502" s="11">
        <f>(194.19*0.15)+194.19</f>
        <v>0</v>
      </c>
      <c r="G502" s="11">
        <f>(194.19*0.20)+194.19</f>
        <v>0</v>
      </c>
      <c r="H502" s="12">
        <v>5.59</v>
      </c>
      <c r="I502" s="12">
        <v>12.85</v>
      </c>
    </row>
    <row r="503" spans="1:15">
      <c r="B503" s="2" t="s">
        <v>16</v>
      </c>
      <c r="C503" s="2" t="s">
        <v>251</v>
      </c>
      <c r="D503" s="11">
        <f>(196.61*0.07)+196.61</f>
        <v>0</v>
      </c>
      <c r="E503" s="11">
        <f>(196.61*0.10)+196.61</f>
        <v>0</v>
      </c>
      <c r="F503" s="11">
        <f>(196.61*0.15)+196.61</f>
        <v>0</v>
      </c>
      <c r="G503" s="11">
        <f>(196.61*0.20)+196.61</f>
        <v>0</v>
      </c>
      <c r="H503" s="12">
        <v>6.91</v>
      </c>
      <c r="I503" s="12">
        <v>14.26</v>
      </c>
    </row>
    <row r="504" spans="1:15">
      <c r="B504" s="2" t="s">
        <v>18</v>
      </c>
      <c r="C504" s="2" t="s">
        <v>252</v>
      </c>
      <c r="D504" s="11">
        <f>(198.51*0.07)+198.51</f>
        <v>0</v>
      </c>
      <c r="E504" s="11">
        <f>(198.51*0.10)+198.51</f>
        <v>0</v>
      </c>
      <c r="F504" s="11">
        <f>(198.51*0.15)+198.51</f>
        <v>0</v>
      </c>
      <c r="G504" s="11">
        <f>(198.51*0.20)+198.51</f>
        <v>0</v>
      </c>
      <c r="H504" s="12">
        <v>7.94</v>
      </c>
      <c r="I504" s="12">
        <v>15.36</v>
      </c>
    </row>
    <row r="505" spans="1:15">
      <c r="B505" s="2" t="s">
        <v>20</v>
      </c>
      <c r="C505" s="2" t="s">
        <v>253</v>
      </c>
      <c r="D505" s="11">
        <f>(201.29*0.07)+201.29</f>
        <v>0</v>
      </c>
      <c r="E505" s="11">
        <f>(201.29*0.10)+201.29</f>
        <v>0</v>
      </c>
      <c r="F505" s="11">
        <f>(201.29*0.15)+201.29</f>
        <v>0</v>
      </c>
      <c r="G505" s="11">
        <f>(201.29*0.20)+201.29</f>
        <v>0</v>
      </c>
      <c r="H505" s="12">
        <v>9.449999999999999</v>
      </c>
      <c r="I505" s="12">
        <v>16.98</v>
      </c>
      <c r="M505" s="7" t="s">
        <v>26</v>
      </c>
      <c r="N505" s="13">
        <v>162.97</v>
      </c>
    </row>
    <row r="506" spans="1:15">
      <c r="B506" s="2" t="s">
        <v>4</v>
      </c>
      <c r="C506" s="2" t="s">
        <v>254</v>
      </c>
      <c r="D506" s="11">
        <f>(194.285*0.07)+194.285</f>
        <v>0</v>
      </c>
      <c r="E506" s="11">
        <f>(194.285*0.10)+194.285</f>
        <v>0</v>
      </c>
      <c r="F506" s="11">
        <f>(194.285*0.15)+194.285</f>
        <v>0</v>
      </c>
      <c r="G506" s="11">
        <f>(194.285*0.20)+194.285</f>
        <v>0</v>
      </c>
      <c r="H506" s="12">
        <v>5.64</v>
      </c>
      <c r="I506" s="12">
        <v>12.91</v>
      </c>
    </row>
    <row r="508" spans="1:15">
      <c r="N508" s="14" t="s">
        <v>27</v>
      </c>
      <c r="O508" s="15">
        <v>1779.88</v>
      </c>
    </row>
    <row r="509" spans="1:15">
      <c r="N509" s="16"/>
      <c r="O509" s="17"/>
    </row>
    <row r="510" spans="1:15">
      <c r="N510" s="18" t="s">
        <v>28</v>
      </c>
      <c r="O510" s="19">
        <v>162.97</v>
      </c>
    </row>
    <row r="512" spans="1: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</row>
    <row r="513" spans="1: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</row>
    <row r="516" spans="1:15">
      <c r="C516" s="1" t="s">
        <v>257</v>
      </c>
      <c r="D516" s="1" t="s">
        <v>258</v>
      </c>
    </row>
    <row r="517" spans="1:15">
      <c r="B517" s="2" t="s">
        <v>93</v>
      </c>
      <c r="C517" s="2" t="s">
        <v>259</v>
      </c>
      <c r="D517" s="3">
        <v>103.3</v>
      </c>
      <c r="J517" s="4" t="s">
        <v>267</v>
      </c>
      <c r="K517" s="4"/>
      <c r="L517" s="4"/>
      <c r="M517" s="5" t="s">
        <v>13</v>
      </c>
      <c r="N517" s="5">
        <v>1549.42</v>
      </c>
    </row>
    <row r="518" spans="1:15">
      <c r="B518" s="6" t="s">
        <v>93</v>
      </c>
      <c r="C518" s="2" t="s">
        <v>4</v>
      </c>
      <c r="D518" s="3">
        <v>103.3</v>
      </c>
    </row>
    <row r="519" spans="1:15">
      <c r="J519" s="7" t="s">
        <v>24</v>
      </c>
      <c r="K519" s="8">
        <v>69.68000000000001</v>
      </c>
      <c r="L519" s="8">
        <v>4.5</v>
      </c>
      <c r="M519" s="9" t="s">
        <v>25</v>
      </c>
    </row>
    <row r="520" spans="1:15">
      <c r="E520" s="3" t="s">
        <v>5</v>
      </c>
      <c r="F520" s="3">
        <v>103.3</v>
      </c>
    </row>
    <row r="522" spans="1:15">
      <c r="C522" s="2" t="s">
        <v>6</v>
      </c>
      <c r="D522" s="2" t="s">
        <v>7</v>
      </c>
      <c r="E522" s="2" t="s">
        <v>8</v>
      </c>
      <c r="F522" s="2" t="s">
        <v>9</v>
      </c>
      <c r="G522" s="2" t="s">
        <v>10</v>
      </c>
      <c r="H522" s="10" t="s">
        <v>13</v>
      </c>
    </row>
    <row r="523" spans="1:15">
      <c r="B523" s="2" t="s">
        <v>129</v>
      </c>
      <c r="C523" s="2" t="s">
        <v>260</v>
      </c>
      <c r="D523" s="11">
        <f>(106.22*0.07)+106.22</f>
        <v>0</v>
      </c>
      <c r="E523" s="11">
        <f>(106.22*0.10)+106.22</f>
        <v>0</v>
      </c>
      <c r="F523" s="11">
        <f>(106.22*0.15)+106.22</f>
        <v>0</v>
      </c>
      <c r="G523" s="11">
        <f>(106.22*0.20)+106.22</f>
        <v>0</v>
      </c>
      <c r="H523" s="12">
        <v>2.83</v>
      </c>
      <c r="L523" s="7" t="s">
        <v>26</v>
      </c>
      <c r="M523" s="13">
        <v>69.68000000000001</v>
      </c>
    </row>
    <row r="524" spans="1:15">
      <c r="B524" s="2" t="s">
        <v>11</v>
      </c>
      <c r="C524" s="2" t="s">
        <v>261</v>
      </c>
      <c r="D524" s="11">
        <f>(110.71*0.07)+110.71</f>
        <v>0</v>
      </c>
      <c r="E524" s="11">
        <f>(110.71*0.10)+110.71</f>
        <v>0</v>
      </c>
      <c r="F524" s="11">
        <f>(110.71*0.15)+110.71</f>
        <v>0</v>
      </c>
      <c r="G524" s="11">
        <f>(110.71*0.20)+110.71</f>
        <v>0</v>
      </c>
      <c r="H524" s="12">
        <v>7.18</v>
      </c>
    </row>
    <row r="525" spans="1:15">
      <c r="B525" s="2" t="s">
        <v>14</v>
      </c>
      <c r="C525" s="2" t="s">
        <v>262</v>
      </c>
      <c r="D525" s="11">
        <f>(109.405*0.07)+109.405</f>
        <v>0</v>
      </c>
      <c r="E525" s="11">
        <f>(109.405*0.10)+109.405</f>
        <v>0</v>
      </c>
      <c r="F525" s="11">
        <f>(109.405*0.15)+109.405</f>
        <v>0</v>
      </c>
      <c r="G525" s="11">
        <f>(109.405*0.20)+109.405</f>
        <v>0</v>
      </c>
      <c r="H525" s="12">
        <v>5.92</v>
      </c>
    </row>
    <row r="526" spans="1:15">
      <c r="B526" s="2" t="s">
        <v>16</v>
      </c>
      <c r="C526" s="2" t="s">
        <v>263</v>
      </c>
      <c r="D526" s="11">
        <f>(111.77*0.07)+111.77</f>
        <v>0</v>
      </c>
      <c r="E526" s="11">
        <f>(111.77*0.10)+111.77</f>
        <v>0</v>
      </c>
      <c r="F526" s="11">
        <f>(111.77*0.15)+111.77</f>
        <v>0</v>
      </c>
      <c r="G526" s="11">
        <f>(111.77*0.20)+111.77</f>
        <v>0</v>
      </c>
      <c r="H526" s="12">
        <v>8.199999999999999</v>
      </c>
      <c r="M526" s="14" t="s">
        <v>27</v>
      </c>
      <c r="N526" s="15">
        <v>1549.42</v>
      </c>
    </row>
    <row r="527" spans="1:15">
      <c r="B527" s="2" t="s">
        <v>18</v>
      </c>
      <c r="C527" s="2" t="s">
        <v>264</v>
      </c>
      <c r="D527" s="11">
        <f>(110.62*0.07)+110.62</f>
        <v>0</v>
      </c>
      <c r="E527" s="11">
        <f>(110.62*0.10)+110.62</f>
        <v>0</v>
      </c>
      <c r="F527" s="11">
        <f>(110.62*0.15)+110.62</f>
        <v>0</v>
      </c>
      <c r="G527" s="11">
        <f>(110.62*0.20)+110.62</f>
        <v>0</v>
      </c>
      <c r="H527" s="12">
        <v>7.09</v>
      </c>
      <c r="M527" s="16"/>
      <c r="N527" s="17"/>
    </row>
    <row r="528" spans="1:15">
      <c r="B528" s="2" t="s">
        <v>20</v>
      </c>
      <c r="C528" s="2" t="s">
        <v>265</v>
      </c>
      <c r="D528" s="11">
        <f>(111.78*0.07)+111.78</f>
        <v>0</v>
      </c>
      <c r="E528" s="11">
        <f>(111.78*0.10)+111.78</f>
        <v>0</v>
      </c>
      <c r="F528" s="11">
        <f>(111.78*0.15)+111.78</f>
        <v>0</v>
      </c>
      <c r="G528" s="11">
        <f>(111.78*0.20)+111.78</f>
        <v>0</v>
      </c>
      <c r="H528" s="12">
        <v>8.210000000000001</v>
      </c>
      <c r="M528" s="18" t="s">
        <v>28</v>
      </c>
      <c r="N528" s="19">
        <v>69.68000000000001</v>
      </c>
    </row>
    <row r="529" spans="1:14">
      <c r="B529" s="2" t="s">
        <v>4</v>
      </c>
      <c r="C529" s="2" t="s">
        <v>266</v>
      </c>
      <c r="D529" s="11">
        <f>(107.94*0.07)+107.94</f>
        <v>0</v>
      </c>
      <c r="E529" s="11">
        <f>(107.94*0.10)+107.94</f>
        <v>0</v>
      </c>
      <c r="F529" s="11">
        <f>(107.94*0.15)+107.94</f>
        <v>0</v>
      </c>
      <c r="G529" s="11">
        <f>(107.94*0.20)+107.94</f>
        <v>0</v>
      </c>
      <c r="H529" s="12">
        <v>4.5</v>
      </c>
    </row>
    <row r="532" spans="1:14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</row>
    <row r="533" spans="1:14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</row>
    <row r="536" spans="1:14">
      <c r="C536" s="1" t="s">
        <v>268</v>
      </c>
      <c r="D536" s="1" t="s">
        <v>269</v>
      </c>
    </row>
    <row r="537" spans="1:14">
      <c r="B537" s="2" t="s">
        <v>65</v>
      </c>
      <c r="C537" s="2" t="s">
        <v>3</v>
      </c>
      <c r="D537" s="3">
        <v>1271.73</v>
      </c>
      <c r="J537" s="4" t="s">
        <v>23</v>
      </c>
      <c r="K537" s="4"/>
      <c r="L537" s="4"/>
      <c r="M537" s="5" t="s">
        <v>13</v>
      </c>
      <c r="N537" s="5">
        <v>12717.3</v>
      </c>
    </row>
    <row r="538" spans="1:14">
      <c r="B538" s="6" t="s">
        <v>65</v>
      </c>
      <c r="C538" s="2" t="s">
        <v>4</v>
      </c>
      <c r="D538" s="3">
        <v>1271.73</v>
      </c>
    </row>
    <row r="539" spans="1:14">
      <c r="J539" s="7" t="s">
        <v>24</v>
      </c>
      <c r="K539" s="21">
        <v>-11262.65</v>
      </c>
      <c r="L539" s="21">
        <v>-88.56</v>
      </c>
      <c r="M539" s="9" t="s">
        <v>25</v>
      </c>
    </row>
    <row r="540" spans="1:14">
      <c r="E540" s="3" t="s">
        <v>5</v>
      </c>
      <c r="F540" s="3">
        <v>1271.73</v>
      </c>
    </row>
    <row r="542" spans="1:14">
      <c r="C542" s="2" t="s">
        <v>6</v>
      </c>
      <c r="D542" s="2" t="s">
        <v>7</v>
      </c>
      <c r="E542" s="2" t="s">
        <v>8</v>
      </c>
      <c r="F542" s="2" t="s">
        <v>9</v>
      </c>
      <c r="G542" s="2" t="s">
        <v>10</v>
      </c>
      <c r="H542" s="10" t="s">
        <v>13</v>
      </c>
    </row>
    <row r="543" spans="1:14">
      <c r="B543" s="2" t="s">
        <v>14</v>
      </c>
      <c r="C543" s="2" t="s">
        <v>270</v>
      </c>
      <c r="D543" s="11">
        <f>(140.24*0.07)+140.24</f>
        <v>0</v>
      </c>
      <c r="E543" s="11">
        <f>(140.24*0.10)+140.24</f>
        <v>0</v>
      </c>
      <c r="F543" s="11">
        <f>(140.24*0.15)+140.24</f>
        <v>0</v>
      </c>
      <c r="G543" s="11">
        <f>(140.24*0.20)+140.24</f>
        <v>0</v>
      </c>
      <c r="H543" s="22">
        <v>-88.97</v>
      </c>
      <c r="L543" s="7" t="s">
        <v>26</v>
      </c>
      <c r="M543" s="23">
        <v>-11262.65</v>
      </c>
    </row>
    <row r="544" spans="1:14">
      <c r="B544" s="2" t="s">
        <v>16</v>
      </c>
      <c r="C544" s="2" t="s">
        <v>271</v>
      </c>
      <c r="D544" s="11">
        <f>(140.64*0.07)+140.64</f>
        <v>0</v>
      </c>
      <c r="E544" s="11">
        <f>(140.64*0.10)+140.64</f>
        <v>0</v>
      </c>
      <c r="F544" s="11">
        <f>(140.64*0.15)+140.64</f>
        <v>0</v>
      </c>
      <c r="G544" s="11">
        <f>(140.64*0.20)+140.64</f>
        <v>0</v>
      </c>
      <c r="H544" s="22">
        <v>-88.94</v>
      </c>
    </row>
    <row r="545" spans="1:14">
      <c r="B545" s="2" t="s">
        <v>18</v>
      </c>
      <c r="C545" s="2" t="s">
        <v>272</v>
      </c>
      <c r="D545" s="11">
        <f>(140.44*0.07)+140.44</f>
        <v>0</v>
      </c>
      <c r="E545" s="11">
        <f>(140.44*0.10)+140.44</f>
        <v>0</v>
      </c>
      <c r="F545" s="11">
        <f>(140.44*0.15)+140.44</f>
        <v>0</v>
      </c>
      <c r="G545" s="11">
        <f>(140.44*0.20)+140.44</f>
        <v>0</v>
      </c>
      <c r="H545" s="22">
        <v>-88.95999999999999</v>
      </c>
    </row>
    <row r="546" spans="1:14">
      <c r="B546" s="2" t="s">
        <v>20</v>
      </c>
      <c r="C546" s="2" t="s">
        <v>273</v>
      </c>
      <c r="D546" s="11">
        <f>(140.22*0.07)+140.22</f>
        <v>0</v>
      </c>
      <c r="E546" s="11">
        <f>(140.22*0.10)+140.22</f>
        <v>0</v>
      </c>
      <c r="F546" s="11">
        <f>(140.22*0.15)+140.22</f>
        <v>0</v>
      </c>
      <c r="G546" s="11">
        <f>(140.22*0.20)+140.22</f>
        <v>0</v>
      </c>
      <c r="H546" s="22">
        <v>-88.97</v>
      </c>
      <c r="M546" s="14" t="s">
        <v>27</v>
      </c>
      <c r="N546" s="15">
        <v>12717.3</v>
      </c>
    </row>
    <row r="547" spans="1:14">
      <c r="B547" s="2" t="s">
        <v>4</v>
      </c>
      <c r="C547" s="2" t="s">
        <v>274</v>
      </c>
      <c r="D547" s="11">
        <f>(145.465*0.07)+145.465</f>
        <v>0</v>
      </c>
      <c r="E547" s="11">
        <f>(145.465*0.10)+145.465</f>
        <v>0</v>
      </c>
      <c r="F547" s="11">
        <f>(145.465*0.15)+145.465</f>
        <v>0</v>
      </c>
      <c r="G547" s="11">
        <f>(145.465*0.20)+145.465</f>
        <v>0</v>
      </c>
      <c r="H547" s="22">
        <v>-88.56</v>
      </c>
      <c r="M547" s="16"/>
      <c r="N547" s="17"/>
    </row>
    <row r="548" spans="1:14">
      <c r="M548" s="18" t="s">
        <v>28</v>
      </c>
      <c r="N548" s="24">
        <v>-11262.65</v>
      </c>
    </row>
    <row r="550" spans="1:14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</row>
    <row r="551" spans="1:14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</row>
    <row r="559" spans="1:14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</row>
    <row r="560" spans="1:14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</row>
    <row r="563" spans="3:8">
      <c r="E563" s="25" t="s">
        <v>275</v>
      </c>
      <c r="F563" s="25" t="s">
        <v>276</v>
      </c>
      <c r="G563" s="25" t="s">
        <v>26</v>
      </c>
      <c r="H563" s="25" t="s">
        <v>277</v>
      </c>
    </row>
    <row r="564" spans="3:8">
      <c r="C564" s="26" t="s">
        <v>0</v>
      </c>
      <c r="D564" s="27" t="s">
        <v>1</v>
      </c>
      <c r="E564" s="27">
        <v>14</v>
      </c>
      <c r="F564" s="27">
        <v>978.63</v>
      </c>
      <c r="G564" s="27">
        <v>13700.78</v>
      </c>
      <c r="H564" s="27">
        <v>1.95</v>
      </c>
    </row>
    <row r="565" spans="3:8">
      <c r="C565" s="26" t="s">
        <v>29</v>
      </c>
      <c r="D565" s="27" t="s">
        <v>30</v>
      </c>
      <c r="E565" s="27">
        <v>16</v>
      </c>
      <c r="F565" s="27">
        <v>869.84</v>
      </c>
      <c r="G565" s="27">
        <v>13917.45</v>
      </c>
      <c r="H565" s="27">
        <v>1.98</v>
      </c>
    </row>
    <row r="566" spans="3:8">
      <c r="C566" s="26" t="s">
        <v>43</v>
      </c>
      <c r="D566" s="27" t="s">
        <v>44</v>
      </c>
      <c r="E566" s="27">
        <v>53</v>
      </c>
      <c r="F566" s="27">
        <v>338.35</v>
      </c>
      <c r="G566" s="27">
        <v>17932.76</v>
      </c>
      <c r="H566" s="27">
        <v>2.55</v>
      </c>
    </row>
    <row r="567" spans="3:8">
      <c r="C567" s="26" t="s">
        <v>63</v>
      </c>
      <c r="D567" s="27" t="s">
        <v>64</v>
      </c>
      <c r="E567" s="27">
        <v>69</v>
      </c>
      <c r="F567" s="27">
        <v>292.54</v>
      </c>
      <c r="G567" s="27">
        <v>20185.41</v>
      </c>
      <c r="H567" s="27">
        <v>2.87</v>
      </c>
    </row>
    <row r="568" spans="3:8">
      <c r="C568" s="26" t="s">
        <v>91</v>
      </c>
      <c r="D568" s="27" t="s">
        <v>92</v>
      </c>
      <c r="E568" s="27">
        <v>84</v>
      </c>
      <c r="F568" s="27">
        <v>246.6</v>
      </c>
      <c r="G568" s="27">
        <v>20714.13</v>
      </c>
      <c r="H568" s="27">
        <v>2.94</v>
      </c>
    </row>
    <row r="569" spans="3:8">
      <c r="C569" s="26" t="s">
        <v>102</v>
      </c>
      <c r="D569" s="27" t="s">
        <v>103</v>
      </c>
      <c r="E569" s="27">
        <v>221</v>
      </c>
      <c r="F569" s="27">
        <v>100.54</v>
      </c>
      <c r="G569" s="27">
        <v>22218.59</v>
      </c>
      <c r="H569" s="27">
        <v>3.16</v>
      </c>
    </row>
    <row r="570" spans="3:8">
      <c r="C570" s="26" t="s">
        <v>116</v>
      </c>
      <c r="D570" s="27" t="s">
        <v>117</v>
      </c>
      <c r="E570" s="27">
        <v>258</v>
      </c>
      <c r="F570" s="27">
        <v>93.43000000000001</v>
      </c>
      <c r="G570" s="27">
        <v>24103.78</v>
      </c>
      <c r="H570" s="27">
        <v>3.42</v>
      </c>
    </row>
    <row r="571" spans="3:8">
      <c r="C571" s="26" t="s">
        <v>127</v>
      </c>
      <c r="D571" s="27" t="s">
        <v>128</v>
      </c>
      <c r="E571" s="27">
        <v>262</v>
      </c>
      <c r="F571" s="27">
        <v>99.13</v>
      </c>
      <c r="G571" s="27">
        <v>25972.78</v>
      </c>
      <c r="H571" s="27">
        <v>3.69</v>
      </c>
    </row>
    <row r="572" spans="3:8">
      <c r="C572" s="26" t="s">
        <v>137</v>
      </c>
      <c r="D572" s="27" t="s">
        <v>138</v>
      </c>
      <c r="E572" s="27">
        <v>267</v>
      </c>
      <c r="F572" s="27">
        <v>101.31</v>
      </c>
      <c r="G572" s="27">
        <v>27049.43</v>
      </c>
      <c r="H572" s="27">
        <v>3.84</v>
      </c>
    </row>
    <row r="573" spans="3:8">
      <c r="C573" s="26" t="s">
        <v>145</v>
      </c>
      <c r="D573" s="27" t="s">
        <v>146</v>
      </c>
      <c r="E573" s="27">
        <v>343</v>
      </c>
      <c r="F573" s="27">
        <v>81.83</v>
      </c>
      <c r="G573" s="27">
        <v>28066.16</v>
      </c>
      <c r="H573" s="27">
        <v>3.99</v>
      </c>
    </row>
    <row r="574" spans="3:8">
      <c r="C574" s="26" t="s">
        <v>153</v>
      </c>
      <c r="D574" s="27" t="s">
        <v>154</v>
      </c>
      <c r="E574" s="27">
        <v>357</v>
      </c>
      <c r="F574" s="27">
        <v>80.95999999999999</v>
      </c>
      <c r="G574" s="27">
        <v>28902.26</v>
      </c>
      <c r="H574" s="27">
        <v>4.1</v>
      </c>
    </row>
    <row r="575" spans="3:8">
      <c r="C575" s="26" t="s">
        <v>162</v>
      </c>
      <c r="D575" s="27" t="s">
        <v>163</v>
      </c>
      <c r="E575" s="27">
        <v>361</v>
      </c>
      <c r="F575" s="27">
        <v>83.31999999999999</v>
      </c>
      <c r="G575" s="27">
        <v>30078.06</v>
      </c>
      <c r="H575" s="27">
        <v>4.27</v>
      </c>
    </row>
    <row r="576" spans="3:8">
      <c r="C576" s="26" t="s">
        <v>172</v>
      </c>
      <c r="D576" s="27" t="s">
        <v>173</v>
      </c>
      <c r="E576" s="27">
        <v>375</v>
      </c>
      <c r="F576" s="27">
        <v>84.95999999999999</v>
      </c>
      <c r="G576" s="27">
        <v>31859.46</v>
      </c>
      <c r="H576" s="27">
        <v>4.52</v>
      </c>
    </row>
    <row r="577" spans="3:8">
      <c r="C577" s="26" t="s">
        <v>180</v>
      </c>
      <c r="D577" s="27" t="s">
        <v>181</v>
      </c>
      <c r="E577" s="27">
        <v>381</v>
      </c>
      <c r="F577" s="27">
        <v>86.41</v>
      </c>
      <c r="G577" s="27">
        <v>32922.2</v>
      </c>
      <c r="H577" s="27">
        <v>4.68</v>
      </c>
    </row>
    <row r="578" spans="3:8">
      <c r="C578" s="26" t="s">
        <v>189</v>
      </c>
      <c r="D578" s="27" t="s">
        <v>190</v>
      </c>
      <c r="E578" s="27">
        <v>386</v>
      </c>
      <c r="F578" s="27">
        <v>87.79000000000001</v>
      </c>
      <c r="G578" s="27">
        <v>33886.85</v>
      </c>
      <c r="H578" s="27">
        <v>4.81</v>
      </c>
    </row>
    <row r="579" spans="3:8">
      <c r="C579" s="26" t="s">
        <v>199</v>
      </c>
      <c r="D579" s="27" t="s">
        <v>200</v>
      </c>
      <c r="E579" s="27">
        <v>392</v>
      </c>
      <c r="F579" s="27">
        <v>90.69</v>
      </c>
      <c r="G579" s="27">
        <v>35550.19</v>
      </c>
      <c r="H579" s="27">
        <v>5.05</v>
      </c>
    </row>
    <row r="580" spans="3:8">
      <c r="C580" s="26" t="s">
        <v>206</v>
      </c>
      <c r="D580" s="27" t="s">
        <v>207</v>
      </c>
      <c r="E580" s="27">
        <v>410</v>
      </c>
      <c r="F580" s="27">
        <v>90.28</v>
      </c>
      <c r="G580" s="27">
        <v>37012.98</v>
      </c>
      <c r="H580" s="27">
        <v>5.26</v>
      </c>
    </row>
    <row r="581" spans="3:8">
      <c r="C581" s="26" t="s">
        <v>217</v>
      </c>
      <c r="D581" s="27" t="s">
        <v>218</v>
      </c>
      <c r="E581" s="27">
        <v>427</v>
      </c>
      <c r="F581" s="27">
        <v>89.90000000000001</v>
      </c>
      <c r="G581" s="27">
        <v>38386.06</v>
      </c>
      <c r="H581" s="27">
        <v>5.45</v>
      </c>
    </row>
    <row r="582" spans="3:8">
      <c r="C582" s="26" t="s">
        <v>228</v>
      </c>
      <c r="D582" s="27" t="s">
        <v>229</v>
      </c>
      <c r="E582" s="27">
        <v>430</v>
      </c>
      <c r="F582" s="27">
        <v>91.26000000000001</v>
      </c>
      <c r="G582" s="27">
        <v>39241.76</v>
      </c>
      <c r="H582" s="27">
        <v>5.57</v>
      </c>
    </row>
    <row r="583" spans="3:8">
      <c r="C583" s="26" t="s">
        <v>238</v>
      </c>
      <c r="D583" s="27" t="s">
        <v>238</v>
      </c>
      <c r="E583" s="27">
        <v>454</v>
      </c>
      <c r="F583" s="27">
        <v>88.84</v>
      </c>
      <c r="G583" s="27">
        <v>40333.76</v>
      </c>
      <c r="H583" s="27">
        <v>5.73</v>
      </c>
    </row>
    <row r="584" spans="3:8">
      <c r="C584" s="26" t="s">
        <v>245</v>
      </c>
      <c r="D584" s="27" t="s">
        <v>246</v>
      </c>
      <c r="E584" s="27">
        <v>464</v>
      </c>
      <c r="F584" s="27">
        <v>90.76000000000001</v>
      </c>
      <c r="G584" s="27">
        <v>42113.64</v>
      </c>
      <c r="H584" s="27">
        <v>5.98</v>
      </c>
    </row>
    <row r="585" spans="3:8">
      <c r="C585" s="26" t="s">
        <v>257</v>
      </c>
      <c r="D585" s="27" t="s">
        <v>258</v>
      </c>
      <c r="E585" s="27">
        <v>479</v>
      </c>
      <c r="F585" s="27">
        <v>91.15000000000001</v>
      </c>
      <c r="G585" s="27">
        <v>43663.07</v>
      </c>
      <c r="H585" s="27">
        <v>6.2</v>
      </c>
    </row>
    <row r="586" spans="3:8">
      <c r="C586" s="26" t="s">
        <v>268</v>
      </c>
      <c r="D586" s="27" t="s">
        <v>269</v>
      </c>
      <c r="E586" s="27">
        <v>489</v>
      </c>
      <c r="F586" s="27">
        <v>115.3</v>
      </c>
      <c r="G586" s="27">
        <v>56380.37</v>
      </c>
      <c r="H586" s="27">
        <v>8.01</v>
      </c>
    </row>
    <row r="587" spans="3:8">
      <c r="G587" s="28">
        <v>704191.96</v>
      </c>
      <c r="H587" s="28">
        <v>100</v>
      </c>
    </row>
  </sheetData>
  <mergeCells count="73">
    <mergeCell ref="J4:L4"/>
    <mergeCell ref="A18:N19"/>
    <mergeCell ref="K24:M24"/>
    <mergeCell ref="K28:M28"/>
    <mergeCell ref="A41:O42"/>
    <mergeCell ref="N50:P50"/>
    <mergeCell ref="N54:P54"/>
    <mergeCell ref="N58:P58"/>
    <mergeCell ref="N62:P62"/>
    <mergeCell ref="N66:P66"/>
    <mergeCell ref="A79:R80"/>
    <mergeCell ref="L86:N86"/>
    <mergeCell ref="L90:N90"/>
    <mergeCell ref="L94:N94"/>
    <mergeCell ref="A107:P108"/>
    <mergeCell ref="J112:L112"/>
    <mergeCell ref="A126:N127"/>
    <mergeCell ref="L133:N133"/>
    <mergeCell ref="L137:N137"/>
    <mergeCell ref="L141:N141"/>
    <mergeCell ref="A154:P155"/>
    <mergeCell ref="M162:O162"/>
    <mergeCell ref="M166:O166"/>
    <mergeCell ref="M170:O170"/>
    <mergeCell ref="M174:O174"/>
    <mergeCell ref="A187:Q188"/>
    <mergeCell ref="L194:N194"/>
    <mergeCell ref="L198:N198"/>
    <mergeCell ref="L202:N202"/>
    <mergeCell ref="A215:P216"/>
    <mergeCell ref="J220:L220"/>
    <mergeCell ref="A234:N235"/>
    <mergeCell ref="J239:L239"/>
    <mergeCell ref="A252:N253"/>
    <mergeCell ref="K258:M258"/>
    <mergeCell ref="K262:M262"/>
    <mergeCell ref="A275:O276"/>
    <mergeCell ref="J280:L280"/>
    <mergeCell ref="A294:N295"/>
    <mergeCell ref="M302:O302"/>
    <mergeCell ref="M306:O306"/>
    <mergeCell ref="M310:O310"/>
    <mergeCell ref="M314:O314"/>
    <mergeCell ref="A327:Q328"/>
    <mergeCell ref="K333:M333"/>
    <mergeCell ref="K337:M337"/>
    <mergeCell ref="A350:O351"/>
    <mergeCell ref="J355:L355"/>
    <mergeCell ref="A369:N370"/>
    <mergeCell ref="K375:M375"/>
    <mergeCell ref="K379:M379"/>
    <mergeCell ref="A392:O393"/>
    <mergeCell ref="L399:N399"/>
    <mergeCell ref="L403:N403"/>
    <mergeCell ref="L407:N407"/>
    <mergeCell ref="A420:P421"/>
    <mergeCell ref="K426:M426"/>
    <mergeCell ref="K430:M430"/>
    <mergeCell ref="A443:O444"/>
    <mergeCell ref="K449:M449"/>
    <mergeCell ref="K453:M453"/>
    <mergeCell ref="A466:O467"/>
    <mergeCell ref="K472:M472"/>
    <mergeCell ref="K476:M476"/>
    <mergeCell ref="A489:O490"/>
    <mergeCell ref="K495:M495"/>
    <mergeCell ref="K499:M499"/>
    <mergeCell ref="A512:O513"/>
    <mergeCell ref="J517:L517"/>
    <mergeCell ref="A532:N533"/>
    <mergeCell ref="J537:L537"/>
    <mergeCell ref="A550:N551"/>
    <mergeCell ref="A559:N5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2023-02-13T18:26:39Z</dcterms:created>
  <dcterms:modified xsi:type="dcterms:W3CDTF">2023-02-13T18:26:39Z</dcterms:modified>
</cp:coreProperties>
</file>