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zas y Contabilidad\Créditos y Cobranzas\REPORTES\Power BI\Internacional\"/>
    </mc:Choice>
  </mc:AlternateContent>
  <xr:revisionPtr revIDLastSave="0" documentId="13_ncr:1_{4B790BF6-B350-4490-A4D7-6AC2DA2CE527}" xr6:coauthVersionLast="47" xr6:coauthVersionMax="47" xr10:uidLastSave="{00000000-0000-0000-0000-000000000000}"/>
  <bookViews>
    <workbookView xWindow="-120" yWindow="-120" windowWidth="20730" windowHeight="11160" xr2:uid="{B5B75672-2A02-4A7C-B448-C2F7483E23B5}"/>
  </bookViews>
  <sheets>
    <sheet name="CXC IN" sheetId="2" r:id="rId1"/>
    <sheet name="leyenda" sheetId="5" r:id="rId2"/>
  </sheets>
  <definedNames>
    <definedName name="_xlnm._FilterDatabase" localSheetId="0" hidden="1">'CXC IN'!$F$120:$F$121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4" i="2" l="1"/>
  <c r="L94" i="2" s="1"/>
  <c r="U94" i="2" s="1" a="1"/>
  <c r="U94" i="2" s="1"/>
  <c r="N94" i="2"/>
  <c r="K94" i="2"/>
  <c r="M94" i="2" s="1"/>
  <c r="Q94" i="2" l="1"/>
  <c r="R94" i="2" s="1"/>
  <c r="A8" i="5" l="1"/>
  <c r="P3" i="2"/>
  <c r="P113" i="2" l="1"/>
  <c r="P112" i="2"/>
  <c r="L113" i="2" l="1"/>
  <c r="U113" i="2" s="1" a="1"/>
  <c r="U113" i="2" s="1"/>
  <c r="L112" i="2"/>
  <c r="Q113" i="2" l="1"/>
  <c r="R113" i="2" s="1"/>
  <c r="U112" i="2" a="1"/>
  <c r="U112" i="2" s="1"/>
  <c r="Q112" i="2"/>
  <c r="R112" i="2" s="1"/>
  <c r="I107" i="2" l="1"/>
  <c r="I106" i="2"/>
  <c r="P108" i="2"/>
  <c r="L108" i="2" s="1"/>
  <c r="K108" i="2"/>
  <c r="M108" i="2" s="1"/>
  <c r="P107" i="2"/>
  <c r="K107" i="2"/>
  <c r="M107" i="2" s="1"/>
  <c r="P106" i="2"/>
  <c r="K106" i="2"/>
  <c r="M106" i="2" s="1"/>
  <c r="P79" i="2"/>
  <c r="L79" i="2" s="1"/>
  <c r="U79" i="2" s="1" a="1"/>
  <c r="U79" i="2" s="1"/>
  <c r="K79" i="2"/>
  <c r="M79" i="2" s="1"/>
  <c r="P78" i="2"/>
  <c r="L78" i="2" s="1"/>
  <c r="K78" i="2"/>
  <c r="M78" i="2" s="1"/>
  <c r="P70" i="2"/>
  <c r="L70" i="2" s="1"/>
  <c r="U70" i="2" s="1" a="1"/>
  <c r="U70" i="2" s="1"/>
  <c r="K70" i="2"/>
  <c r="M70" i="2" s="1"/>
  <c r="P38" i="2"/>
  <c r="L38" i="2" s="1"/>
  <c r="K38" i="2"/>
  <c r="M38" i="2" s="1"/>
  <c r="I20" i="2"/>
  <c r="P20" i="2"/>
  <c r="K20" i="2"/>
  <c r="M20" i="2" s="1"/>
  <c r="P59" i="2"/>
  <c r="L59" i="2" s="1"/>
  <c r="L106" i="2" l="1"/>
  <c r="U106" i="2" s="1" a="1"/>
  <c r="U106" i="2" s="1"/>
  <c r="L107" i="2"/>
  <c r="U107" i="2" s="1" a="1"/>
  <c r="U107" i="2" s="1"/>
  <c r="Q108" i="2"/>
  <c r="R108" i="2" s="1"/>
  <c r="U108" i="2" a="1"/>
  <c r="U108" i="2" s="1"/>
  <c r="Q79" i="2"/>
  <c r="R79" i="2" s="1"/>
  <c r="U78" i="2" a="1"/>
  <c r="U78" i="2" s="1"/>
  <c r="Q78" i="2"/>
  <c r="R78" i="2" s="1"/>
  <c r="Q70" i="2"/>
  <c r="R70" i="2" s="1"/>
  <c r="U38" i="2" a="1"/>
  <c r="U38" i="2" s="1"/>
  <c r="Q38" i="2"/>
  <c r="R38" i="2" s="1"/>
  <c r="L20" i="2"/>
  <c r="Q59" i="2"/>
  <c r="R59" i="2" s="1"/>
  <c r="U59" i="2" a="1"/>
  <c r="U59" i="2" s="1"/>
  <c r="Q106" i="2" l="1"/>
  <c r="R106" i="2" s="1"/>
  <c r="Q107" i="2"/>
  <c r="R107" i="2" s="1"/>
  <c r="U20" i="2" a="1"/>
  <c r="U20" i="2" s="1"/>
  <c r="Q20" i="2"/>
  <c r="R20" i="2" s="1"/>
  <c r="P21" i="2" l="1"/>
  <c r="I18" i="2"/>
  <c r="P18" i="2"/>
  <c r="L18" i="2" l="1"/>
  <c r="U18" i="2" s="1" a="1"/>
  <c r="U18" i="2" s="1"/>
  <c r="Q18" i="2" l="1"/>
  <c r="R18" i="2" s="1"/>
  <c r="I71" i="2" l="1"/>
  <c r="P105" i="2"/>
  <c r="L105" i="2" s="1"/>
  <c r="U105" i="2" s="1" a="1"/>
  <c r="U105" i="2" s="1"/>
  <c r="K105" i="2"/>
  <c r="M105" i="2" s="1"/>
  <c r="I36" i="2"/>
  <c r="P36" i="2"/>
  <c r="P74" i="2"/>
  <c r="L74" i="2" s="1"/>
  <c r="I72" i="2"/>
  <c r="P72" i="2"/>
  <c r="I64" i="2"/>
  <c r="P64" i="2"/>
  <c r="I60" i="2"/>
  <c r="P60" i="2"/>
  <c r="I17" i="2"/>
  <c r="P7" i="2"/>
  <c r="K7" i="2"/>
  <c r="M7" i="2" s="1"/>
  <c r="I7" i="2"/>
  <c r="P17" i="2"/>
  <c r="K17" i="2"/>
  <c r="M17" i="2" s="1"/>
  <c r="L36" i="2" l="1"/>
  <c r="U36" i="2" s="1" a="1"/>
  <c r="U36" i="2" s="1"/>
  <c r="Q105" i="2"/>
  <c r="R105" i="2" s="1"/>
  <c r="L64" i="2"/>
  <c r="U64" i="2" s="1" a="1"/>
  <c r="U64" i="2" s="1"/>
  <c r="U74" i="2" a="1"/>
  <c r="U74" i="2" s="1"/>
  <c r="Q74" i="2"/>
  <c r="R74" i="2" s="1"/>
  <c r="L72" i="2"/>
  <c r="L60" i="2"/>
  <c r="U60" i="2" s="1" a="1"/>
  <c r="U60" i="2" s="1"/>
  <c r="L17" i="2"/>
  <c r="U17" i="2" s="1" a="1"/>
  <c r="U17" i="2" s="1"/>
  <c r="L7" i="2"/>
  <c r="Q36" i="2" l="1"/>
  <c r="R36" i="2" s="1"/>
  <c r="Q64" i="2"/>
  <c r="R64" i="2" s="1"/>
  <c r="U72" i="2" a="1"/>
  <c r="U72" i="2" s="1"/>
  <c r="Q72" i="2"/>
  <c r="R72" i="2" s="1"/>
  <c r="Q60" i="2"/>
  <c r="R60" i="2" s="1"/>
  <c r="Q17" i="2"/>
  <c r="R17" i="2" s="1"/>
  <c r="U7" i="2" a="1"/>
  <c r="U7" i="2" s="1"/>
  <c r="Q7" i="2"/>
  <c r="R7" i="2" s="1"/>
  <c r="P104" i="2" l="1"/>
  <c r="L104" i="2" s="1"/>
  <c r="K104" i="2"/>
  <c r="M104" i="2" s="1"/>
  <c r="U104" i="2" l="1" a="1"/>
  <c r="U104" i="2" s="1"/>
  <c r="Q104" i="2"/>
  <c r="R104" i="2" s="1"/>
  <c r="P103" i="2" l="1"/>
  <c r="L103" i="2" s="1"/>
  <c r="K103" i="2"/>
  <c r="M103" i="2" s="1"/>
  <c r="P102" i="2"/>
  <c r="L102" i="2" s="1"/>
  <c r="K102" i="2"/>
  <c r="M102" i="2" s="1"/>
  <c r="U103" i="2" l="1" a="1"/>
  <c r="U103" i="2" s="1"/>
  <c r="Q103" i="2"/>
  <c r="R103" i="2" s="1"/>
  <c r="U102" i="2" a="1"/>
  <c r="U102" i="2" s="1"/>
  <c r="Q102" i="2"/>
  <c r="R102" i="2" s="1"/>
  <c r="K4" i="2" l="1"/>
  <c r="M4" i="2" s="1"/>
  <c r="K9" i="2"/>
  <c r="M9" i="2" s="1"/>
  <c r="K10" i="2"/>
  <c r="M10" i="2" s="1"/>
  <c r="K11" i="2"/>
  <c r="M11" i="2" s="1"/>
  <c r="K12" i="2"/>
  <c r="M12" i="2" s="1"/>
  <c r="K5" i="2"/>
  <c r="M5" i="2" s="1"/>
  <c r="K6" i="2"/>
  <c r="M6" i="2" s="1"/>
  <c r="K13" i="2"/>
  <c r="M13" i="2" s="1"/>
  <c r="K14" i="2"/>
  <c r="M14" i="2" s="1"/>
  <c r="K19" i="2"/>
  <c r="M19" i="2" s="1"/>
  <c r="K15" i="2"/>
  <c r="M15" i="2" s="1"/>
  <c r="K8" i="2"/>
  <c r="M8" i="2" s="1"/>
  <c r="K16" i="2"/>
  <c r="M16" i="2" s="1"/>
  <c r="K21" i="2"/>
  <c r="M21" i="2" s="1"/>
  <c r="K22" i="2"/>
  <c r="M22" i="2" s="1"/>
  <c r="K23" i="2"/>
  <c r="M23" i="2" s="1"/>
  <c r="K24" i="2"/>
  <c r="M24" i="2" s="1"/>
  <c r="K25" i="2"/>
  <c r="M25" i="2" s="1"/>
  <c r="K26" i="2"/>
  <c r="M26" i="2" s="1"/>
  <c r="K27" i="2"/>
  <c r="M27" i="2" s="1"/>
  <c r="K28" i="2"/>
  <c r="M28" i="2" s="1"/>
  <c r="K29" i="2"/>
  <c r="M29" i="2" s="1"/>
  <c r="K30" i="2"/>
  <c r="M30" i="2" s="1"/>
  <c r="K31" i="2"/>
  <c r="M31" i="2" s="1"/>
  <c r="K34" i="2"/>
  <c r="M34" i="2" s="1"/>
  <c r="K35" i="2"/>
  <c r="M35" i="2" s="1"/>
  <c r="K37" i="2"/>
  <c r="M37" i="2" s="1"/>
  <c r="K41" i="2"/>
  <c r="M41" i="2" s="1"/>
  <c r="K57" i="2"/>
  <c r="M57" i="2" s="1"/>
  <c r="K58" i="2"/>
  <c r="M58" i="2" s="1"/>
  <c r="K61" i="2"/>
  <c r="M61" i="2" s="1"/>
  <c r="K62" i="2"/>
  <c r="M62" i="2" s="1"/>
  <c r="K63" i="2"/>
  <c r="M63" i="2" s="1"/>
  <c r="K65" i="2"/>
  <c r="M65" i="2" s="1"/>
  <c r="K66" i="2"/>
  <c r="M66" i="2" s="1"/>
  <c r="K67" i="2"/>
  <c r="M67" i="2" s="1"/>
  <c r="K68" i="2"/>
  <c r="M68" i="2" s="1"/>
  <c r="K69" i="2"/>
  <c r="M69" i="2" s="1"/>
  <c r="K73" i="2"/>
  <c r="M73" i="2" s="1"/>
  <c r="K75" i="2"/>
  <c r="M75" i="2" s="1"/>
  <c r="K76" i="2"/>
  <c r="M76" i="2" s="1"/>
  <c r="K77" i="2"/>
  <c r="M77" i="2" s="1"/>
  <c r="K81" i="2"/>
  <c r="M81" i="2" s="1"/>
  <c r="K82" i="2"/>
  <c r="M82" i="2" s="1"/>
  <c r="K83" i="2"/>
  <c r="M83" i="2" s="1"/>
  <c r="K84" i="2"/>
  <c r="M84" i="2" s="1"/>
  <c r="K86" i="2"/>
  <c r="M86" i="2" s="1"/>
  <c r="K88" i="2"/>
  <c r="M88" i="2" s="1"/>
  <c r="K89" i="2"/>
  <c r="M89" i="2" s="1"/>
  <c r="K87" i="2"/>
  <c r="M87" i="2" s="1"/>
  <c r="K93" i="2"/>
  <c r="M93" i="2" s="1"/>
  <c r="K95" i="2"/>
  <c r="M95" i="2" s="1"/>
  <c r="K96" i="2"/>
  <c r="M96" i="2" s="1"/>
  <c r="K98" i="2"/>
  <c r="M98" i="2" s="1"/>
  <c r="K99" i="2"/>
  <c r="M99" i="2" s="1"/>
  <c r="K100" i="2"/>
  <c r="M100" i="2" s="1"/>
  <c r="K101" i="2"/>
  <c r="M101" i="2" s="1"/>
  <c r="K114" i="2"/>
  <c r="M114" i="2" s="1"/>
  <c r="K115" i="2"/>
  <c r="M115" i="2" s="1"/>
  <c r="K116" i="2"/>
  <c r="M116" i="2" s="1"/>
  <c r="K117" i="2"/>
  <c r="M117" i="2" s="1"/>
  <c r="K2" i="2"/>
  <c r="M2" i="2" s="1"/>
  <c r="P118" i="2"/>
  <c r="I118" i="2"/>
  <c r="P117" i="2"/>
  <c r="L117" i="2" s="1"/>
  <c r="U117" i="2" s="1" a="1"/>
  <c r="U117" i="2" s="1"/>
  <c r="P116" i="2"/>
  <c r="L116" i="2" s="1"/>
  <c r="Q116" i="2" s="1"/>
  <c r="R116" i="2" s="1"/>
  <c r="P115" i="2"/>
  <c r="L115" i="2" s="1"/>
  <c r="Q115" i="2" s="1"/>
  <c r="R115" i="2" s="1"/>
  <c r="P114" i="2"/>
  <c r="L114" i="2" s="1"/>
  <c r="P111" i="2"/>
  <c r="I111" i="2"/>
  <c r="P110" i="2"/>
  <c r="I110" i="2"/>
  <c r="P109" i="2"/>
  <c r="I109" i="2"/>
  <c r="P101" i="2"/>
  <c r="L101" i="2" s="1"/>
  <c r="P100" i="2"/>
  <c r="L100" i="2" s="1"/>
  <c r="P99" i="2"/>
  <c r="L99" i="2" s="1"/>
  <c r="U99" i="2" s="1" a="1"/>
  <c r="U99" i="2" s="1"/>
  <c r="P98" i="2"/>
  <c r="L98" i="2" s="1"/>
  <c r="Q98" i="2" s="1"/>
  <c r="R98" i="2" s="1"/>
  <c r="P97" i="2"/>
  <c r="P96" i="2"/>
  <c r="L96" i="2" s="1"/>
  <c r="Q96" i="2" s="1"/>
  <c r="R96" i="2" s="1"/>
  <c r="P95" i="2"/>
  <c r="L95" i="2" s="1"/>
  <c r="Q95" i="2" s="1"/>
  <c r="R95" i="2" s="1"/>
  <c r="P93" i="2"/>
  <c r="L93" i="2" s="1"/>
  <c r="P92" i="2"/>
  <c r="I92" i="2"/>
  <c r="P91" i="2"/>
  <c r="I91" i="2"/>
  <c r="P90" i="2"/>
  <c r="I90" i="2"/>
  <c r="P87" i="2"/>
  <c r="L87" i="2" s="1"/>
  <c r="P89" i="2"/>
  <c r="L89" i="2" s="1"/>
  <c r="U89" i="2" s="1" a="1"/>
  <c r="U89" i="2" s="1"/>
  <c r="P88" i="2"/>
  <c r="L88" i="2" s="1"/>
  <c r="U88" i="2" s="1" a="1"/>
  <c r="U88" i="2" s="1"/>
  <c r="P86" i="2"/>
  <c r="L86" i="2" s="1"/>
  <c r="Q86" i="2" s="1"/>
  <c r="R86" i="2" s="1"/>
  <c r="P85" i="2"/>
  <c r="I85" i="2"/>
  <c r="P84" i="2"/>
  <c r="L84" i="2" s="1"/>
  <c r="U84" i="2" s="1" a="1"/>
  <c r="U84" i="2" s="1"/>
  <c r="P83" i="2"/>
  <c r="L83" i="2" s="1"/>
  <c r="U83" i="2" s="1" a="1"/>
  <c r="U83" i="2" s="1"/>
  <c r="P82" i="2"/>
  <c r="L82" i="2" s="1"/>
  <c r="U82" i="2" s="1" a="1"/>
  <c r="U82" i="2" s="1"/>
  <c r="P81" i="2"/>
  <c r="L81" i="2" s="1"/>
  <c r="Q81" i="2" s="1"/>
  <c r="R81" i="2" s="1"/>
  <c r="P80" i="2"/>
  <c r="I80" i="2"/>
  <c r="P77" i="2"/>
  <c r="L77" i="2" s="1"/>
  <c r="Q77" i="2" s="1"/>
  <c r="R77" i="2" s="1"/>
  <c r="P76" i="2"/>
  <c r="L76" i="2" s="1"/>
  <c r="P75" i="2"/>
  <c r="I75" i="2"/>
  <c r="P73" i="2"/>
  <c r="L73" i="2" s="1"/>
  <c r="P71" i="2"/>
  <c r="P69" i="2"/>
  <c r="L69" i="2" s="1"/>
  <c r="P68" i="2"/>
  <c r="L68" i="2" s="1"/>
  <c r="Q68" i="2" s="1"/>
  <c r="R68" i="2" s="1"/>
  <c r="P67" i="2"/>
  <c r="L67" i="2" s="1"/>
  <c r="P66" i="2"/>
  <c r="L66" i="2" s="1"/>
  <c r="Q66" i="2" s="1"/>
  <c r="R66" i="2" s="1"/>
  <c r="P65" i="2"/>
  <c r="L65" i="2" s="1"/>
  <c r="U65" i="2" s="1" a="1"/>
  <c r="U65" i="2" s="1"/>
  <c r="P63" i="2"/>
  <c r="L63" i="2" s="1"/>
  <c r="U63" i="2" s="1" a="1"/>
  <c r="U63" i="2" s="1"/>
  <c r="P62" i="2"/>
  <c r="L62" i="2" s="1"/>
  <c r="Q62" i="2" s="1"/>
  <c r="R62" i="2" s="1"/>
  <c r="P61" i="2"/>
  <c r="L61" i="2" s="1"/>
  <c r="Q61" i="2" s="1"/>
  <c r="R61" i="2" s="1"/>
  <c r="P58" i="2"/>
  <c r="L58" i="2" s="1"/>
  <c r="Q58" i="2" s="1"/>
  <c r="R58" i="2" s="1"/>
  <c r="P57" i="2"/>
  <c r="L57" i="2" s="1"/>
  <c r="P56" i="2"/>
  <c r="I56" i="2"/>
  <c r="P55" i="2"/>
  <c r="I55" i="2"/>
  <c r="P54" i="2"/>
  <c r="I54" i="2"/>
  <c r="P53" i="2"/>
  <c r="I53" i="2"/>
  <c r="P52" i="2"/>
  <c r="I52" i="2"/>
  <c r="P51" i="2"/>
  <c r="I51" i="2"/>
  <c r="P50" i="2"/>
  <c r="I50" i="2"/>
  <c r="P49" i="2"/>
  <c r="I49" i="2"/>
  <c r="P48" i="2"/>
  <c r="I48" i="2"/>
  <c r="P47" i="2"/>
  <c r="I47" i="2"/>
  <c r="P46" i="2"/>
  <c r="I46" i="2"/>
  <c r="P45" i="2"/>
  <c r="I45" i="2"/>
  <c r="P44" i="2"/>
  <c r="I44" i="2"/>
  <c r="P43" i="2"/>
  <c r="I43" i="2"/>
  <c r="P42" i="2"/>
  <c r="I42" i="2"/>
  <c r="P41" i="2"/>
  <c r="L41" i="2" s="1"/>
  <c r="P40" i="2"/>
  <c r="I40" i="2"/>
  <c r="P39" i="2"/>
  <c r="I39" i="2"/>
  <c r="P37" i="2"/>
  <c r="L37" i="2" s="1"/>
  <c r="Q37" i="2" s="1"/>
  <c r="R37" i="2" s="1"/>
  <c r="P35" i="2"/>
  <c r="L35" i="2" s="1"/>
  <c r="P34" i="2"/>
  <c r="L34" i="2" s="1"/>
  <c r="P33" i="2"/>
  <c r="I33" i="2"/>
  <c r="P32" i="2"/>
  <c r="I32" i="2"/>
  <c r="P31" i="2"/>
  <c r="L31" i="2" s="1"/>
  <c r="Q31" i="2" s="1"/>
  <c r="R31" i="2" s="1"/>
  <c r="P30" i="2"/>
  <c r="L30" i="2" s="1"/>
  <c r="Q30" i="2" s="1"/>
  <c r="R30" i="2" s="1"/>
  <c r="P29" i="2"/>
  <c r="L29" i="2" s="1"/>
  <c r="Q29" i="2" s="1"/>
  <c r="R29" i="2" s="1"/>
  <c r="P28" i="2"/>
  <c r="L28" i="2" s="1"/>
  <c r="P27" i="2"/>
  <c r="L27" i="2" s="1"/>
  <c r="P26" i="2"/>
  <c r="L26" i="2" s="1"/>
  <c r="P25" i="2"/>
  <c r="L25" i="2" s="1"/>
  <c r="U25" i="2" s="1" a="1"/>
  <c r="U25" i="2" s="1"/>
  <c r="P24" i="2"/>
  <c r="L24" i="2" s="1"/>
  <c r="Q24" i="2" s="1"/>
  <c r="R24" i="2" s="1"/>
  <c r="P23" i="2"/>
  <c r="L23" i="2" s="1"/>
  <c r="Q23" i="2" s="1"/>
  <c r="R23" i="2" s="1"/>
  <c r="P22" i="2"/>
  <c r="L22" i="2" s="1"/>
  <c r="Q22" i="2" s="1"/>
  <c r="R22" i="2" s="1"/>
  <c r="L21" i="2"/>
  <c r="Q21" i="2" s="1"/>
  <c r="R21" i="2" s="1"/>
  <c r="P16" i="2"/>
  <c r="I16" i="2"/>
  <c r="P8" i="2"/>
  <c r="I8" i="2"/>
  <c r="P15" i="2"/>
  <c r="I15" i="2"/>
  <c r="P19" i="2"/>
  <c r="I19" i="2"/>
  <c r="P14" i="2"/>
  <c r="I14" i="2"/>
  <c r="P13" i="2"/>
  <c r="I13" i="2"/>
  <c r="P6" i="2"/>
  <c r="I6" i="2"/>
  <c r="P5" i="2"/>
  <c r="I5" i="2"/>
  <c r="P12" i="2"/>
  <c r="I12" i="2"/>
  <c r="P11" i="2"/>
  <c r="I11" i="2"/>
  <c r="P10" i="2"/>
  <c r="I10" i="2"/>
  <c r="P9" i="2"/>
  <c r="I9" i="2"/>
  <c r="P4" i="2"/>
  <c r="L4" i="2" s="1"/>
  <c r="U4" i="2" s="1" a="1"/>
  <c r="U4" i="2" s="1"/>
  <c r="I3" i="2"/>
  <c r="P2" i="2"/>
  <c r="L2" i="2" s="1"/>
  <c r="N113" i="2" l="1"/>
  <c r="K113" i="2" s="1"/>
  <c r="M113" i="2" s="1"/>
  <c r="N112" i="2"/>
  <c r="K112" i="2" s="1"/>
  <c r="M112" i="2" s="1"/>
  <c r="N106" i="2"/>
  <c r="N108" i="2"/>
  <c r="N107" i="2"/>
  <c r="N78" i="2"/>
  <c r="N79" i="2"/>
  <c r="N70" i="2"/>
  <c r="N38" i="2"/>
  <c r="N20" i="2"/>
  <c r="N59" i="2"/>
  <c r="K59" i="2" s="1"/>
  <c r="M59" i="2" s="1"/>
  <c r="N18" i="2"/>
  <c r="K18" i="2" s="1"/>
  <c r="M18" i="2" s="1"/>
  <c r="N105" i="2"/>
  <c r="N36" i="2"/>
  <c r="K36" i="2" s="1"/>
  <c r="M36" i="2" s="1"/>
  <c r="N74" i="2"/>
  <c r="K74" i="2" s="1"/>
  <c r="M74" i="2" s="1"/>
  <c r="N72" i="2"/>
  <c r="K72" i="2" s="1"/>
  <c r="M72" i="2" s="1"/>
  <c r="N64" i="2"/>
  <c r="K64" i="2" s="1"/>
  <c r="M64" i="2" s="1"/>
  <c r="N60" i="2"/>
  <c r="K60" i="2" s="1"/>
  <c r="M60" i="2" s="1"/>
  <c r="N17" i="2"/>
  <c r="N7" i="2"/>
  <c r="N104" i="2"/>
  <c r="N102" i="2"/>
  <c r="N103" i="2"/>
  <c r="N118" i="2"/>
  <c r="K118" i="2" s="1"/>
  <c r="M118" i="2" s="1"/>
  <c r="N8" i="2"/>
  <c r="N6" i="2"/>
  <c r="N47" i="2"/>
  <c r="K47" i="2" s="1"/>
  <c r="M47" i="2" s="1"/>
  <c r="N55" i="2"/>
  <c r="K55" i="2" s="1"/>
  <c r="M55" i="2" s="1"/>
  <c r="N3" i="2"/>
  <c r="K3" i="2" s="1"/>
  <c r="M3" i="2" s="1"/>
  <c r="N11" i="2"/>
  <c r="N19" i="2"/>
  <c r="N9" i="2"/>
  <c r="N44" i="2"/>
  <c r="K44" i="2" s="1"/>
  <c r="M44" i="2" s="1"/>
  <c r="N52" i="2"/>
  <c r="K52" i="2" s="1"/>
  <c r="M52" i="2" s="1"/>
  <c r="N71" i="2"/>
  <c r="K71" i="2" s="1"/>
  <c r="M71" i="2" s="1"/>
  <c r="N109" i="2"/>
  <c r="K109" i="2" s="1"/>
  <c r="M109" i="2" s="1"/>
  <c r="N76" i="2"/>
  <c r="N66" i="2"/>
  <c r="N42" i="2"/>
  <c r="K42" i="2" s="1"/>
  <c r="M42" i="2" s="1"/>
  <c r="N50" i="2"/>
  <c r="K50" i="2" s="1"/>
  <c r="M50" i="2" s="1"/>
  <c r="N41" i="2"/>
  <c r="N33" i="2"/>
  <c r="K33" i="2" s="1"/>
  <c r="M33" i="2" s="1"/>
  <c r="N45" i="2"/>
  <c r="K45" i="2" s="1"/>
  <c r="M45" i="2" s="1"/>
  <c r="N53" i="2"/>
  <c r="K53" i="2" s="1"/>
  <c r="M53" i="2" s="1"/>
  <c r="N85" i="2"/>
  <c r="K85" i="2" s="1"/>
  <c r="M85" i="2" s="1"/>
  <c r="N91" i="2"/>
  <c r="K91" i="2" s="1"/>
  <c r="M91" i="2" s="1"/>
  <c r="N110" i="2"/>
  <c r="K110" i="2" s="1"/>
  <c r="M110" i="2" s="1"/>
  <c r="N32" i="2"/>
  <c r="K32" i="2" s="1"/>
  <c r="M32" i="2" s="1"/>
  <c r="N12" i="2"/>
  <c r="N15" i="2"/>
  <c r="N39" i="2"/>
  <c r="K39" i="2" s="1"/>
  <c r="M39" i="2" s="1"/>
  <c r="N48" i="2"/>
  <c r="K48" i="2" s="1"/>
  <c r="M48" i="2" s="1"/>
  <c r="N56" i="2"/>
  <c r="K56" i="2" s="1"/>
  <c r="M56" i="2" s="1"/>
  <c r="N114" i="2"/>
  <c r="N24" i="2"/>
  <c r="N13" i="2"/>
  <c r="N5" i="2"/>
  <c r="N43" i="2"/>
  <c r="K43" i="2" s="1"/>
  <c r="M43" i="2" s="1"/>
  <c r="N51" i="2"/>
  <c r="K51" i="2" s="1"/>
  <c r="M51" i="2" s="1"/>
  <c r="N98" i="2"/>
  <c r="N16" i="2"/>
  <c r="N10" i="2"/>
  <c r="N14" i="2"/>
  <c r="N46" i="2"/>
  <c r="K46" i="2" s="1"/>
  <c r="M46" i="2" s="1"/>
  <c r="N54" i="2"/>
  <c r="K54" i="2" s="1"/>
  <c r="M54" i="2" s="1"/>
  <c r="N80" i="2"/>
  <c r="K80" i="2" s="1"/>
  <c r="M80" i="2" s="1"/>
  <c r="N97" i="2"/>
  <c r="K97" i="2" s="1"/>
  <c r="M97" i="2" s="1"/>
  <c r="N111" i="2"/>
  <c r="K111" i="2" s="1"/>
  <c r="M111" i="2" s="1"/>
  <c r="N40" i="2"/>
  <c r="K40" i="2" s="1"/>
  <c r="M40" i="2" s="1"/>
  <c r="N49" i="2"/>
  <c r="K49" i="2" s="1"/>
  <c r="M49" i="2" s="1"/>
  <c r="N75" i="2"/>
  <c r="N90" i="2"/>
  <c r="K90" i="2" s="1"/>
  <c r="M90" i="2" s="1"/>
  <c r="N92" i="2"/>
  <c r="K92" i="2" s="1"/>
  <c r="M92" i="2" s="1"/>
  <c r="N86" i="2"/>
  <c r="N2" i="2"/>
  <c r="L71" i="2"/>
  <c r="U71" i="2" s="1" a="1"/>
  <c r="U71" i="2" s="1"/>
  <c r="N65" i="2"/>
  <c r="N31" i="2"/>
  <c r="N23" i="2"/>
  <c r="N84" i="2"/>
  <c r="N63" i="2"/>
  <c r="N30" i="2"/>
  <c r="N96" i="2"/>
  <c r="N83" i="2"/>
  <c r="N73" i="2"/>
  <c r="N62" i="2"/>
  <c r="N29" i="2"/>
  <c r="N95" i="2"/>
  <c r="N82" i="2"/>
  <c r="N61" i="2"/>
  <c r="N37" i="2"/>
  <c r="N28" i="2"/>
  <c r="N22" i="2"/>
  <c r="N117" i="2"/>
  <c r="N101" i="2"/>
  <c r="N93" i="2"/>
  <c r="N87" i="2"/>
  <c r="N81" i="2"/>
  <c r="N69" i="2"/>
  <c r="N58" i="2"/>
  <c r="N35" i="2"/>
  <c r="N27" i="2"/>
  <c r="N21" i="2"/>
  <c r="N116" i="2"/>
  <c r="N100" i="2"/>
  <c r="N89" i="2"/>
  <c r="N68" i="2"/>
  <c r="N57" i="2"/>
  <c r="N34" i="2"/>
  <c r="N26" i="2"/>
  <c r="N4" i="2"/>
  <c r="N115" i="2"/>
  <c r="N99" i="2"/>
  <c r="N88" i="2"/>
  <c r="N77" i="2"/>
  <c r="N67" i="2"/>
  <c r="N25" i="2"/>
  <c r="L9" i="2"/>
  <c r="U9" i="2" s="1" a="1"/>
  <c r="U9" i="2" s="1"/>
  <c r="L43" i="2"/>
  <c r="Q43" i="2" s="1"/>
  <c r="R43" i="2" s="1"/>
  <c r="L55" i="2"/>
  <c r="U55" i="2" s="1" a="1"/>
  <c r="U55" i="2" s="1"/>
  <c r="L33" i="2"/>
  <c r="Q33" i="2" s="1"/>
  <c r="R33" i="2" s="1"/>
  <c r="L85" i="2"/>
  <c r="U85" i="2" s="1" a="1"/>
  <c r="U85" i="2" s="1"/>
  <c r="L40" i="2"/>
  <c r="U40" i="2" s="1" a="1"/>
  <c r="U40" i="2" s="1"/>
  <c r="L51" i="2"/>
  <c r="U51" i="2" s="1" a="1"/>
  <c r="U51" i="2" s="1"/>
  <c r="L111" i="2"/>
  <c r="U111" i="2" s="1" a="1"/>
  <c r="U111" i="2" s="1"/>
  <c r="L47" i="2"/>
  <c r="Q47" i="2" s="1"/>
  <c r="R47" i="2" s="1"/>
  <c r="L75" i="2"/>
  <c r="U75" i="2" s="1" a="1"/>
  <c r="U75" i="2" s="1"/>
  <c r="L80" i="2"/>
  <c r="Q80" i="2" s="1"/>
  <c r="R80" i="2" s="1"/>
  <c r="L118" i="2"/>
  <c r="U118" i="2" s="1" a="1"/>
  <c r="U118" i="2" s="1"/>
  <c r="L91" i="2"/>
  <c r="Q91" i="2" s="1"/>
  <c r="R91" i="2" s="1"/>
  <c r="L42" i="2"/>
  <c r="U42" i="2" s="1" a="1"/>
  <c r="U42" i="2" s="1"/>
  <c r="L52" i="2"/>
  <c r="U52" i="2" s="1" a="1"/>
  <c r="U52" i="2" s="1"/>
  <c r="U96" i="2" a="1"/>
  <c r="U96" i="2" s="1"/>
  <c r="L50" i="2"/>
  <c r="U50" i="2" s="1" a="1"/>
  <c r="U50" i="2" s="1"/>
  <c r="L12" i="2"/>
  <c r="U12" i="2" s="1" a="1"/>
  <c r="U12" i="2" s="1"/>
  <c r="Q89" i="2"/>
  <c r="R89" i="2" s="1"/>
  <c r="L46" i="2"/>
  <c r="U46" i="2" s="1" a="1"/>
  <c r="U46" i="2" s="1"/>
  <c r="L54" i="2"/>
  <c r="U54" i="2" s="1" a="1"/>
  <c r="U54" i="2" s="1"/>
  <c r="L6" i="2"/>
  <c r="Q6" i="2" s="1"/>
  <c r="R6" i="2" s="1"/>
  <c r="L3" i="2"/>
  <c r="U3" i="2" s="1" a="1"/>
  <c r="U3" i="2" s="1"/>
  <c r="L13" i="2"/>
  <c r="Q13" i="2" s="1"/>
  <c r="R13" i="2" s="1"/>
  <c r="L19" i="2"/>
  <c r="Q19" i="2" s="1"/>
  <c r="R19" i="2" s="1"/>
  <c r="L8" i="2"/>
  <c r="U8" i="2" s="1" a="1"/>
  <c r="U8" i="2" s="1"/>
  <c r="L48" i="2"/>
  <c r="Q48" i="2" s="1"/>
  <c r="R48" i="2" s="1"/>
  <c r="U62" i="2" a="1"/>
  <c r="U62" i="2" s="1"/>
  <c r="Q35" i="2"/>
  <c r="R35" i="2" s="1"/>
  <c r="U35" i="2" a="1"/>
  <c r="U35" i="2" s="1"/>
  <c r="Q69" i="2"/>
  <c r="R69" i="2" s="1"/>
  <c r="U69" i="2" a="1"/>
  <c r="U69" i="2" s="1"/>
  <c r="U28" i="2" a="1"/>
  <c r="U28" i="2" s="1"/>
  <c r="Q28" i="2"/>
  <c r="R28" i="2" s="1"/>
  <c r="Q67" i="2"/>
  <c r="R67" i="2" s="1"/>
  <c r="U67" i="2" a="1"/>
  <c r="U67" i="2" s="1"/>
  <c r="U61" i="2" a="1"/>
  <c r="U61" i="2" s="1"/>
  <c r="Q25" i="2"/>
  <c r="R25" i="2" s="1"/>
  <c r="Q4" i="2"/>
  <c r="R4" i="2" s="1"/>
  <c r="L32" i="2"/>
  <c r="U32" i="2" s="1" a="1"/>
  <c r="U32" i="2" s="1"/>
  <c r="U95" i="2" a="1"/>
  <c r="U95" i="2" s="1"/>
  <c r="L44" i="2"/>
  <c r="U44" i="2" s="1" a="1"/>
  <c r="U44" i="2" s="1"/>
  <c r="U66" i="2" a="1"/>
  <c r="U66" i="2" s="1"/>
  <c r="U77" i="2" a="1"/>
  <c r="U77" i="2" s="1"/>
  <c r="L92" i="2"/>
  <c r="Q92" i="2" s="1"/>
  <c r="R92" i="2" s="1"/>
  <c r="L97" i="2"/>
  <c r="U97" i="2" s="1" a="1"/>
  <c r="U97" i="2" s="1"/>
  <c r="Q82" i="2"/>
  <c r="R82" i="2" s="1"/>
  <c r="L56" i="2"/>
  <c r="U56" i="2" s="1" a="1"/>
  <c r="U56" i="2" s="1"/>
  <c r="U68" i="2" a="1"/>
  <c r="U68" i="2" s="1"/>
  <c r="U86" i="2" a="1"/>
  <c r="U86" i="2" s="1"/>
  <c r="U21" i="2" a="1"/>
  <c r="U21" i="2" s="1"/>
  <c r="U37" i="2" a="1"/>
  <c r="U37" i="2" s="1"/>
  <c r="U98" i="2" a="1"/>
  <c r="U98" i="2" s="1"/>
  <c r="Q2" i="2"/>
  <c r="U2" i="2" a="1"/>
  <c r="U2" i="2" s="1"/>
  <c r="U26" i="2" a="1"/>
  <c r="U26" i="2" s="1"/>
  <c r="Q26" i="2"/>
  <c r="R26" i="2" s="1"/>
  <c r="U34" i="2" a="1"/>
  <c r="U34" i="2" s="1"/>
  <c r="Q34" i="2"/>
  <c r="R34" i="2" s="1"/>
  <c r="U27" i="2" a="1"/>
  <c r="U27" i="2" s="1"/>
  <c r="Q27" i="2"/>
  <c r="R27" i="2" s="1"/>
  <c r="Q117" i="2"/>
  <c r="R117" i="2" s="1"/>
  <c r="L10" i="2"/>
  <c r="U24" i="2" a="1"/>
  <c r="U24" i="2" s="1"/>
  <c r="Q88" i="2"/>
  <c r="R88" i="2" s="1"/>
  <c r="U87" i="2" a="1"/>
  <c r="U87" i="2" s="1"/>
  <c r="Q87" i="2"/>
  <c r="R87" i="2" s="1"/>
  <c r="U100" i="2" a="1"/>
  <c r="U100" i="2" s="1"/>
  <c r="Q100" i="2"/>
  <c r="R100" i="2" s="1"/>
  <c r="U41" i="2" a="1"/>
  <c r="U41" i="2" s="1"/>
  <c r="Q41" i="2"/>
  <c r="R41" i="2" s="1"/>
  <c r="U81" i="2" a="1"/>
  <c r="U81" i="2" s="1"/>
  <c r="U93" i="2" a="1"/>
  <c r="U93" i="2" s="1"/>
  <c r="Q93" i="2"/>
  <c r="R93" i="2" s="1"/>
  <c r="L39" i="2"/>
  <c r="L11" i="2"/>
  <c r="L5" i="2"/>
  <c r="L16" i="2"/>
  <c r="L53" i="2"/>
  <c r="Q83" i="2"/>
  <c r="R83" i="2" s="1"/>
  <c r="U116" i="2" a="1"/>
  <c r="U116" i="2" s="1"/>
  <c r="U30" i="2" a="1"/>
  <c r="U30" i="2" s="1"/>
  <c r="U23" i="2" a="1"/>
  <c r="U23" i="2" s="1"/>
  <c r="U29" i="2" a="1"/>
  <c r="U29" i="2" s="1"/>
  <c r="U31" i="2" a="1"/>
  <c r="U31" i="2" s="1"/>
  <c r="L49" i="2"/>
  <c r="U114" i="2" a="1"/>
  <c r="U114" i="2" s="1"/>
  <c r="Q114" i="2"/>
  <c r="R114" i="2" s="1"/>
  <c r="L14" i="2"/>
  <c r="L15" i="2"/>
  <c r="U22" i="2" a="1"/>
  <c r="U22" i="2" s="1"/>
  <c r="L45" i="2"/>
  <c r="U57" i="2" a="1"/>
  <c r="U57" i="2" s="1"/>
  <c r="Q57" i="2"/>
  <c r="R57" i="2" s="1"/>
  <c r="Q63" i="2"/>
  <c r="R63" i="2" s="1"/>
  <c r="U73" i="2" a="1"/>
  <c r="U73" i="2" s="1"/>
  <c r="Q73" i="2"/>
  <c r="R73" i="2" s="1"/>
  <c r="Q99" i="2"/>
  <c r="R99" i="2" s="1"/>
  <c r="U115" i="2" a="1"/>
  <c r="U115" i="2" s="1"/>
  <c r="U76" i="2" a="1"/>
  <c r="U76" i="2" s="1"/>
  <c r="Q76" i="2"/>
  <c r="R76" i="2" s="1"/>
  <c r="U58" i="2" a="1"/>
  <c r="U58" i="2" s="1"/>
  <c r="U101" i="2" a="1"/>
  <c r="U101" i="2" s="1"/>
  <c r="Q101" i="2"/>
  <c r="R101" i="2" s="1"/>
  <c r="Q65" i="2"/>
  <c r="R65" i="2" s="1"/>
  <c r="Q84" i="2"/>
  <c r="R84" i="2" s="1"/>
  <c r="L109" i="2"/>
  <c r="L90" i="2"/>
  <c r="L110" i="2"/>
  <c r="R2" i="2" l="1"/>
  <c r="Q55" i="2"/>
  <c r="R55" i="2" s="1"/>
  <c r="Q71" i="2"/>
  <c r="R71" i="2" s="1"/>
  <c r="U43" i="2" a="1"/>
  <c r="U43" i="2" s="1"/>
  <c r="Q52" i="2"/>
  <c r="R52" i="2" s="1"/>
  <c r="U91" i="2" a="1"/>
  <c r="U91" i="2" s="1"/>
  <c r="Q9" i="2"/>
  <c r="R9" i="2" s="1"/>
  <c r="Q85" i="2"/>
  <c r="R85" i="2" s="1"/>
  <c r="U33" i="2" a="1"/>
  <c r="U33" i="2" s="1"/>
  <c r="U47" i="2" a="1"/>
  <c r="U47" i="2" s="1"/>
  <c r="Q40" i="2"/>
  <c r="R40" i="2" s="1"/>
  <c r="Q118" i="2"/>
  <c r="R118" i="2" s="1"/>
  <c r="Q75" i="2"/>
  <c r="R75" i="2" s="1"/>
  <c r="Q51" i="2"/>
  <c r="R51" i="2" s="1"/>
  <c r="U80" i="2" a="1"/>
  <c r="U80" i="2" s="1"/>
  <c r="Q111" i="2"/>
  <c r="R111" i="2" s="1"/>
  <c r="U13" i="2" a="1"/>
  <c r="U13" i="2" s="1"/>
  <c r="Q50" i="2"/>
  <c r="R50" i="2" s="1"/>
  <c r="U92" i="2" a="1"/>
  <c r="U92" i="2" s="1"/>
  <c r="Q42" i="2"/>
  <c r="R42" i="2" s="1"/>
  <c r="Q46" i="2"/>
  <c r="R46" i="2" s="1"/>
  <c r="Q54" i="2"/>
  <c r="R54" i="2" s="1"/>
  <c r="Q3" i="2"/>
  <c r="U48" i="2" a="1"/>
  <c r="U48" i="2" s="1"/>
  <c r="U6" i="2" a="1"/>
  <c r="U6" i="2" s="1"/>
  <c r="Q12" i="2"/>
  <c r="R12" i="2" s="1"/>
  <c r="Q97" i="2"/>
  <c r="R97" i="2" s="1"/>
  <c r="Q32" i="2"/>
  <c r="R32" i="2" s="1"/>
  <c r="Q8" i="2"/>
  <c r="R8" i="2" s="1"/>
  <c r="U19" i="2" a="1"/>
  <c r="U19" i="2" s="1"/>
  <c r="Q44" i="2"/>
  <c r="R44" i="2" s="1"/>
  <c r="Q56" i="2"/>
  <c r="R56" i="2" s="1"/>
  <c r="U110" i="2" a="1"/>
  <c r="U110" i="2" s="1"/>
  <c r="Q110" i="2"/>
  <c r="R110" i="2" s="1"/>
  <c r="Q10" i="2"/>
  <c r="R10" i="2" s="1"/>
  <c r="U10" i="2" a="1"/>
  <c r="U10" i="2" s="1"/>
  <c r="Q11" i="2"/>
  <c r="R11" i="2" s="1"/>
  <c r="U11" i="2" a="1"/>
  <c r="U11" i="2" s="1"/>
  <c r="U90" i="2" a="1"/>
  <c r="U90" i="2" s="1"/>
  <c r="Q90" i="2"/>
  <c r="R90" i="2" s="1"/>
  <c r="Q39" i="2"/>
  <c r="R39" i="2" s="1"/>
  <c r="U39" i="2" a="1"/>
  <c r="U39" i="2" s="1"/>
  <c r="Q53" i="2"/>
  <c r="R53" i="2" s="1"/>
  <c r="U53" i="2" a="1"/>
  <c r="U53" i="2" s="1"/>
  <c r="U109" i="2" a="1"/>
  <c r="U109" i="2" s="1"/>
  <c r="Q109" i="2"/>
  <c r="R109" i="2" s="1"/>
  <c r="Q15" i="2"/>
  <c r="R15" i="2" s="1"/>
  <c r="U15" i="2" a="1"/>
  <c r="U15" i="2" s="1"/>
  <c r="U14" i="2" a="1"/>
  <c r="U14" i="2" s="1"/>
  <c r="Q14" i="2"/>
  <c r="R14" i="2" s="1"/>
  <c r="Q16" i="2"/>
  <c r="R16" i="2" s="1"/>
  <c r="U16" i="2" a="1"/>
  <c r="U16" i="2" s="1"/>
  <c r="Q45" i="2"/>
  <c r="R45" i="2" s="1"/>
  <c r="U45" i="2" a="1"/>
  <c r="U45" i="2" s="1"/>
  <c r="Q49" i="2"/>
  <c r="R49" i="2" s="1"/>
  <c r="U49" i="2" a="1"/>
  <c r="U49" i="2" s="1"/>
  <c r="U5" i="2" a="1"/>
  <c r="U5" i="2" s="1"/>
  <c r="Q5" i="2"/>
  <c r="R5" i="2" s="1"/>
  <c r="D7" i="5" l="1"/>
  <c r="D10" i="5"/>
  <c r="D9" i="5"/>
  <c r="D8" i="5"/>
  <c r="R3" i="2"/>
  <c r="D1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<sst xmlns="http://schemas.openxmlformats.org/spreadsheetml/2006/main" count="1385" uniqueCount="452">
  <si>
    <t>FACTURAS</t>
  </si>
  <si>
    <t>MONTO</t>
  </si>
  <si>
    <t>DIAS ANTICIPADOS</t>
  </si>
  <si>
    <t>LEYENDA MOROSIDAD</t>
  </si>
  <si>
    <t>VIGENTE</t>
  </si>
  <si>
    <t>A1 VIGENTE</t>
  </si>
  <si>
    <t>FINANCIADO</t>
  </si>
  <si>
    <t>POR VENCER</t>
  </si>
  <si>
    <t>A2 DE 1 A 15 DIAS</t>
  </si>
  <si>
    <t>VENCIDO</t>
  </si>
  <si>
    <t>A3 DE 16 A 30 DIAS</t>
  </si>
  <si>
    <t>A4 DE 31 A 60 DIAS</t>
  </si>
  <si>
    <t>TOTAL FACTURAS</t>
  </si>
  <si>
    <t>A5 DE 61 A 90 DIAS</t>
  </si>
  <si>
    <t>A6 DE 91 A MÁS DIAS</t>
  </si>
  <si>
    <t>Razon Social Cliente</t>
  </si>
  <si>
    <t>Documento</t>
  </si>
  <si>
    <t>Número de documento</t>
  </si>
  <si>
    <t>Proforma / concepto</t>
  </si>
  <si>
    <t>F. Documento</t>
  </si>
  <si>
    <t>F. Embarque</t>
  </si>
  <si>
    <t>F.
 Vencimiento</t>
  </si>
  <si>
    <t>Monto dolares</t>
  </si>
  <si>
    <t>KPI</t>
  </si>
  <si>
    <t xml:space="preserve">Intereses por facturar </t>
  </si>
  <si>
    <t>Numero Identidad</t>
  </si>
  <si>
    <t>Cálculo Intereses por facturar</t>
  </si>
  <si>
    <t>Condicion de Pago</t>
  </si>
  <si>
    <t>Dirección</t>
  </si>
  <si>
    <t>Distrito</t>
  </si>
  <si>
    <t>Provincia</t>
  </si>
  <si>
    <t>Pais</t>
  </si>
  <si>
    <t>AFVET S.A.</t>
  </si>
  <si>
    <t>FACTURA</t>
  </si>
  <si>
    <t>01-F050-00001391</t>
  </si>
  <si>
    <t>INTERESES F050-00190</t>
  </si>
  <si>
    <t>CEX100867087</t>
  </si>
  <si>
    <t>INTERESES</t>
  </si>
  <si>
    <t>NO FINANCIADO</t>
  </si>
  <si>
    <t>CONTADO</t>
  </si>
  <si>
    <t>20 Calle 25-55, Zona 12 Empresarial El Cortijo 3, Bodega # 921, Ciudad de Guatemala, Guatemala</t>
  </si>
  <si>
    <t>01-F050-00001293</t>
  </si>
  <si>
    <t>COBRANZA DOC. 45 DIAS</t>
  </si>
  <si>
    <t>ANTICIPO</t>
  </si>
  <si>
    <t>ABONO</t>
  </si>
  <si>
    <t>CONTADO / CASH</t>
  </si>
  <si>
    <t>AGROVET MARKET ANIMAL HEALTH NICARAGUA</t>
  </si>
  <si>
    <t>01-E001-00000121</t>
  </si>
  <si>
    <t>CEX100867027</t>
  </si>
  <si>
    <t>NICARAGUA</t>
  </si>
  <si>
    <t>COBRANZA DOC. 105 DIAS  / DA 105 DAYS</t>
  </si>
  <si>
    <t>Km. 6.5 carretera norte, edificio Impelsa II piso</t>
  </si>
  <si>
    <t>MANAGUA</t>
  </si>
  <si>
    <t>-</t>
  </si>
  <si>
    <t>01-E001-00000122</t>
  </si>
  <si>
    <t>01-E001-00000123</t>
  </si>
  <si>
    <t>01-E001-00000124</t>
  </si>
  <si>
    <t>Basado en Entregas 09-0010-00057060. 09-0010-00057</t>
  </si>
  <si>
    <t>COBRANZA DOC. 90 DIAS  / DA 90 DAYS</t>
  </si>
  <si>
    <t>01-F050-00001100</t>
  </si>
  <si>
    <t>Basado en Entregas 09-0010-00055894. 09-0010-00055</t>
  </si>
  <si>
    <t>01-F050-00001161</t>
  </si>
  <si>
    <t>01-F050-00001231</t>
  </si>
  <si>
    <t>01-F050-00001349</t>
  </si>
  <si>
    <t>282-2023 Basado en Entregas 09-0010-00058226. 09-0</t>
  </si>
  <si>
    <t>01-F050-00001395</t>
  </si>
  <si>
    <t>Materia de mktAcuerdo de mkt 50%1 toldo AMAH1 t</t>
  </si>
  <si>
    <t>01-F050-00001398</t>
  </si>
  <si>
    <t>086-2024</t>
  </si>
  <si>
    <t>01-F050-00001430</t>
  </si>
  <si>
    <t>FLETE AEREO</t>
  </si>
  <si>
    <t>NOTA DE DEBITO</t>
  </si>
  <si>
    <t>08-F010-00000858</t>
  </si>
  <si>
    <t>FLETE</t>
  </si>
  <si>
    <t>AL FIAFY FOR VETERINARY CARE</t>
  </si>
  <si>
    <t>P.O. BOX 6691</t>
  </si>
  <si>
    <t>DOHA</t>
  </si>
  <si>
    <t>QA</t>
  </si>
  <si>
    <t>CEX100867013</t>
  </si>
  <si>
    <t>PF 265-2023 y 009-2024</t>
  </si>
  <si>
    <t>CONTADO ADELANTADO / CASH IN ADVANCE</t>
  </si>
  <si>
    <t>ANICHEM PHARMACY</t>
  </si>
  <si>
    <t>ZL953304</t>
  </si>
  <si>
    <t>ANT - PF 146 -2019 ANICHEM</t>
  </si>
  <si>
    <t>CEX000000185</t>
  </si>
  <si>
    <t>ADRESS 46 SIR VIRGIL NAZ STREET - PORT LOUIS</t>
  </si>
  <si>
    <t>MU</t>
  </si>
  <si>
    <t>ANIMAL HOSPITAL</t>
  </si>
  <si>
    <t>ZI542698</t>
  </si>
  <si>
    <t>ANTICIPO PF</t>
  </si>
  <si>
    <t>CEX000000184</t>
  </si>
  <si>
    <t>Units 4&amp; 5 Crowne Plaza, Union Road Cole Bay- St Maarten</t>
  </si>
  <si>
    <t>NL</t>
  </si>
  <si>
    <t>ARMSTRONG HEALTH CARE INC.</t>
  </si>
  <si>
    <t>08-F010-00000852</t>
  </si>
  <si>
    <t>Facturas clientes - CEX100867001</t>
  </si>
  <si>
    <t>CEX100867001</t>
  </si>
  <si>
    <t>CONTADO / SALDO</t>
  </si>
  <si>
    <t>Lot 2, Lower Estate, St. Michael, Barbados</t>
  </si>
  <si>
    <t>BB</t>
  </si>
  <si>
    <t>AZVET</t>
  </si>
  <si>
    <t>ZO185443</t>
  </si>
  <si>
    <t>PF - 011 - 2021</t>
  </si>
  <si>
    <t>CEX100867030</t>
  </si>
  <si>
    <t>Moscow Avenue 75A, App. 73 Baku</t>
  </si>
  <si>
    <t>BEIJING YI LONG XIANG TECHNOLOGY CO.LTD</t>
  </si>
  <si>
    <t>NOTA DE CREDITO</t>
  </si>
  <si>
    <t>07-F010-00000503</t>
  </si>
  <si>
    <t>FLETE REF F050-00405 F 16.06.2021</t>
  </si>
  <si>
    <t>CEX100867049</t>
  </si>
  <si>
    <t>404 JIA, JIA N° 4 BUILDING, LIXI GARDEN</t>
  </si>
  <si>
    <t>CN</t>
  </si>
  <si>
    <t>BIOLOGICAL INTERNATIONAL S.A. DE C.V.</t>
  </si>
  <si>
    <t>PF 074-2024</t>
  </si>
  <si>
    <t>CEX100867095</t>
  </si>
  <si>
    <t>Boulevard del Ejercito, Colonia La Chacra, 54 Avenida Sur, Calle Principal</t>
  </si>
  <si>
    <t>SV</t>
  </si>
  <si>
    <t>BREMER LANKA (PVT) LTD.</t>
  </si>
  <si>
    <t>08-F010-00000873</t>
  </si>
  <si>
    <t>GASTOS DE EXPORTACION</t>
  </si>
  <si>
    <t>CEX000000149</t>
  </si>
  <si>
    <t>Nº 102, CENTRAL PLAZA, KANDY ROAD</t>
  </si>
  <si>
    <t>PASYALA</t>
  </si>
  <si>
    <t>LK</t>
  </si>
  <si>
    <t>PF 049 &amp; 092-2024</t>
  </si>
  <si>
    <t>CORPORACION FESA S.A.</t>
  </si>
  <si>
    <t>ZN118054</t>
  </si>
  <si>
    <t>PF - 059 -2020</t>
  </si>
  <si>
    <t>CEX100867029</t>
  </si>
  <si>
    <t>50% PAGO ADELANTADO - 50% COBRANZA DOCUMENTARIA 90 DÍAS</t>
  </si>
  <si>
    <t>CALZADA RAUL AGUILAR BATRES 44-70 ZONA11 CENTRO COMERCIAL PLAZA AZUL, LOCAL 3</t>
  </si>
  <si>
    <t>COLONIA MONTE MARIA</t>
  </si>
  <si>
    <t>VILLA NUEVA GUATEMALA</t>
  </si>
  <si>
    <t>CYCLOVET - SARL.</t>
  </si>
  <si>
    <t>01-F050-00001412</t>
  </si>
  <si>
    <t>006-2024</t>
  </si>
  <si>
    <t>CEX000000118</t>
  </si>
  <si>
    <t>Cash against Documents 45 Days from B/L Date</t>
  </si>
  <si>
    <t>351, CITE BOUSSOUF, 4EME TRANCHE</t>
  </si>
  <si>
    <t>DZ</t>
  </si>
  <si>
    <t>DERIBAL SOCIEDAD ANONIMA</t>
  </si>
  <si>
    <t>08-F010-00000780</t>
  </si>
  <si>
    <t>CEX100867042</t>
  </si>
  <si>
    <t>COBRANZA DOC. 45 DIAS / DA 45 DAYS</t>
  </si>
  <si>
    <t>ISLA DE GASPAR 2282 MONTEVIDEO URUGUAY</t>
  </si>
  <si>
    <t>UY</t>
  </si>
  <si>
    <t>DISTRIBUIDORA REGIONAL SALVADOREÑA S.A. DE C.V.</t>
  </si>
  <si>
    <t>ZN439645</t>
  </si>
  <si>
    <t>PF - 061-2020</t>
  </si>
  <si>
    <t>CEX100867045</t>
  </si>
  <si>
    <t>Residencial Monte Cielo</t>
  </si>
  <si>
    <t>QUEZALTEPEQUE</t>
  </si>
  <si>
    <t>EMPRESA MELO S.A.</t>
  </si>
  <si>
    <t>F050-00001455</t>
  </si>
  <si>
    <t>CEX000000120</t>
  </si>
  <si>
    <t>VIA ESPAÑA, RIO ABAJO 2313</t>
  </si>
  <si>
    <t>CIUDAD DE PANAMA</t>
  </si>
  <si>
    <t>PA</t>
  </si>
  <si>
    <t>GANESHA AGROFARMA</t>
  </si>
  <si>
    <t>PF 010-2024</t>
  </si>
  <si>
    <t>CEX100867003</t>
  </si>
  <si>
    <t>50% ADELANTADO – 50% ANTES DEL ENVIO / 50% IN ADVANCE – 50% BEFORE SHIPMENT</t>
  </si>
  <si>
    <t>Pulomas Satu Office Complex, 2no building, 1st floor, room 04-A, JL. A. Yani No 2 Jakarta 13210</t>
  </si>
  <si>
    <t>ID</t>
  </si>
  <si>
    <t>GLOBALVET</t>
  </si>
  <si>
    <t>CEX100867096</t>
  </si>
  <si>
    <t>COBRANZA DOC. 75 DIAS  / DA 75 DAYS</t>
  </si>
  <si>
    <t>08-F010-00000878</t>
  </si>
  <si>
    <t>GASTOS DE EXPORTACIÓN</t>
  </si>
  <si>
    <t>01-F050-00001423</t>
  </si>
  <si>
    <t>GRUPO GRANDES ROMAN S.A.</t>
  </si>
  <si>
    <t>CEX000000153</t>
  </si>
  <si>
    <t>COBRANZA DOCUMENTARIA 105, 135 y 165 DIAS</t>
  </si>
  <si>
    <t>Calle N74C Lote E4-08 / Frente al terminal terrestre de Carcelén QUITO</t>
  </si>
  <si>
    <t>QUITO</t>
  </si>
  <si>
    <t>EC</t>
  </si>
  <si>
    <t>01-F050-00001225</t>
  </si>
  <si>
    <t>01-F050-00001313</t>
  </si>
  <si>
    <t>Cobranza Doc. 90 días / 120 días</t>
  </si>
  <si>
    <t>01-F050-00001317</t>
  </si>
  <si>
    <t>01-F050-00001318</t>
  </si>
  <si>
    <t>01-F050-00001319</t>
  </si>
  <si>
    <t>01-F050-00001329</t>
  </si>
  <si>
    <t>01-F050-00001334</t>
  </si>
  <si>
    <t>01-F050-00001405</t>
  </si>
  <si>
    <t>209-2023</t>
  </si>
  <si>
    <t>Cobranza Doc. 90 días</t>
  </si>
  <si>
    <t>01-F050-00001432</t>
  </si>
  <si>
    <t>254-2023 A Basado en Entregas 09-0007-00000077.</t>
  </si>
  <si>
    <t>INNOVACIONES PECUARIAS S.A. DE C.V.</t>
  </si>
  <si>
    <t>PF 251-2023 &amp; 071-2024</t>
  </si>
  <si>
    <t>CEX000000203</t>
  </si>
  <si>
    <t>CARRETERA AL PUERTO DE LA LIBERTAD, KM 22.5, CANTÓN SAN FRANCISCO ZARAGOZA</t>
  </si>
  <si>
    <t>IRELAND BLYTH LIMITED(HEALTHACTIV)</t>
  </si>
  <si>
    <t>007-2014 ZC746795</t>
  </si>
  <si>
    <t>ANT PROF 007-2014 HEALTACTIVE ZC746795</t>
  </si>
  <si>
    <t>CEX100867011</t>
  </si>
  <si>
    <t>15 RESERVES STREET, LES SALINES P.O. BOX 540 PORT LOUIS MAURITIUS</t>
  </si>
  <si>
    <t>LES SALINES</t>
  </si>
  <si>
    <t>ISV - INSUMOS Y SANIDAD VETERINARIA SRL</t>
  </si>
  <si>
    <t>01-F050-00001416</t>
  </si>
  <si>
    <t>231-2023 Basado en Entregas 09-0010-00059704.</t>
  </si>
  <si>
    <t>CEX100867028</t>
  </si>
  <si>
    <t>20% Pago Adelantado para Confirmar - 80% Antes de Embarque</t>
  </si>
  <si>
    <t>Av. Khakerama; No S/N</t>
  </si>
  <si>
    <t>Zona Esmeralda Norte- Sacaba</t>
  </si>
  <si>
    <t>METROPOLITAN VETERINARY MARKETING CO.L.L.C.</t>
  </si>
  <si>
    <t>01-F050-00001268</t>
  </si>
  <si>
    <t>112-2023 Basado en Entregas 09-0010-00057950.</t>
  </si>
  <si>
    <t>CEX000000201</t>
  </si>
  <si>
    <t>OFFICE # 201, FALCON HOUSE GREEN COMMUNITY (DIP 1)</t>
  </si>
  <si>
    <t>PF 050-2024</t>
  </si>
  <si>
    <t>PF 107-2024</t>
  </si>
  <si>
    <t>MILIFAR SHPK</t>
  </si>
  <si>
    <t>PF 087 - 2024</t>
  </si>
  <si>
    <t>CEX000000128</t>
  </si>
  <si>
    <t>RR. XHORXHI MARTINI</t>
  </si>
  <si>
    <t>TIRANA</t>
  </si>
  <si>
    <t>MINH HUNG AGRICULTURAL MATERIALS TRADING AND SERVICE CO., LTD.</t>
  </si>
  <si>
    <t>PF 079 - 2024</t>
  </si>
  <si>
    <t>CEX100867000</t>
  </si>
  <si>
    <t>COBRANZA DOC. 90 DÍAS A PARTIR DE FECHA DEL B/L</t>
  </si>
  <si>
    <t>FL.6, MASTER BUILDING, 41-43 TRAN CAO VAN ST., DIST.3, HO CHI MINH CITY, VN</t>
  </si>
  <si>
    <t>VN</t>
  </si>
  <si>
    <t>MONTECO S.A</t>
  </si>
  <si>
    <t>01-F050-00001427</t>
  </si>
  <si>
    <t>236-2023</t>
  </si>
  <si>
    <t>CEX100867085</t>
  </si>
  <si>
    <t>10 calle 12-56 Zona 8 Colonia Granjas de San Cristóbal (A-10)</t>
  </si>
  <si>
    <t>MIXCO</t>
  </si>
  <si>
    <t>GUATEMALA</t>
  </si>
  <si>
    <t>MULTIPLE CHOICE FOR GENERAL TRADING</t>
  </si>
  <si>
    <t>PF 044 - 2024</t>
  </si>
  <si>
    <t>CEX100867056</t>
  </si>
  <si>
    <t>DJ</t>
  </si>
  <si>
    <t>MY PETS VETERINARY CENTER W.L.L</t>
  </si>
  <si>
    <t>CEX100867103</t>
  </si>
  <si>
    <t>Building 3541, Road 4563, Block 645, Hawrat Sanad</t>
  </si>
  <si>
    <t>MANAMA</t>
  </si>
  <si>
    <t>BH</t>
  </si>
  <si>
    <t>PETLINE ANIMALCARE LTD.</t>
  </si>
  <si>
    <t>ZK589179</t>
  </si>
  <si>
    <t>ANTICIPO PF 007-19 1er pago</t>
  </si>
  <si>
    <t>CEX100867043</t>
  </si>
  <si>
    <t>KYRENIA - MERSIN 10 TURKEY (NORTHEN CYPRUS)</t>
  </si>
  <si>
    <t>CY</t>
  </si>
  <si>
    <t>QUALITY CO. FOR VET.MED. TRADES</t>
  </si>
  <si>
    <t>PF 253 - 2023</t>
  </si>
  <si>
    <t>CEX100867039</t>
  </si>
  <si>
    <t>P.O.BOX 426 - POST CODE AMMAN 11623 ALMUGABALIN, ALHUREH STREET, BUILDING N7 NEAR ALHAMAYDEH ROUNDA</t>
  </si>
  <si>
    <t>JO</t>
  </si>
  <si>
    <t>REVETSA ANIMAL HEALTH S.A.</t>
  </si>
  <si>
    <t>01-F050-00001461</t>
  </si>
  <si>
    <t>096-2024  Basado en Entregas 09-0007-</t>
  </si>
  <si>
    <t>CEX100867105</t>
  </si>
  <si>
    <t>Calle Via Interamericana, casa SN, Urbanización Los Angeles, Edificio Monteco</t>
  </si>
  <si>
    <t>BUGABA</t>
  </si>
  <si>
    <t>SADIN INTERNATIONAL TRADING CO. L.L.C.</t>
  </si>
  <si>
    <t>07-F010-00000358</t>
  </si>
  <si>
    <t>Notas de crédito clientes - CEX100867055</t>
  </si>
  <si>
    <t>CEX100867055</t>
  </si>
  <si>
    <t>P.O.Box: 1046 - P.Code: 130 Barka - Sultanate of Oman</t>
  </si>
  <si>
    <t>Barka</t>
  </si>
  <si>
    <t>OM</t>
  </si>
  <si>
    <t>07-F010-00000359</t>
  </si>
  <si>
    <t>SARAH AL SHARQ AL ASRIYA COMPANY</t>
  </si>
  <si>
    <t>ZK313300</t>
  </si>
  <si>
    <t>PF 101-2018</t>
  </si>
  <si>
    <t>CEX100867048</t>
  </si>
  <si>
    <t>MUSCAT SOHER AREA</t>
  </si>
  <si>
    <t>SEUMEDS LIMITED</t>
  </si>
  <si>
    <t>01-F050-00000640</t>
  </si>
  <si>
    <t>209-2021 Basado en Entregas 09-0010-00049414.</t>
  </si>
  <si>
    <t>CEX100867023</t>
  </si>
  <si>
    <t>7 CITRUS DRIVE, ENTERPRISE, CHAGUANAS 502216 TRINI</t>
  </si>
  <si>
    <t>TT</t>
  </si>
  <si>
    <t>SOCIEDAD NACIONAL PECUARIA S.A.</t>
  </si>
  <si>
    <t>01-F050-00001440</t>
  </si>
  <si>
    <t>CEX000000138</t>
  </si>
  <si>
    <t>CALLE BOHECHIO 37, ENSANCHE QUISQUEYA</t>
  </si>
  <si>
    <t>SANTO DOMINGO</t>
  </si>
  <si>
    <t>DO</t>
  </si>
  <si>
    <t>SPIROCO S.A.R.L (PHARMACY BIKFAYA)</t>
  </si>
  <si>
    <t>BCP - ZG236269</t>
  </si>
  <si>
    <t>CANCELACIÓN PROF. 058-2016 - SPIROCO</t>
  </si>
  <si>
    <t>CEX000000152</t>
  </si>
  <si>
    <t>KARANTINA REGION, SENEGAL STREET, GHASSAN EL MURR BLDG. Nº 61</t>
  </si>
  <si>
    <t>BEIRUT</t>
  </si>
  <si>
    <t>LB</t>
  </si>
  <si>
    <t>SUPERIORVET, INC.</t>
  </si>
  <si>
    <t>Zl70368</t>
  </si>
  <si>
    <t>ANTICIPO PF 084-2019</t>
  </si>
  <si>
    <t>CEX100867019</t>
  </si>
  <si>
    <t>3/FLOOR THE PIA CENTER BUILDING, 65 EAST CAPITAL DRIVE, BRGY.KAPITOLYO</t>
  </si>
  <si>
    <t>KAPITOLYO</t>
  </si>
  <si>
    <t>BRGY.KAPITOLYO</t>
  </si>
  <si>
    <t>PH</t>
  </si>
  <si>
    <t>ZL813896</t>
  </si>
  <si>
    <t>ANT 1 - PF 126 - 2019</t>
  </si>
  <si>
    <t>STICHTING ANIMAL HEALTH MISSION SURINAME (S.A.H.M.S)</t>
  </si>
  <si>
    <t>PF 102-2024</t>
  </si>
  <si>
    <t>CEX100867109</t>
  </si>
  <si>
    <t>Miguelitastraat 18, Paramaribo</t>
  </si>
  <si>
    <t>SR</t>
  </si>
  <si>
    <t>TECNOLOGIA AGRICOLA S. DE R.L. DE C.V.</t>
  </si>
  <si>
    <t>01-F050-00001323</t>
  </si>
  <si>
    <t>CEX100866995</t>
  </si>
  <si>
    <t>COBRANZA DOCUMENTARIA 105, 120 Y 150 DIAS</t>
  </si>
  <si>
    <t>Km. 4 Boulevard Del Sur frente a Tabacalera Hondureña San Pedro de Sula, Honduras</t>
  </si>
  <si>
    <t>Cobranza Doc. 105 dìas / 120 dìas</t>
  </si>
  <si>
    <t>01-F050-00001443</t>
  </si>
  <si>
    <t>247-2023 Basado en Entregas 09-0010-00058171. 09-0</t>
  </si>
  <si>
    <t>THREE STAR LIMITED</t>
  </si>
  <si>
    <t>ZO121570</t>
  </si>
  <si>
    <t>PF 006 - 2021</t>
  </si>
  <si>
    <t>CEX100867081</t>
  </si>
  <si>
    <t>SHIPYARD CAMP 4, ORANGE WALK DISTRICT, ORANGE WALK TOWN</t>
  </si>
  <si>
    <t>BZ</t>
  </si>
  <si>
    <t>UNIVET S.R.L.</t>
  </si>
  <si>
    <t>ABONO PF CONTADO</t>
  </si>
  <si>
    <t>CEX100867020</t>
  </si>
  <si>
    <t>Calle ANTONIO CARBALHO N' 6 BARRIO FOIANINI UV0438 MZA 0033 ENTRE ALFREDO FLORES Y AV. 4TO ANILLO</t>
  </si>
  <si>
    <t>01-F050-00001471</t>
  </si>
  <si>
    <t>01-F050-00001475</t>
  </si>
  <si>
    <t>01-F050-00001476</t>
  </si>
  <si>
    <t>VETERINARY MATERIALS COMPANY LLS</t>
  </si>
  <si>
    <t>CEX100867017</t>
  </si>
  <si>
    <t>24, Krapivy Street, Minsk, 220117</t>
  </si>
  <si>
    <t>MINSK</t>
  </si>
  <si>
    <t>01-F050-00001221</t>
  </si>
  <si>
    <t>50% 105 DAYS FROM B/L DATE 50% 120 DAYS FROM B/L DATE</t>
  </si>
  <si>
    <t>01-F050-00001290</t>
  </si>
  <si>
    <t>CREDITO 75 DIAS DESPUÉS DE B/L O AWB / CREDIT 75 DAYS  B/L OR AWB</t>
  </si>
  <si>
    <t>VETLINE</t>
  </si>
  <si>
    <t>01-F050-00001348</t>
  </si>
  <si>
    <t>151-2023 Basado en Entregas 09-0010-00058225.</t>
  </si>
  <si>
    <t>CEX100867086</t>
  </si>
  <si>
    <t>Zalka-Metn-Lebanon</t>
  </si>
  <si>
    <t>08-F010-00000880</t>
  </si>
  <si>
    <t>VETPLUS S.R.L.</t>
  </si>
  <si>
    <t>ABONO PF 179-2022</t>
  </si>
  <si>
    <t>CEX100867054</t>
  </si>
  <si>
    <t>calle URUGUAY Nº 0720 entre Antezana y 16 de Julio</t>
  </si>
  <si>
    <t>VYPHAVET CO., LTD.</t>
  </si>
  <si>
    <t>CEX000000144</t>
  </si>
  <si>
    <t>NO. 83 STREET 1, PHOUM PREK TOCH, SANGKAT KBAL KOS, KHAN MEAN CHHEY - PHNOM PENH -  CAMBODIA</t>
  </si>
  <si>
    <t>PHNOM PENH</t>
  </si>
  <si>
    <t>01-F050-00001355</t>
  </si>
  <si>
    <t>Total</t>
  </si>
  <si>
    <t>Tasa moratoria:</t>
  </si>
  <si>
    <t>Hoy</t>
  </si>
  <si>
    <t>Conceptos</t>
  </si>
  <si>
    <t>Situación</t>
  </si>
  <si>
    <t>Estado actual</t>
  </si>
  <si>
    <t>Post Embarque</t>
  </si>
  <si>
    <t>Importe financiado</t>
  </si>
  <si>
    <t>Anticuamiento</t>
  </si>
  <si>
    <t xml:space="preserve">182-2022 B </t>
  </si>
  <si>
    <t>TOTAL</t>
  </si>
  <si>
    <t>CUENTAS POR COBRAR DEL EXTERIOR</t>
  </si>
  <si>
    <t>(Expresado en dólares)</t>
  </si>
  <si>
    <t>01-F050-00001478</t>
  </si>
  <si>
    <t>01-F050-00001487</t>
  </si>
  <si>
    <t>01-F050-00001482</t>
  </si>
  <si>
    <t>01-F050-00001483</t>
  </si>
  <si>
    <t>01-F050-00001490</t>
  </si>
  <si>
    <t>100-2024</t>
  </si>
  <si>
    <t>01-F050-00001479</t>
  </si>
  <si>
    <t>01-F050-00001491</t>
  </si>
  <si>
    <t>PI 131-2024 B</t>
  </si>
  <si>
    <t xml:space="preserve">036-2024 A </t>
  </si>
  <si>
    <t>COBRANZA DOC. 90 DIAS</t>
  </si>
  <si>
    <t>01-F050-00001473</t>
  </si>
  <si>
    <t xml:space="preserve">118-2024 </t>
  </si>
  <si>
    <t xml:space="preserve">COBRANZA DOC. 90 DIAS </t>
  </si>
  <si>
    <t>CEX000000116</t>
  </si>
  <si>
    <t>LABORATORIOS QUIMIO-VET, C.A.</t>
  </si>
  <si>
    <t>01-F050-00001480</t>
  </si>
  <si>
    <t>50% PAGO ADELANTADO / 50% COBRANZA DOCUMENTARIA A 45 DÍAS</t>
  </si>
  <si>
    <t xml:space="preserve">111-2024 </t>
  </si>
  <si>
    <t>AV. PRINCIPAL PARALELA A LA AUTOPISTA REGIONAL DEL CENTRO, GALPON Nº 05, URB. CIUDAD INDUSTRIAL LA U</t>
  </si>
  <si>
    <t>VALENCIA</t>
  </si>
  <si>
    <t>.</t>
  </si>
  <si>
    <t>01-F050-00001485</t>
  </si>
  <si>
    <t>076-2024</t>
  </si>
  <si>
    <t>COBRANZA DOC. 75 DIAS</t>
  </si>
  <si>
    <t>PF 130-2024</t>
  </si>
  <si>
    <t xml:space="preserve">COBRANZA DOC. 90 DIAS  </t>
  </si>
  <si>
    <t>F050-00001481</t>
  </si>
  <si>
    <t>PI 045-2024 A</t>
  </si>
  <si>
    <t>01-F050-00001492</t>
  </si>
  <si>
    <t>01-F050-000014</t>
  </si>
  <si>
    <t xml:space="preserve">262-2023 </t>
  </si>
  <si>
    <t xml:space="preserve">195-2023 </t>
  </si>
  <si>
    <t>195-2023</t>
  </si>
  <si>
    <t>01-F050-00001174</t>
  </si>
  <si>
    <t>01-F050-00001498</t>
  </si>
  <si>
    <t>PF 264 - 133-2024</t>
  </si>
  <si>
    <t xml:space="preserve">106-2023 </t>
  </si>
  <si>
    <t xml:space="preserve">211-2023 </t>
  </si>
  <si>
    <t xml:space="preserve">206-2023 </t>
  </si>
  <si>
    <t>144-2023</t>
  </si>
  <si>
    <t xml:space="preserve">192-2022 A </t>
  </si>
  <si>
    <t>187-2023</t>
  </si>
  <si>
    <t>138-2023</t>
  </si>
  <si>
    <t>046-2023</t>
  </si>
  <si>
    <t>192-2022 B</t>
  </si>
  <si>
    <t>214-2023</t>
  </si>
  <si>
    <t>162-2023</t>
  </si>
  <si>
    <t>PF 180 - 2023</t>
  </si>
  <si>
    <t xml:space="preserve">163-2023 </t>
  </si>
  <si>
    <t xml:space="preserve">233 - 2023 </t>
  </si>
  <si>
    <t>POR EMBARCAR</t>
  </si>
  <si>
    <t>PF 124-2024</t>
  </si>
  <si>
    <t>PF 253-2023 B</t>
  </si>
  <si>
    <t>01-F050-00001499</t>
  </si>
  <si>
    <t>155-2024 153,755.20 Pago Adelantado</t>
  </si>
  <si>
    <t>PF 088-155</t>
  </si>
  <si>
    <t>PAGO ADELANTADO - SALDO COBRANZA DOCUMENTARIA 105 Y 120 DÍAS</t>
  </si>
  <si>
    <t>166-2024</t>
  </si>
  <si>
    <t>01-F050-0001523</t>
  </si>
  <si>
    <t>01-F050-0001524</t>
  </si>
  <si>
    <t>01-F050-00001513</t>
  </si>
  <si>
    <t>CEX000000123</t>
  </si>
  <si>
    <t>01-F050-00001518</t>
  </si>
  <si>
    <t>01-F050-00001519</t>
  </si>
  <si>
    <t>01-F050-00001520</t>
  </si>
  <si>
    <t>BOLIVIA</t>
  </si>
  <si>
    <t>PANAMA</t>
  </si>
  <si>
    <t>HONDURAS</t>
  </si>
  <si>
    <t>VENEZUELA</t>
  </si>
  <si>
    <t>ECUADOR</t>
  </si>
  <si>
    <t>EMIRATOS ARABES</t>
  </si>
  <si>
    <t>ALBANIA</t>
  </si>
  <si>
    <t>AZERBAIYAN</t>
  </si>
  <si>
    <t>Comentarios</t>
  </si>
  <si>
    <t>sxsxsa</t>
  </si>
  <si>
    <t>Paga la próxima cuota a inicios de agosto</t>
  </si>
  <si>
    <t>Paga con el pago de la próxima PF</t>
  </si>
  <si>
    <t>A la espera del pago de la cuota de agosto</t>
  </si>
  <si>
    <t>Paga en su próximo pedido</t>
  </si>
  <si>
    <t>Intereses, paga en su próximo pedido</t>
  </si>
  <si>
    <t>A la espera del pago a fines de julio</t>
  </si>
  <si>
    <t>Abona la primera semana de agosto  el saldo</t>
  </si>
  <si>
    <t>Aún no responde correo de cobranza</t>
  </si>
  <si>
    <t>Se envió correo de cobranza, último abono realizó el 30.07.24.</t>
  </si>
  <si>
    <t>Aún nos encontramos a la espera del registro de la factura de MKT para el pago de los intereses.</t>
  </si>
  <si>
    <t>Se envio correo de cobranza por el saldo, aún no confirma la próxima fecha de abono.</t>
  </si>
  <si>
    <t>El cliente no responde mensajes ni correos</t>
  </si>
  <si>
    <t>CAMBOYA</t>
  </si>
  <si>
    <t>BIELORRUSIA</t>
  </si>
  <si>
    <t>LIBANO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</si>
</sst>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dd/mm/yyyy;@"/>
    <numFmt numFmtId="165" formatCode="#,##0.00_ ;[Red]\-#,##0.00\ "/>
    <numFmt numFmtId="166" formatCode="[$-1280A]#,##0.00"/>
    <numFmt numFmtId="167" formatCode="_-* #,##0.000_-;\-* #,##0.000_-;_-* &quot;-&quot;??_-;_-@_-"/>
    <numFmt numFmtId="168" formatCode="[$-1280A]dd/mm/yyyy"/>
    <numFmt numFmtId="169" formatCode="_(* #,##0.00_);_(* \(#,##0.00\);_(* &quot;-&quot;??_);_(@_)"/>
    <numFmt numFmtId="170" formatCode="[$-1280A]#,##0.0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4" fontId="4" fillId="0" borderId="0" xfId="0" applyNumberFormat="1" applyFont="1"/>
    <xf numFmtId="16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7" fontId="4" fillId="0" borderId="0" xfId="0" applyNumberFormat="1" applyFont="1"/>
    <xf numFmtId="169" fontId="4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4" fontId="4" fillId="0" borderId="1" xfId="0" applyNumberFormat="1" applyFont="1" applyBorder="1"/>
    <xf numFmtId="43" fontId="4" fillId="0" borderId="1" xfId="0" applyNumberFormat="1" applyFont="1" applyBorder="1"/>
    <xf numFmtId="165" fontId="4" fillId="0" borderId="1" xfId="0" applyNumberFormat="1" applyFont="1" applyBorder="1"/>
    <xf numFmtId="168" fontId="4" fillId="0" borderId="1" xfId="0" applyNumberFormat="1" applyFont="1" applyBorder="1"/>
    <xf numFmtId="17" fontId="4" fillId="0" borderId="1" xfId="0" applyNumberFormat="1" applyFont="1" applyBorder="1"/>
    <xf numFmtId="166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43" fontId="2" fillId="0" borderId="1" xfId="1" applyFont="1" applyFill="1" applyBorder="1" applyAlignment="1">
      <alignment horizontal="center" vertical="top" wrapText="1"/>
    </xf>
    <xf numFmtId="43" fontId="2" fillId="0" borderId="1" xfId="1" applyFont="1" applyFill="1" applyBorder="1" applyAlignment="1">
      <alignment horizontal="right" wrapText="1"/>
    </xf>
    <xf numFmtId="43" fontId="4" fillId="0" borderId="1" xfId="1" applyFont="1" applyBorder="1" applyAlignment="1">
      <alignment horizontal="right"/>
    </xf>
    <xf numFmtId="9" fontId="4" fillId="0" borderId="3" xfId="0" applyNumberFormat="1" applyFont="1" applyBorder="1"/>
    <xf numFmtId="170" fontId="4" fillId="0" borderId="4" xfId="0" applyNumberFormat="1" applyFont="1" applyBorder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169" fontId="5" fillId="3" borderId="1" xfId="0" applyNumberFormat="1" applyFont="1" applyFill="1" applyBorder="1"/>
    <xf numFmtId="0" fontId="5" fillId="3" borderId="2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4" fontId="5" fillId="3" borderId="4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2" xfId="0" applyFont="1" applyBorder="1"/>
    <xf numFmtId="164" fontId="4" fillId="0" borderId="2" xfId="0" applyNumberFormat="1" applyFont="1" applyBorder="1"/>
    <xf numFmtId="168" fontId="4" fillId="0" borderId="2" xfId="0" applyNumberFormat="1" applyFont="1" applyBorder="1"/>
    <xf numFmtId="4" fontId="4" fillId="0" borderId="2" xfId="0" applyNumberFormat="1" applyFont="1" applyBorder="1"/>
    <xf numFmtId="43" fontId="2" fillId="0" borderId="2" xfId="1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43" fontId="2" fillId="0" borderId="2" xfId="1" applyFont="1" applyFill="1" applyBorder="1" applyAlignment="1">
      <alignment horizontal="center" vertical="top" wrapText="1"/>
    </xf>
    <xf numFmtId="43" fontId="4" fillId="0" borderId="2" xfId="1" applyFont="1" applyBorder="1" applyAlignment="1">
      <alignment horizontal="right"/>
    </xf>
    <xf numFmtId="17" fontId="4" fillId="0" borderId="2" xfId="0" applyNumberFormat="1" applyFont="1" applyBorder="1"/>
    <xf numFmtId="166" fontId="4" fillId="0" borderId="2" xfId="0" applyNumberFormat="1" applyFont="1" applyBorder="1"/>
    <xf numFmtId="4" fontId="4" fillId="4" borderId="1" xfId="0" applyNumberFormat="1" applyFont="1" applyFill="1" applyBorder="1"/>
    <xf numFmtId="0" fontId="4" fillId="0" borderId="0" xfId="0" applyFont="1" applyAlignment="1">
      <alignment horizontal="center" vertical="center"/>
    </xf>
    <xf numFmtId="43" fontId="4" fillId="0" borderId="0" xfId="1" applyFont="1"/>
    <xf numFmtId="167" fontId="4" fillId="0" borderId="0" xfId="1" applyNumberFormat="1" applyFont="1"/>
    <xf numFmtId="43" fontId="4" fillId="0" borderId="1" xfId="1" applyFont="1" applyBorder="1"/>
    <xf numFmtId="43" fontId="7" fillId="0" borderId="1" xfId="1" applyFont="1" applyFill="1" applyBorder="1" applyAlignment="1">
      <alignment horizontal="center" vertical="center" wrapText="1"/>
    </xf>
    <xf numFmtId="0" fontId="4" fillId="0" borderId="4" xfId="0" applyFont="1" applyBorder="1"/>
  </cellXfs>
  <cellStyles count="2">
    <cellStyle name="Millares" xfId="1" builtinId="3"/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6" formatCode="[$-1280A]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6" formatCode="[$-1280A]#,##0.0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5" formatCode="_-* #,##0.00_-;\-* #,##0.00_-;_-* &quot;-&quot;??_-;_-@_-"/>
      <alignment horizontal="right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top style="thin">
          <color theme="2" tint="-0.249977111117893"/>
        </top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border outline="0">
        <bottom style="thin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FC8503-E446-4E9A-933B-49841D6824F7}" name="BB_CXC_IN" displayName="BB_CXC_IN" ref="A1:Z118" totalsRowShown="0" headerRowDxfId="56" dataDxfId="54" headerRowBorderDxfId="55" tableBorderDxfId="53" totalsRowBorderDxfId="52">
  <autoFilter ref="A1:Z118" xr:uid="{7CFC8503-E446-4E9A-933B-49841D6824F7}">
    <filterColumn colId="2">
      <filters>
        <filter val="FACTURA"/>
        <filter val="NOTA DE DEBITO"/>
      </filters>
    </filterColumn>
    <filterColumn colId="17">
      <filters>
        <filter val="VENCIDO"/>
      </filters>
    </filterColumn>
  </autoFilter>
  <tableColumns count="26">
    <tableColumn id="1" xr3:uid="{C1E5667B-8301-48E9-A6F6-C246D7EB22A1}" name="Numero Identidad" dataDxfId="51" totalsRowDxfId="50"/>
    <tableColumn id="2" xr3:uid="{3797DC17-ADB0-4439-9DE7-4AFF6D86A873}" name="Razon Social Cliente" dataDxfId="49" totalsRowDxfId="48"/>
    <tableColumn id="3" xr3:uid="{8EAF2308-581A-4D90-B5CB-D97757998CC4}" name="Documento" dataDxfId="47" totalsRowDxfId="46"/>
    <tableColumn id="4" xr3:uid="{89F73914-0C3F-4AFA-AFAE-68F982B4426F}" name="Número de documento" dataDxfId="45" totalsRowDxfId="44"/>
    <tableColumn id="5" xr3:uid="{DB00826B-9D8F-44D0-A6F0-34DBBDC5CCA6}" name="Proforma / concepto" dataDxfId="43" totalsRowDxfId="42"/>
    <tableColumn id="6" xr3:uid="{79E80578-23C7-40F5-8D0D-8E642F3AFA42}" name="Condicion de Pago" dataDxfId="41" totalsRowDxfId="40"/>
    <tableColumn id="7" xr3:uid="{7BFE121B-32BE-455E-ACB8-0D192F38F3BA}" name="F. Documento" dataDxfId="39" totalsRowDxfId="38"/>
    <tableColumn id="8" xr3:uid="{BB4B97E6-DB58-460F-BA75-42516CAA8753}" name="F. Embarque" dataDxfId="37" totalsRowDxfId="36"/>
    <tableColumn id="9" xr3:uid="{E63FCAE0-905F-4E13-A05B-EC35A2D1D75A}" name="F._x000a_ Vencimiento" dataDxfId="35" totalsRowDxfId="34"/>
    <tableColumn id="10" xr3:uid="{1FFA9060-E952-4F3B-99A9-160B0DF895F5}" name="Monto dolares" dataDxfId="33" totalsRowDxfId="32"/>
    <tableColumn id="11" xr3:uid="{4DD73944-7D3F-4410-A69A-64F9A77D2D69}" name="Intereses por facturar " dataDxfId="31" totalsRowDxfId="30" dataCellStyle="Millares">
      <calculatedColumnFormula>IFERROR(IF(O2,"0.00",N2),"0.00")</calculatedColumnFormula>
    </tableColumn>
    <tableColumn id="12" xr3:uid="{8B1F10FD-A0DD-41BA-9650-3AC0A998477C}" name="KPI" dataDxfId="29" totalsRowDxfId="28">
      <calculatedColumnFormula>+I2-P2</calculatedColumnFormula>
    </tableColumn>
    <tableColumn id="13" xr3:uid="{D7C6CFCB-39A6-4D00-AE7F-27AA22993A7B}" name="Total" dataDxfId="27" totalsRowDxfId="26" dataCellStyle="Millares">
      <calculatedColumnFormula>+J2+K2</calculatedColumnFormula>
    </tableColumn>
    <tableColumn id="14" xr3:uid="{EFFE5930-ABFC-4E34-ADFF-D175ED43FA8B}" name="Cálculo Intereses por facturar" dataDxfId="25" totalsRowDxfId="24" dataCellStyle="Millares">
      <calculatedColumnFormula>IFERROR(IF(TODAY()-I2-8&lt;=0,"",TODAY()-I2-8)*leyenda!$A$8*J2,"0.00")</calculatedColumnFormula>
    </tableColumn>
    <tableColumn id="15" xr3:uid="{10495D02-3494-4BE0-9576-CD960068A1D0}" name="Conceptos" dataDxfId="23" totalsRowDxfId="22"/>
    <tableColumn id="16" xr3:uid="{AABFCC23-8519-4C67-A729-84FF428CC4BC}" name="Hoy" dataDxfId="21" totalsRowDxfId="20">
      <calculatedColumnFormula>TODAY()</calculatedColumnFormula>
    </tableColumn>
    <tableColumn id="17" xr3:uid="{3299A8F9-0230-4553-A6BC-B359ED688361}" name="Situación" dataDxfId="19" totalsRowDxfId="18">
      <calculatedColumnFormula>IF(L2&lt;=0,leyenda!$E$8,IF(L2&lt;=leyenda!$D$5,leyenda!$E$7,leyenda!$E$6))</calculatedColumnFormula>
    </tableColumn>
    <tableColumn id="18" xr3:uid="{B6BCF892-AF03-4F43-B04F-2DC7066B9AAF}" name="Estado actual" dataDxfId="17" totalsRowDxfId="16">
      <calculatedColumnFormula>+Q2</calculatedColumnFormula>
    </tableColumn>
    <tableColumn id="19" xr3:uid="{26EA242D-3687-430F-B94D-635ABCEA7E88}" name="Post Embarque" dataDxfId="15" totalsRowDxfId="14"/>
    <tableColumn id="20" xr3:uid="{47A38034-7ABA-4080-B77A-E0EA31345D2A}" name="Importe financiado" dataDxfId="13" totalsRowDxfId="12"/>
    <tableColumn id="21" xr3:uid="{38401CBD-2AC5-4253-9CC5-0EC869D76753}" name="Anticuamiento" dataDxfId="11" totalsRowDxfId="10">
      <calculatedColumnFormula array="1">_xlfn.IFS(L2&gt;=leyenda!$J$6,leyenda!$I$6,L2&gt;=leyenda!$J$7,leyenda!$I$7,L2&gt;=leyenda!$J$8,leyenda!$I$8,L2&gt;=leyenda!$J$9,leyenda!$I$9,L2&gt;=leyenda!$J$10,leyenda!$I$10,L2&lt;=leyenda!$J$11,leyenda!$I$11)</calculatedColumnFormula>
    </tableColumn>
    <tableColumn id="22" xr3:uid="{5884F93B-B20E-4487-9086-6A44D98AA797}" name="Dirección" dataDxfId="9" totalsRowDxfId="8"/>
    <tableColumn id="23" xr3:uid="{05CB99A2-8574-4E97-98D1-4E4BBDE6CE2C}" name="Distrito" dataDxfId="7" totalsRowDxfId="6"/>
    <tableColumn id="24" xr3:uid="{88637205-9313-4C0A-843E-2AEF4920A7E7}" name="Provincia" dataDxfId="5" totalsRowDxfId="4"/>
    <tableColumn id="25" xr3:uid="{017B0943-A87B-4A40-AFA0-6B9662B7413D}" name="Pais" dataDxfId="3" totalsRowDxfId="2"/>
    <tableColumn id="26" xr3:uid="{3E851B13-6CB6-446E-AE58-DDBF743BCA53}" name="Comentario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8EB0-59FF-4694-A0FE-58AC062CD3ED}">
  <sheetPr>
    <tabColor rgb="FFFFFF00"/>
  </sheetPr>
  <dimension ref="A1:Z121"/>
  <sheetViews>
    <sheetView showGridLines="0" tabSelected="1" topLeftCell="T103" workbookViewId="0">
      <selection activeCell="Y49" sqref="Y49"/>
    </sheetView>
  </sheetViews>
  <sheetFormatPr baseColWidth="10" defaultRowHeight="13.5" x14ac:dyDescent="0.25"/>
  <cols>
    <col min="1" max="1" width="17" style="1" customWidth="1"/>
    <col min="2" max="2" width="39.140625" style="1" customWidth="1"/>
    <col min="3" max="3" width="15.85546875" style="1" customWidth="1"/>
    <col min="4" max="4" width="17.5703125" style="1" customWidth="1"/>
    <col min="5" max="5" width="13.5703125" style="1" customWidth="1"/>
    <col min="6" max="6" width="20.5703125" style="1" customWidth="1"/>
    <col min="7" max="7" width="16" style="1" customWidth="1"/>
    <col min="8" max="8" width="14" style="1" customWidth="1"/>
    <col min="9" max="9" width="18.42578125" style="1" customWidth="1"/>
    <col min="10" max="10" width="14.28515625" style="1" customWidth="1"/>
    <col min="11" max="11" width="10.5703125" style="1" customWidth="1"/>
    <col min="12" max="12" width="9.85546875" style="1" customWidth="1"/>
    <col min="13" max="13" width="14.5703125" style="1" customWidth="1"/>
    <col min="14" max="14" width="13.5703125" style="1" customWidth="1"/>
    <col min="15" max="15" width="14.7109375" style="1" customWidth="1"/>
    <col min="16" max="16" width="15.28515625" style="1" customWidth="1"/>
    <col min="17" max="17" width="12.42578125" style="1" customWidth="1"/>
    <col min="18" max="18" width="16.42578125" style="1" customWidth="1"/>
    <col min="19" max="19" width="19.28515625" style="1" customWidth="1"/>
    <col min="20" max="20" width="17.5703125" style="1" customWidth="1"/>
    <col min="21" max="21" width="20.140625" style="1" customWidth="1"/>
    <col min="22" max="22" width="72.7109375" style="1" customWidth="1"/>
    <col min="23" max="23" width="11.42578125" style="1" customWidth="1"/>
    <col min="24" max="24" width="15.5703125" style="1" customWidth="1"/>
    <col min="25" max="25" width="15.42578125" style="1" customWidth="1"/>
    <col min="26" max="26" width="35.7109375" style="1" customWidth="1"/>
    <col min="27" max="16384" width="11.42578125" style="1"/>
  </cols>
  <sheetData>
    <row r="1" spans="1:26" s="50" customFormat="1" ht="51" customHeight="1" x14ac:dyDescent="0.25">
      <c r="A1" s="30" t="s">
        <v>25</v>
      </c>
      <c r="B1" s="31" t="s">
        <v>15</v>
      </c>
      <c r="C1" s="31" t="s">
        <v>16</v>
      </c>
      <c r="D1" s="31" t="s">
        <v>17</v>
      </c>
      <c r="E1" s="31" t="s">
        <v>18</v>
      </c>
      <c r="F1" s="32" t="s">
        <v>27</v>
      </c>
      <c r="G1" s="32" t="s">
        <v>19</v>
      </c>
      <c r="H1" s="31" t="s">
        <v>20</v>
      </c>
      <c r="I1" s="32" t="s">
        <v>21</v>
      </c>
      <c r="J1" s="32" t="s">
        <v>22</v>
      </c>
      <c r="K1" s="32" t="s">
        <v>24</v>
      </c>
      <c r="L1" s="32" t="s">
        <v>23</v>
      </c>
      <c r="M1" s="32" t="s">
        <v>348</v>
      </c>
      <c r="N1" s="33" t="s">
        <v>26</v>
      </c>
      <c r="O1" s="34" t="s">
        <v>351</v>
      </c>
      <c r="P1" s="35" t="s">
        <v>350</v>
      </c>
      <c r="Q1" s="35" t="s">
        <v>352</v>
      </c>
      <c r="R1" s="35" t="s">
        <v>353</v>
      </c>
      <c r="S1" s="35" t="s">
        <v>354</v>
      </c>
      <c r="T1" s="36" t="s">
        <v>355</v>
      </c>
      <c r="U1" s="36" t="s">
        <v>356</v>
      </c>
      <c r="V1" s="35" t="s">
        <v>28</v>
      </c>
      <c r="W1" s="35" t="s">
        <v>29</v>
      </c>
      <c r="X1" s="35" t="s">
        <v>30</v>
      </c>
      <c r="Y1" s="37" t="s">
        <v>31</v>
      </c>
      <c r="Z1" s="35" t="s">
        <v>435</v>
      </c>
    </row>
    <row r="2" spans="1:26" x14ac:dyDescent="0.25">
      <c r="A2" s="28" t="s">
        <v>36</v>
      </c>
      <c r="B2" s="8" t="s">
        <v>32</v>
      </c>
      <c r="C2" s="8" t="s">
        <v>33</v>
      </c>
      <c r="D2" s="8" t="s">
        <v>34</v>
      </c>
      <c r="E2" s="8" t="s">
        <v>35</v>
      </c>
      <c r="F2" s="8" t="s">
        <v>39</v>
      </c>
      <c r="G2" s="9">
        <v>45350</v>
      </c>
      <c r="H2" s="13">
        <v>45350</v>
      </c>
      <c r="I2" s="9">
        <v>45350</v>
      </c>
      <c r="J2" s="10">
        <v>748.25</v>
      </c>
      <c r="K2" s="18" t="str">
        <f t="shared" ref="K2:K33" si="0">IFERROR(IF(O2,"0.00",N2),"0.00")</f>
        <v>0.00</v>
      </c>
      <c r="L2" s="16">
        <f t="shared" ref="L2:L33" ca="1" si="1">+I2-P2</f>
        <v>-156</v>
      </c>
      <c r="M2" s="17">
        <f t="shared" ref="M2:M33" si="2">+J2+K2</f>
        <v>748.25</v>
      </c>
      <c r="N2" s="19">
        <f ca="1">IFERROR(IF(TODAY()-I2-8&lt;=0,"",TODAY()-I2-8)*leyenda!$A$8*J2,"0.00")</f>
        <v>34.866965415550546</v>
      </c>
      <c r="O2" s="13" t="s">
        <v>37</v>
      </c>
      <c r="P2" s="13">
        <f t="shared" ref="P2:P33" ca="1" si="3">TODAY()</f>
        <v>45506</v>
      </c>
      <c r="Q2" s="8" t="str">
        <f ca="1">IF(L2&lt;=0,leyenda!$E$8,IF(L2&lt;=leyenda!$D$5,leyenda!$E$7,leyenda!$E$6))</f>
        <v>VENCIDO</v>
      </c>
      <c r="R2" s="8" t="str">
        <f t="shared" ref="R2:R33" ca="1" si="4">+Q2</f>
        <v>VENCIDO</v>
      </c>
      <c r="S2" s="8" t="s">
        <v>38</v>
      </c>
      <c r="T2" s="15"/>
      <c r="U2" s="8" t="str" cm="1">
        <f t="array" aca="1" ref="U2" ca="1">_xlfn.IFS(L2&gt;=leyenda!$J$6,leyenda!$I$6,L2&gt;=leyenda!$J$7,leyenda!$I$7,L2&gt;=leyenda!$J$8,leyenda!$I$8,L2&gt;=leyenda!$J$9,leyenda!$I$9,L2&gt;=leyenda!$J$10,leyenda!$I$10,L2&lt;=leyenda!$J$11,leyenda!$I$11)</f>
        <v>A6 DE 91 A MÁS DIAS</v>
      </c>
      <c r="V2" s="8" t="s">
        <v>40</v>
      </c>
      <c r="W2" s="8"/>
      <c r="X2" s="8"/>
      <c r="Y2" s="29" t="s">
        <v>230</v>
      </c>
      <c r="Z2" s="55" t="s">
        <v>438</v>
      </c>
    </row>
    <row r="3" spans="1:26" x14ac:dyDescent="0.25">
      <c r="A3" s="28" t="s">
        <v>36</v>
      </c>
      <c r="B3" s="8" t="s">
        <v>32</v>
      </c>
      <c r="C3" s="8" t="s">
        <v>33</v>
      </c>
      <c r="D3" s="8" t="s">
        <v>41</v>
      </c>
      <c r="E3" s="8" t="s">
        <v>357</v>
      </c>
      <c r="F3" s="8" t="s">
        <v>42</v>
      </c>
      <c r="G3" s="9">
        <v>45280</v>
      </c>
      <c r="H3" s="13">
        <v>45303</v>
      </c>
      <c r="I3" s="9">
        <f>+H3+45</f>
        <v>45348</v>
      </c>
      <c r="J3" s="10">
        <v>1954.84</v>
      </c>
      <c r="K3" s="18">
        <f t="shared" ca="1" si="0"/>
        <v>92.322633901989548</v>
      </c>
      <c r="L3" s="16">
        <f t="shared" ca="1" si="1"/>
        <v>-158</v>
      </c>
      <c r="M3" s="17">
        <f t="shared" ca="1" si="2"/>
        <v>2047.1626339019895</v>
      </c>
      <c r="N3" s="19">
        <f ca="1">IFERROR(IF(TODAY()-I3-8&lt;=0,"",TODAY()-I3-8)*leyenda!$A$8*J3,"0.00")</f>
        <v>92.322633901989548</v>
      </c>
      <c r="O3" s="13"/>
      <c r="P3" s="13">
        <f t="shared" ca="1" si="3"/>
        <v>45506</v>
      </c>
      <c r="Q3" s="8" t="str">
        <f ca="1">IF(L3&lt;=0,leyenda!$E$8,IF(L3&lt;=leyenda!$D$5,leyenda!$E$7,leyenda!$E$6))</f>
        <v>VENCIDO</v>
      </c>
      <c r="R3" s="8" t="str">
        <f t="shared" ca="1" si="4"/>
        <v>VENCIDO</v>
      </c>
      <c r="S3" s="8" t="s">
        <v>38</v>
      </c>
      <c r="T3" s="15"/>
      <c r="U3" s="8" t="str" cm="1">
        <f t="array" aca="1" ref="U3" ca="1">_xlfn.IFS(L3&gt;=leyenda!$J$6,leyenda!$I$6,L3&gt;=leyenda!$J$7,leyenda!$I$7,L3&gt;=leyenda!$J$8,leyenda!$I$8,L3&gt;=leyenda!$J$9,leyenda!$I$9,L3&gt;=leyenda!$J$10,leyenda!$I$10,L3&lt;=leyenda!$J$11,leyenda!$I$11)</f>
        <v>A6 DE 91 A MÁS DIAS</v>
      </c>
      <c r="V3" s="8" t="s">
        <v>40</v>
      </c>
      <c r="W3" s="8"/>
      <c r="X3" s="8"/>
      <c r="Y3" s="29" t="s">
        <v>230</v>
      </c>
      <c r="Z3" s="55" t="s">
        <v>438</v>
      </c>
    </row>
    <row r="4" spans="1:26" hidden="1" x14ac:dyDescent="0.25">
      <c r="A4" s="28" t="s">
        <v>36</v>
      </c>
      <c r="B4" s="8" t="s">
        <v>32</v>
      </c>
      <c r="C4" s="8" t="s">
        <v>43</v>
      </c>
      <c r="D4" s="8" t="s">
        <v>44</v>
      </c>
      <c r="E4" s="8" t="s">
        <v>44</v>
      </c>
      <c r="F4" s="8" t="s">
        <v>45</v>
      </c>
      <c r="G4" s="9">
        <v>45411</v>
      </c>
      <c r="H4" s="13">
        <v>45411</v>
      </c>
      <c r="I4" s="9">
        <v>45411</v>
      </c>
      <c r="J4" s="10">
        <v>-33883.199999999997</v>
      </c>
      <c r="K4" s="18" t="str">
        <f t="shared" si="0"/>
        <v>0.00</v>
      </c>
      <c r="L4" s="16">
        <f t="shared" ca="1" si="1"/>
        <v>-95</v>
      </c>
      <c r="M4" s="17">
        <f t="shared" si="2"/>
        <v>-33883.199999999997</v>
      </c>
      <c r="N4" s="19">
        <f ca="1">IFERROR(IF(TODAY()-I4-8&lt;=0,"",TODAY()-I4-8)*leyenda!$A$8*J4,"0.00")</f>
        <v>-928.13122098799772</v>
      </c>
      <c r="O4" s="14" t="s">
        <v>43</v>
      </c>
      <c r="P4" s="13">
        <f t="shared" ca="1" si="3"/>
        <v>45506</v>
      </c>
      <c r="Q4" s="8" t="str">
        <f ca="1">IF(L4&lt;=0,leyenda!$E$8,IF(L4&lt;=leyenda!$D$5,leyenda!$E$7,leyenda!$E$6))</f>
        <v>VENCIDO</v>
      </c>
      <c r="R4" s="8" t="str">
        <f t="shared" ca="1" si="4"/>
        <v>VENCIDO</v>
      </c>
      <c r="S4" s="8" t="s">
        <v>38</v>
      </c>
      <c r="T4" s="15"/>
      <c r="U4" s="8" t="str" cm="1">
        <f t="array" aca="1" ref="U4" ca="1">_xlfn.IFS(L4&gt;=leyenda!$J$6,leyenda!$I$6,L4&gt;=leyenda!$J$7,leyenda!$I$7,L4&gt;=leyenda!$J$8,leyenda!$I$8,L4&gt;=leyenda!$J$9,leyenda!$I$9,L4&gt;=leyenda!$J$10,leyenda!$I$10,L4&lt;=leyenda!$J$11,leyenda!$I$11)</f>
        <v>A6 DE 91 A MÁS DIAS</v>
      </c>
      <c r="V4" s="8" t="s">
        <v>40</v>
      </c>
      <c r="W4" s="8"/>
      <c r="X4" s="8"/>
      <c r="Y4" s="29" t="s">
        <v>230</v>
      </c>
      <c r="Z4" s="8"/>
    </row>
    <row r="5" spans="1:26" x14ac:dyDescent="0.25">
      <c r="A5" s="28" t="s">
        <v>48</v>
      </c>
      <c r="B5" s="8" t="s">
        <v>46</v>
      </c>
      <c r="C5" s="8" t="s">
        <v>33</v>
      </c>
      <c r="D5" s="8" t="s">
        <v>59</v>
      </c>
      <c r="E5" s="8" t="s">
        <v>60</v>
      </c>
      <c r="F5" s="8" t="s">
        <v>50</v>
      </c>
      <c r="G5" s="9">
        <v>45126</v>
      </c>
      <c r="H5" s="13">
        <v>45126</v>
      </c>
      <c r="I5" s="9">
        <f>H5+105</f>
        <v>45231</v>
      </c>
      <c r="J5" s="10">
        <v>37198.410000000003</v>
      </c>
      <c r="K5" s="18" t="str">
        <f t="shared" si="0"/>
        <v>0.00</v>
      </c>
      <c r="L5" s="16">
        <f t="shared" ca="1" si="1"/>
        <v>-275</v>
      </c>
      <c r="M5" s="17">
        <f t="shared" si="2"/>
        <v>37198.410000000003</v>
      </c>
      <c r="N5" s="19">
        <f ca="1">IFERROR(IF(TODAY()-I5-8&lt;=0,"",TODAY()-I5-8)*leyenda!$A$8*J5,"0.00")</f>
        <v>3127.0969669822962</v>
      </c>
      <c r="O5" s="14" t="s">
        <v>49</v>
      </c>
      <c r="P5" s="13">
        <f t="shared" ca="1" si="3"/>
        <v>45506</v>
      </c>
      <c r="Q5" s="8" t="str">
        <f ca="1">IF(L5&lt;=0,leyenda!$E$8,IF(L5&lt;=leyenda!$D$5,leyenda!$E$7,leyenda!$E$6))</f>
        <v>VENCIDO</v>
      </c>
      <c r="R5" s="8" t="str">
        <f t="shared" ca="1" si="4"/>
        <v>VENCIDO</v>
      </c>
      <c r="S5" s="8" t="s">
        <v>38</v>
      </c>
      <c r="T5" s="15"/>
      <c r="U5" s="8" t="str" cm="1">
        <f t="array" aca="1" ref="U5" ca="1">_xlfn.IFS(L5&gt;=leyenda!$J$6,leyenda!$I$6,L5&gt;=leyenda!$J$7,leyenda!$I$7,L5&gt;=leyenda!$J$8,leyenda!$I$8,L5&gt;=leyenda!$J$9,leyenda!$I$9,L5&gt;=leyenda!$J$10,leyenda!$I$10,L5&lt;=leyenda!$J$11,leyenda!$I$11)</f>
        <v>A6 DE 91 A MÁS DIAS</v>
      </c>
      <c r="V5" s="8" t="s">
        <v>51</v>
      </c>
      <c r="W5" s="8" t="s">
        <v>52</v>
      </c>
      <c r="X5" s="8" t="s">
        <v>53</v>
      </c>
      <c r="Y5" s="29" t="s">
        <v>49</v>
      </c>
      <c r="Z5" s="8" t="s">
        <v>439</v>
      </c>
    </row>
    <row r="6" spans="1:26" x14ac:dyDescent="0.25">
      <c r="A6" s="28" t="s">
        <v>48</v>
      </c>
      <c r="B6" s="8" t="s">
        <v>46</v>
      </c>
      <c r="C6" s="8" t="s">
        <v>33</v>
      </c>
      <c r="D6" s="8" t="s">
        <v>61</v>
      </c>
      <c r="E6" s="8" t="s">
        <v>410</v>
      </c>
      <c r="F6" s="8" t="s">
        <v>50</v>
      </c>
      <c r="G6" s="9">
        <v>45174</v>
      </c>
      <c r="H6" s="13">
        <v>45177</v>
      </c>
      <c r="I6" s="9">
        <f>H6+105</f>
        <v>45282</v>
      </c>
      <c r="J6" s="10">
        <v>93105</v>
      </c>
      <c r="K6" s="18" t="str">
        <f t="shared" si="0"/>
        <v>0.00</v>
      </c>
      <c r="L6" s="16">
        <f t="shared" ca="1" si="1"/>
        <v>-224</v>
      </c>
      <c r="M6" s="17">
        <f t="shared" si="2"/>
        <v>93105</v>
      </c>
      <c r="N6" s="19">
        <f ca="1">IFERROR(IF(TODAY()-I6-8&lt;=0,"",TODAY()-I6-8)*leyenda!$A$8*J6,"0.00")</f>
        <v>6331.8769384708839</v>
      </c>
      <c r="O6" s="14" t="s">
        <v>49</v>
      </c>
      <c r="P6" s="13">
        <f t="shared" ca="1" si="3"/>
        <v>45506</v>
      </c>
      <c r="Q6" s="8" t="str">
        <f ca="1">IF(L6&lt;=0,leyenda!$E$8,IF(L6&lt;=leyenda!$D$5,leyenda!$E$7,leyenda!$E$6))</f>
        <v>VENCIDO</v>
      </c>
      <c r="R6" s="8" t="str">
        <f t="shared" ca="1" si="4"/>
        <v>VENCIDO</v>
      </c>
      <c r="S6" s="8" t="s">
        <v>38</v>
      </c>
      <c r="T6" s="15"/>
      <c r="U6" s="8" t="str" cm="1">
        <f t="array" aca="1" ref="U6" ca="1">_xlfn.IFS(L6&gt;=leyenda!$J$6,leyenda!$I$6,L6&gt;=leyenda!$J$7,leyenda!$I$7,L6&gt;=leyenda!$J$8,leyenda!$I$8,L6&gt;=leyenda!$J$9,leyenda!$I$9,L6&gt;=leyenda!$J$10,leyenda!$I$10,L6&lt;=leyenda!$J$11,leyenda!$I$11)</f>
        <v>A6 DE 91 A MÁS DIAS</v>
      </c>
      <c r="V6" s="8" t="s">
        <v>51</v>
      </c>
      <c r="W6" s="8" t="s">
        <v>52</v>
      </c>
      <c r="X6" s="8" t="s">
        <v>53</v>
      </c>
      <c r="Y6" s="29" t="s">
        <v>49</v>
      </c>
      <c r="Z6" s="8" t="s">
        <v>439</v>
      </c>
    </row>
    <row r="7" spans="1:26" x14ac:dyDescent="0.25">
      <c r="A7" s="28" t="s">
        <v>48</v>
      </c>
      <c r="B7" s="8" t="s">
        <v>46</v>
      </c>
      <c r="C7" s="8" t="s">
        <v>71</v>
      </c>
      <c r="D7" s="8" t="s">
        <v>72</v>
      </c>
      <c r="E7" s="8" t="s">
        <v>73</v>
      </c>
      <c r="F7" s="8" t="s">
        <v>50</v>
      </c>
      <c r="G7" s="9">
        <v>45181</v>
      </c>
      <c r="H7" s="13">
        <v>45181</v>
      </c>
      <c r="I7" s="9">
        <f>+H7+105</f>
        <v>45286</v>
      </c>
      <c r="J7" s="10">
        <v>398.72</v>
      </c>
      <c r="K7" s="18" t="str">
        <f t="shared" si="0"/>
        <v>0.00</v>
      </c>
      <c r="L7" s="16">
        <f t="shared" ca="1" si="1"/>
        <v>-220</v>
      </c>
      <c r="M7" s="17">
        <f t="shared" si="2"/>
        <v>398.72</v>
      </c>
      <c r="N7" s="19">
        <f ca="1">IFERROR(IF(TODAY()-I7-8&lt;=0,"",TODAY()-I7-8)*leyenda!$A$8*J7,"0.00")</f>
        <v>26.613965627035363</v>
      </c>
      <c r="O7" s="14" t="s">
        <v>49</v>
      </c>
      <c r="P7" s="13">
        <f t="shared" ca="1" si="3"/>
        <v>45506</v>
      </c>
      <c r="Q7" s="8" t="str">
        <f ca="1">IF(L7&lt;=0,leyenda!$E$8,IF(L7&lt;=leyenda!$D$5,leyenda!$E$7,leyenda!$E$6))</f>
        <v>VENCIDO</v>
      </c>
      <c r="R7" s="8" t="str">
        <f t="shared" ca="1" si="4"/>
        <v>VENCIDO</v>
      </c>
      <c r="S7" s="8" t="s">
        <v>38</v>
      </c>
      <c r="T7" s="15"/>
      <c r="U7" s="8" t="str" cm="1">
        <f t="array" aca="1" ref="U7" ca="1">_xlfn.IFS(L7&gt;=leyenda!$J$6,leyenda!$I$6,L7&gt;=leyenda!$J$7,leyenda!$I$7,L7&gt;=leyenda!$J$8,leyenda!$I$8,L7&gt;=leyenda!$J$9,leyenda!$I$9,L7&gt;=leyenda!$J$10,leyenda!$I$10,L7&lt;=leyenda!$J$11,leyenda!$I$11)</f>
        <v>A6 DE 91 A MÁS DIAS</v>
      </c>
      <c r="V7" s="8" t="s">
        <v>51</v>
      </c>
      <c r="W7" s="8" t="s">
        <v>52</v>
      </c>
      <c r="X7" s="8" t="s">
        <v>53</v>
      </c>
      <c r="Y7" s="29" t="s">
        <v>49</v>
      </c>
      <c r="Z7" s="8" t="s">
        <v>439</v>
      </c>
    </row>
    <row r="8" spans="1:26" x14ac:dyDescent="0.25">
      <c r="A8" s="28" t="s">
        <v>48</v>
      </c>
      <c r="B8" s="8" t="s">
        <v>46</v>
      </c>
      <c r="C8" s="8" t="s">
        <v>33</v>
      </c>
      <c r="D8" s="8" t="s">
        <v>395</v>
      </c>
      <c r="E8" s="8" t="s">
        <v>409</v>
      </c>
      <c r="F8" s="8" t="s">
        <v>50</v>
      </c>
      <c r="G8" s="9">
        <v>45191</v>
      </c>
      <c r="H8" s="13">
        <v>45194</v>
      </c>
      <c r="I8" s="9">
        <f>H8+105</f>
        <v>45299</v>
      </c>
      <c r="J8" s="10">
        <v>140262</v>
      </c>
      <c r="K8" s="18" t="str">
        <f t="shared" si="0"/>
        <v>0.00</v>
      </c>
      <c r="L8" s="16">
        <f t="shared" ca="1" si="1"/>
        <v>-207</v>
      </c>
      <c r="M8" s="17">
        <f t="shared" si="2"/>
        <v>140262</v>
      </c>
      <c r="N8" s="19">
        <f ca="1">IFERROR(IF(TODAY()-I8-8&lt;=0,"",TODAY()-I8-8)*leyenda!$A$8*J8,"0.00")</f>
        <v>8788.1773717058204</v>
      </c>
      <c r="O8" s="14" t="s">
        <v>49</v>
      </c>
      <c r="P8" s="13">
        <f t="shared" ca="1" si="3"/>
        <v>45506</v>
      </c>
      <c r="Q8" s="8" t="str">
        <f ca="1">IF(L8&lt;=0,leyenda!$E$8,IF(L8&lt;=leyenda!$D$5,leyenda!$E$7,leyenda!$E$6))</f>
        <v>VENCIDO</v>
      </c>
      <c r="R8" s="8" t="str">
        <f t="shared" ca="1" si="4"/>
        <v>VENCIDO</v>
      </c>
      <c r="S8" s="8" t="s">
        <v>38</v>
      </c>
      <c r="T8" s="15"/>
      <c r="U8" s="8" t="str" cm="1">
        <f t="array" aca="1" ref="U8" ca="1">_xlfn.IFS(L8&gt;=leyenda!$J$6,leyenda!$I$6,L8&gt;=leyenda!$J$7,leyenda!$I$7,L8&gt;=leyenda!$J$8,leyenda!$I$8,L8&gt;=leyenda!$J$9,leyenda!$I$9,L8&gt;=leyenda!$J$10,leyenda!$I$10,L8&lt;=leyenda!$J$11,leyenda!$I$11)</f>
        <v>A6 DE 91 A MÁS DIAS</v>
      </c>
      <c r="V8" s="8" t="s">
        <v>51</v>
      </c>
      <c r="W8" s="8" t="s">
        <v>52</v>
      </c>
      <c r="X8" s="8" t="s">
        <v>53</v>
      </c>
      <c r="Y8" s="29" t="s">
        <v>49</v>
      </c>
      <c r="Z8" s="8" t="s">
        <v>439</v>
      </c>
    </row>
    <row r="9" spans="1:26" x14ac:dyDescent="0.25">
      <c r="A9" s="28" t="s">
        <v>48</v>
      </c>
      <c r="B9" s="8" t="s">
        <v>46</v>
      </c>
      <c r="C9" s="8" t="s">
        <v>33</v>
      </c>
      <c r="D9" s="8" t="s">
        <v>47</v>
      </c>
      <c r="E9" s="8" t="s">
        <v>393</v>
      </c>
      <c r="F9" s="8" t="s">
        <v>50</v>
      </c>
      <c r="G9" s="9">
        <v>45223</v>
      </c>
      <c r="H9" s="13">
        <v>45224</v>
      </c>
      <c r="I9" s="9">
        <f t="shared" ref="I9:I16" si="5">+H9+105</f>
        <v>45329</v>
      </c>
      <c r="J9" s="10">
        <v>47020.01</v>
      </c>
      <c r="K9" s="18" t="str">
        <f t="shared" si="0"/>
        <v>0.00</v>
      </c>
      <c r="L9" s="16">
        <f t="shared" ca="1" si="1"/>
        <v>-177</v>
      </c>
      <c r="M9" s="17">
        <f t="shared" si="2"/>
        <v>47020.01</v>
      </c>
      <c r="N9" s="19">
        <f ca="1">IFERROR(IF(TODAY()-I9-8&lt;=0,"",TODAY()-I9-8)*leyenda!$A$8*J9,"0.00")</f>
        <v>2501.9298684678133</v>
      </c>
      <c r="O9" s="14" t="s">
        <v>49</v>
      </c>
      <c r="P9" s="13">
        <f t="shared" ca="1" si="3"/>
        <v>45506</v>
      </c>
      <c r="Q9" s="8" t="str">
        <f ca="1">IF(L9&lt;=0,leyenda!$E$8,IF(L9&lt;=leyenda!$D$5,leyenda!$E$7,leyenda!$E$6))</f>
        <v>VENCIDO</v>
      </c>
      <c r="R9" s="8" t="str">
        <f t="shared" ca="1" si="4"/>
        <v>VENCIDO</v>
      </c>
      <c r="S9" s="8" t="s">
        <v>38</v>
      </c>
      <c r="T9" s="15"/>
      <c r="U9" s="8" t="str" cm="1">
        <f t="array" aca="1" ref="U9" ca="1">_xlfn.IFS(L9&gt;=leyenda!$J$6,leyenda!$I$6,L9&gt;=leyenda!$J$7,leyenda!$I$7,L9&gt;=leyenda!$J$8,leyenda!$I$8,L9&gt;=leyenda!$J$9,leyenda!$I$9,L9&gt;=leyenda!$J$10,leyenda!$I$10,L9&lt;=leyenda!$J$11,leyenda!$I$11)</f>
        <v>A6 DE 91 A MÁS DIAS</v>
      </c>
      <c r="V9" s="8" t="s">
        <v>51</v>
      </c>
      <c r="W9" s="8" t="s">
        <v>52</v>
      </c>
      <c r="X9" s="8" t="s">
        <v>53</v>
      </c>
      <c r="Y9" s="29" t="s">
        <v>49</v>
      </c>
      <c r="Z9" s="8" t="s">
        <v>439</v>
      </c>
    </row>
    <row r="10" spans="1:26" x14ac:dyDescent="0.25">
      <c r="A10" s="28" t="s">
        <v>48</v>
      </c>
      <c r="B10" s="8" t="s">
        <v>46</v>
      </c>
      <c r="C10" s="8" t="s">
        <v>33</v>
      </c>
      <c r="D10" s="8" t="s">
        <v>54</v>
      </c>
      <c r="E10" s="8" t="s">
        <v>394</v>
      </c>
      <c r="F10" s="8" t="s">
        <v>50</v>
      </c>
      <c r="G10" s="9">
        <v>45223</v>
      </c>
      <c r="H10" s="13">
        <v>45224</v>
      </c>
      <c r="I10" s="9">
        <f t="shared" si="5"/>
        <v>45329</v>
      </c>
      <c r="J10" s="10">
        <v>48076</v>
      </c>
      <c r="K10" s="18" t="str">
        <f t="shared" si="0"/>
        <v>0.00</v>
      </c>
      <c r="L10" s="16">
        <f t="shared" ca="1" si="1"/>
        <v>-177</v>
      </c>
      <c r="M10" s="17">
        <f t="shared" si="2"/>
        <v>48076</v>
      </c>
      <c r="N10" s="19">
        <f ca="1">IFERROR(IF(TODAY()-I10-8&lt;=0,"",TODAY()-I10-8)*leyenda!$A$8*J10,"0.00")</f>
        <v>2558.1189871388501</v>
      </c>
      <c r="O10" s="14" t="s">
        <v>49</v>
      </c>
      <c r="P10" s="13">
        <f t="shared" ca="1" si="3"/>
        <v>45506</v>
      </c>
      <c r="Q10" s="8" t="str">
        <f ca="1">IF(L10&lt;=0,leyenda!$E$8,IF(L10&lt;=leyenda!$D$5,leyenda!$E$7,leyenda!$E$6))</f>
        <v>VENCIDO</v>
      </c>
      <c r="R10" s="8" t="str">
        <f t="shared" ca="1" si="4"/>
        <v>VENCIDO</v>
      </c>
      <c r="S10" s="8" t="s">
        <v>38</v>
      </c>
      <c r="T10" s="15"/>
      <c r="U10" s="8" t="str" cm="1">
        <f t="array" aca="1" ref="U10" ca="1">_xlfn.IFS(L10&gt;=leyenda!$J$6,leyenda!$I$6,L10&gt;=leyenda!$J$7,leyenda!$I$7,L10&gt;=leyenda!$J$8,leyenda!$I$8,L10&gt;=leyenda!$J$9,leyenda!$I$9,L10&gt;=leyenda!$J$10,leyenda!$I$10,L10&lt;=leyenda!$J$11,leyenda!$I$11)</f>
        <v>A6 DE 91 A MÁS DIAS</v>
      </c>
      <c r="V10" s="8" t="s">
        <v>51</v>
      </c>
      <c r="W10" s="8" t="s">
        <v>52</v>
      </c>
      <c r="X10" s="8" t="s">
        <v>53</v>
      </c>
      <c r="Y10" s="29" t="s">
        <v>49</v>
      </c>
      <c r="Z10" s="8" t="s">
        <v>439</v>
      </c>
    </row>
    <row r="11" spans="1:26" x14ac:dyDescent="0.25">
      <c r="A11" s="28" t="s">
        <v>48</v>
      </c>
      <c r="B11" s="8" t="s">
        <v>46</v>
      </c>
      <c r="C11" s="8" t="s">
        <v>33</v>
      </c>
      <c r="D11" s="8" t="s">
        <v>55</v>
      </c>
      <c r="E11" s="8" t="s">
        <v>393</v>
      </c>
      <c r="F11" s="8" t="s">
        <v>50</v>
      </c>
      <c r="G11" s="9">
        <v>45223</v>
      </c>
      <c r="H11" s="13">
        <v>45224</v>
      </c>
      <c r="I11" s="9">
        <f t="shared" si="5"/>
        <v>45329</v>
      </c>
      <c r="J11" s="10">
        <v>61678</v>
      </c>
      <c r="K11" s="18" t="str">
        <f t="shared" si="0"/>
        <v>0.00</v>
      </c>
      <c r="L11" s="16">
        <f t="shared" ca="1" si="1"/>
        <v>-177</v>
      </c>
      <c r="M11" s="17">
        <f t="shared" si="2"/>
        <v>61678</v>
      </c>
      <c r="N11" s="19">
        <f ca="1">IFERROR(IF(TODAY()-I11-8&lt;=0,"",TODAY()-I11-8)*leyenda!$A$8*J11,"0.00")</f>
        <v>3281.8800001820032</v>
      </c>
      <c r="O11" s="14" t="s">
        <v>49</v>
      </c>
      <c r="P11" s="13">
        <f t="shared" ca="1" si="3"/>
        <v>45506</v>
      </c>
      <c r="Q11" s="8" t="str">
        <f ca="1">IF(L11&lt;=0,leyenda!$E$8,IF(L11&lt;=leyenda!$D$5,leyenda!$E$7,leyenda!$E$6))</f>
        <v>VENCIDO</v>
      </c>
      <c r="R11" s="8" t="str">
        <f t="shared" ca="1" si="4"/>
        <v>VENCIDO</v>
      </c>
      <c r="S11" s="8" t="s">
        <v>38</v>
      </c>
      <c r="T11" s="15"/>
      <c r="U11" s="8" t="str" cm="1">
        <f t="array" aca="1" ref="U11" ca="1">_xlfn.IFS(L11&gt;=leyenda!$J$6,leyenda!$I$6,L11&gt;=leyenda!$J$7,leyenda!$I$7,L11&gt;=leyenda!$J$8,leyenda!$I$8,L11&gt;=leyenda!$J$9,leyenda!$I$9,L11&gt;=leyenda!$J$10,leyenda!$I$10,L11&lt;=leyenda!$J$11,leyenda!$I$11)</f>
        <v>A6 DE 91 A MÁS DIAS</v>
      </c>
      <c r="V11" s="8" t="s">
        <v>51</v>
      </c>
      <c r="W11" s="8" t="s">
        <v>52</v>
      </c>
      <c r="X11" s="8" t="s">
        <v>53</v>
      </c>
      <c r="Y11" s="29" t="s">
        <v>49</v>
      </c>
      <c r="Z11" s="8" t="s">
        <v>439</v>
      </c>
    </row>
    <row r="12" spans="1:26" x14ac:dyDescent="0.25">
      <c r="A12" s="28" t="s">
        <v>48</v>
      </c>
      <c r="B12" s="8" t="s">
        <v>46</v>
      </c>
      <c r="C12" s="8" t="s">
        <v>33</v>
      </c>
      <c r="D12" s="8" t="s">
        <v>56</v>
      </c>
      <c r="E12" s="8" t="s">
        <v>57</v>
      </c>
      <c r="F12" s="8" t="s">
        <v>50</v>
      </c>
      <c r="G12" s="9">
        <v>45223</v>
      </c>
      <c r="H12" s="13">
        <v>45224</v>
      </c>
      <c r="I12" s="9">
        <f t="shared" si="5"/>
        <v>45329</v>
      </c>
      <c r="J12" s="10">
        <v>27716</v>
      </c>
      <c r="K12" s="18" t="str">
        <f t="shared" si="0"/>
        <v>0.00</v>
      </c>
      <c r="L12" s="16">
        <f t="shared" ca="1" si="1"/>
        <v>-177</v>
      </c>
      <c r="M12" s="17">
        <f t="shared" si="2"/>
        <v>27716</v>
      </c>
      <c r="N12" s="19">
        <f ca="1">IFERROR(IF(TODAY()-I12-8&lt;=0,"",TODAY()-I12-8)*leyenda!$A$8*J12,"0.00")</f>
        <v>1474.7654931263075</v>
      </c>
      <c r="O12" s="14" t="s">
        <v>49</v>
      </c>
      <c r="P12" s="13">
        <f t="shared" ca="1" si="3"/>
        <v>45506</v>
      </c>
      <c r="Q12" s="8" t="str">
        <f ca="1">IF(L12&lt;=0,leyenda!$E$8,IF(L12&lt;=leyenda!$D$5,leyenda!$E$7,leyenda!$E$6))</f>
        <v>VENCIDO</v>
      </c>
      <c r="R12" s="8" t="str">
        <f t="shared" ca="1" si="4"/>
        <v>VENCIDO</v>
      </c>
      <c r="S12" s="8" t="s">
        <v>38</v>
      </c>
      <c r="T12" s="15"/>
      <c r="U12" s="8" t="str" cm="1">
        <f t="array" aca="1" ref="U12" ca="1">_xlfn.IFS(L12&gt;=leyenda!$J$6,leyenda!$I$6,L12&gt;=leyenda!$J$7,leyenda!$I$7,L12&gt;=leyenda!$J$8,leyenda!$I$8,L12&gt;=leyenda!$J$9,leyenda!$I$9,L12&gt;=leyenda!$J$10,leyenda!$I$10,L12&lt;=leyenda!$J$11,leyenda!$I$11)</f>
        <v>A6 DE 91 A MÁS DIAS</v>
      </c>
      <c r="V12" s="8" t="s">
        <v>51</v>
      </c>
      <c r="W12" s="8" t="s">
        <v>52</v>
      </c>
      <c r="X12" s="8" t="s">
        <v>53</v>
      </c>
      <c r="Y12" s="29" t="s">
        <v>49</v>
      </c>
      <c r="Z12" s="8" t="s">
        <v>439</v>
      </c>
    </row>
    <row r="13" spans="1:26" x14ac:dyDescent="0.25">
      <c r="A13" s="28" t="s">
        <v>48</v>
      </c>
      <c r="B13" s="8" t="s">
        <v>46</v>
      </c>
      <c r="C13" s="8" t="s">
        <v>33</v>
      </c>
      <c r="D13" s="8" t="s">
        <v>62</v>
      </c>
      <c r="E13" s="8" t="s">
        <v>411</v>
      </c>
      <c r="F13" s="8" t="s">
        <v>50</v>
      </c>
      <c r="G13" s="9">
        <v>45267</v>
      </c>
      <c r="H13" s="13">
        <v>45273</v>
      </c>
      <c r="I13" s="9">
        <f t="shared" si="5"/>
        <v>45378</v>
      </c>
      <c r="J13" s="10">
        <v>129073</v>
      </c>
      <c r="K13" s="18" t="str">
        <f t="shared" si="0"/>
        <v>0.00</v>
      </c>
      <c r="L13" s="16">
        <f t="shared" ca="1" si="1"/>
        <v>-128</v>
      </c>
      <c r="M13" s="17">
        <f t="shared" si="2"/>
        <v>129073</v>
      </c>
      <c r="N13" s="19">
        <f ca="1">IFERROR(IF(TODAY()-I13-8&lt;=0,"",TODAY()-I13-8)*leyenda!$A$8*J13,"0.00")</f>
        <v>4876.6586833220099</v>
      </c>
      <c r="O13" s="14" t="s">
        <v>49</v>
      </c>
      <c r="P13" s="13">
        <f t="shared" ca="1" si="3"/>
        <v>45506</v>
      </c>
      <c r="Q13" s="8" t="str">
        <f ca="1">IF(L13&lt;=0,leyenda!$E$8,IF(L13&lt;=leyenda!$D$5,leyenda!$E$7,leyenda!$E$6))</f>
        <v>VENCIDO</v>
      </c>
      <c r="R13" s="8" t="str">
        <f t="shared" ca="1" si="4"/>
        <v>VENCIDO</v>
      </c>
      <c r="S13" s="8" t="s">
        <v>38</v>
      </c>
      <c r="T13" s="15"/>
      <c r="U13" s="8" t="str" cm="1">
        <f t="array" aca="1" ref="U13" ca="1">_xlfn.IFS(L13&gt;=leyenda!$J$6,leyenda!$I$6,L13&gt;=leyenda!$J$7,leyenda!$I$7,L13&gt;=leyenda!$J$8,leyenda!$I$8,L13&gt;=leyenda!$J$9,leyenda!$I$9,L13&gt;=leyenda!$J$10,leyenda!$I$10,L13&lt;=leyenda!$J$11,leyenda!$I$11)</f>
        <v>A6 DE 91 A MÁS DIAS</v>
      </c>
      <c r="V13" s="8" t="s">
        <v>51</v>
      </c>
      <c r="W13" s="8" t="s">
        <v>52</v>
      </c>
      <c r="X13" s="8" t="s">
        <v>53</v>
      </c>
      <c r="Y13" s="29" t="s">
        <v>49</v>
      </c>
      <c r="Z13" s="8" t="s">
        <v>439</v>
      </c>
    </row>
    <row r="14" spans="1:26" x14ac:dyDescent="0.25">
      <c r="A14" s="28" t="s">
        <v>48</v>
      </c>
      <c r="B14" s="8" t="s">
        <v>46</v>
      </c>
      <c r="C14" s="8" t="s">
        <v>33</v>
      </c>
      <c r="D14" s="8" t="s">
        <v>63</v>
      </c>
      <c r="E14" s="8" t="s">
        <v>64</v>
      </c>
      <c r="F14" s="8" t="s">
        <v>50</v>
      </c>
      <c r="G14" s="9">
        <v>45289</v>
      </c>
      <c r="H14" s="13">
        <v>45273</v>
      </c>
      <c r="I14" s="9">
        <f t="shared" si="5"/>
        <v>45378</v>
      </c>
      <c r="J14" s="10">
        <v>168881</v>
      </c>
      <c r="K14" s="18" t="str">
        <f t="shared" si="0"/>
        <v>0.00</v>
      </c>
      <c r="L14" s="16">
        <f t="shared" ca="1" si="1"/>
        <v>-128</v>
      </c>
      <c r="M14" s="17">
        <f t="shared" si="2"/>
        <v>168881</v>
      </c>
      <c r="N14" s="19">
        <f ca="1">IFERROR(IF(TODAY()-I14-8&lt;=0,"",TODAY()-I14-8)*leyenda!$A$8*J14,"0.00")</f>
        <v>6380.6915086664476</v>
      </c>
      <c r="O14" s="14" t="s">
        <v>49</v>
      </c>
      <c r="P14" s="13">
        <f t="shared" ca="1" si="3"/>
        <v>45506</v>
      </c>
      <c r="Q14" s="8" t="str">
        <f ca="1">IF(L14&lt;=0,leyenda!$E$8,IF(L14&lt;=leyenda!$D$5,leyenda!$E$7,leyenda!$E$6))</f>
        <v>VENCIDO</v>
      </c>
      <c r="R14" s="8" t="str">
        <f t="shared" ca="1" si="4"/>
        <v>VENCIDO</v>
      </c>
      <c r="S14" s="8" t="s">
        <v>38</v>
      </c>
      <c r="T14" s="15"/>
      <c r="U14" s="8" t="str" cm="1">
        <f t="array" aca="1" ref="U14" ca="1">_xlfn.IFS(L14&gt;=leyenda!$J$6,leyenda!$I$6,L14&gt;=leyenda!$J$7,leyenda!$I$7,L14&gt;=leyenda!$J$8,leyenda!$I$8,L14&gt;=leyenda!$J$9,leyenda!$I$9,L14&gt;=leyenda!$J$10,leyenda!$I$10,L14&lt;=leyenda!$J$11,leyenda!$I$11)</f>
        <v>A6 DE 91 A MÁS DIAS</v>
      </c>
      <c r="V14" s="8" t="s">
        <v>51</v>
      </c>
      <c r="W14" s="8" t="s">
        <v>52</v>
      </c>
      <c r="X14" s="8" t="s">
        <v>53</v>
      </c>
      <c r="Y14" s="29" t="s">
        <v>49</v>
      </c>
      <c r="Z14" s="8" t="s">
        <v>439</v>
      </c>
    </row>
    <row r="15" spans="1:26" x14ac:dyDescent="0.25">
      <c r="A15" s="28" t="s">
        <v>48</v>
      </c>
      <c r="B15" s="8" t="s">
        <v>46</v>
      </c>
      <c r="C15" s="8" t="s">
        <v>33</v>
      </c>
      <c r="D15" s="8" t="s">
        <v>67</v>
      </c>
      <c r="E15" s="8" t="s">
        <v>68</v>
      </c>
      <c r="F15" s="8" t="s">
        <v>50</v>
      </c>
      <c r="G15" s="9">
        <v>45366</v>
      </c>
      <c r="H15" s="13">
        <v>45371</v>
      </c>
      <c r="I15" s="9">
        <f t="shared" si="5"/>
        <v>45476</v>
      </c>
      <c r="J15" s="10">
        <v>185311.9</v>
      </c>
      <c r="K15" s="18" t="str">
        <f t="shared" si="0"/>
        <v>0.00</v>
      </c>
      <c r="L15" s="16">
        <f t="shared" ca="1" si="1"/>
        <v>-30</v>
      </c>
      <c r="M15" s="17">
        <f t="shared" si="2"/>
        <v>185311.9</v>
      </c>
      <c r="N15" s="19">
        <f ca="1">IFERROR(IF(TODAY()-I15-8&lt;=0,"",TODAY()-I15-8)*leyenda!$A$8*J15,"0.00")</f>
        <v>1283.6058856663672</v>
      </c>
      <c r="O15" s="14" t="s">
        <v>49</v>
      </c>
      <c r="P15" s="13">
        <f t="shared" ca="1" si="3"/>
        <v>45506</v>
      </c>
      <c r="Q15" s="8" t="str">
        <f ca="1">IF(L15&lt;=0,leyenda!$E$8,IF(L15&lt;=leyenda!$D$5,leyenda!$E$7,leyenda!$E$6))</f>
        <v>VENCIDO</v>
      </c>
      <c r="R15" s="8" t="str">
        <f t="shared" ca="1" si="4"/>
        <v>VENCIDO</v>
      </c>
      <c r="S15" s="8" t="s">
        <v>38</v>
      </c>
      <c r="T15" s="15"/>
      <c r="U15" s="8" t="str" cm="1">
        <f t="array" aca="1" ref="U15" ca="1">_xlfn.IFS(L15&gt;=leyenda!$J$6,leyenda!$I$6,L15&gt;=leyenda!$J$7,leyenda!$I$7,L15&gt;=leyenda!$J$8,leyenda!$I$8,L15&gt;=leyenda!$J$9,leyenda!$I$9,L15&gt;=leyenda!$J$10,leyenda!$I$10,L15&lt;=leyenda!$J$11,leyenda!$I$11)</f>
        <v>A3 DE 16 A 30 DIAS</v>
      </c>
      <c r="V15" s="8" t="s">
        <v>51</v>
      </c>
      <c r="W15" s="8" t="s">
        <v>52</v>
      </c>
      <c r="X15" s="8" t="s">
        <v>53</v>
      </c>
      <c r="Y15" s="29" t="s">
        <v>49</v>
      </c>
      <c r="Z15" s="8" t="s">
        <v>439</v>
      </c>
    </row>
    <row r="16" spans="1:26" hidden="1" x14ac:dyDescent="0.25">
      <c r="A16" s="28" t="s">
        <v>48</v>
      </c>
      <c r="B16" s="8" t="s">
        <v>46</v>
      </c>
      <c r="C16" s="8" t="s">
        <v>33</v>
      </c>
      <c r="D16" s="8" t="s">
        <v>69</v>
      </c>
      <c r="E16" s="8" t="s">
        <v>70</v>
      </c>
      <c r="F16" s="8" t="s">
        <v>50</v>
      </c>
      <c r="G16" s="9">
        <v>45411</v>
      </c>
      <c r="H16" s="13">
        <v>45411</v>
      </c>
      <c r="I16" s="9">
        <f t="shared" si="5"/>
        <v>45516</v>
      </c>
      <c r="J16" s="10">
        <v>159142</v>
      </c>
      <c r="K16" s="18" t="str">
        <f t="shared" si="0"/>
        <v>0.00</v>
      </c>
      <c r="L16" s="16">
        <f t="shared" ca="1" si="1"/>
        <v>10</v>
      </c>
      <c r="M16" s="17">
        <f t="shared" si="2"/>
        <v>159142</v>
      </c>
      <c r="N16" s="19" t="str">
        <f ca="1">IFERROR(IF(TODAY()-I16-8&lt;=0,"",TODAY()-I16-8)*leyenda!$A$8*J16,"0.00")</f>
        <v>0.00</v>
      </c>
      <c r="O16" s="14" t="s">
        <v>49</v>
      </c>
      <c r="P16" s="13">
        <f t="shared" ca="1" si="3"/>
        <v>45506</v>
      </c>
      <c r="Q16" s="8" t="str">
        <f ca="1">IF(L16&lt;=0,leyenda!$E$8,IF(L16&lt;=leyenda!$D$5,leyenda!$E$7,leyenda!$E$6))</f>
        <v>VIGENTE</v>
      </c>
      <c r="R16" s="8" t="str">
        <f t="shared" ca="1" si="4"/>
        <v>VIGENTE</v>
      </c>
      <c r="S16" s="8" t="s">
        <v>38</v>
      </c>
      <c r="T16" s="15"/>
      <c r="U16" s="8" t="str" cm="1">
        <f t="array" aca="1" ref="U16" ca="1">_xlfn.IFS(L16&gt;=leyenda!$J$6,leyenda!$I$6,L16&gt;=leyenda!$J$7,leyenda!$I$7,L16&gt;=leyenda!$J$8,leyenda!$I$8,L16&gt;=leyenda!$J$9,leyenda!$I$9,L16&gt;=leyenda!$J$10,leyenda!$I$10,L16&lt;=leyenda!$J$11,leyenda!$I$11)</f>
        <v>A1 VIGENTE</v>
      </c>
      <c r="V16" s="8" t="s">
        <v>51</v>
      </c>
      <c r="W16" s="8" t="s">
        <v>52</v>
      </c>
      <c r="X16" s="8" t="s">
        <v>53</v>
      </c>
      <c r="Y16" s="29" t="s">
        <v>49</v>
      </c>
      <c r="Z16" s="8" t="s">
        <v>437</v>
      </c>
    </row>
    <row r="17" spans="1:26" hidden="1" x14ac:dyDescent="0.25">
      <c r="A17" s="28" t="s">
        <v>48</v>
      </c>
      <c r="B17" s="8" t="s">
        <v>46</v>
      </c>
      <c r="C17" s="8" t="s">
        <v>33</v>
      </c>
      <c r="D17" s="8" t="s">
        <v>367</v>
      </c>
      <c r="E17" s="8" t="s">
        <v>369</v>
      </c>
      <c r="F17" s="8" t="s">
        <v>371</v>
      </c>
      <c r="G17" s="9">
        <v>45449</v>
      </c>
      <c r="H17" s="9">
        <v>45455</v>
      </c>
      <c r="I17" s="9">
        <f>+H17+90</f>
        <v>45545</v>
      </c>
      <c r="J17" s="10">
        <v>106567</v>
      </c>
      <c r="K17" s="18" t="str">
        <f t="shared" si="0"/>
        <v>0.00</v>
      </c>
      <c r="L17" s="16">
        <f t="shared" ca="1" si="1"/>
        <v>39</v>
      </c>
      <c r="M17" s="17">
        <f t="shared" si="2"/>
        <v>106567</v>
      </c>
      <c r="N17" s="19" t="str">
        <f ca="1">IFERROR(IF(TODAY()-I17-8&lt;=0,"",TODAY()-I17-8)*leyenda!$A$8*J17,"0.00")</f>
        <v>0.00</v>
      </c>
      <c r="O17" s="14" t="s">
        <v>49</v>
      </c>
      <c r="P17" s="13">
        <f t="shared" ca="1" si="3"/>
        <v>45506</v>
      </c>
      <c r="Q17" s="8" t="str">
        <f ca="1">IF(L17&lt;=0,leyenda!$E$8,IF(L17&lt;=leyenda!$D$5,leyenda!$E$7,leyenda!$E$6))</f>
        <v>VIGENTE</v>
      </c>
      <c r="R17" s="8" t="str">
        <f t="shared" ca="1" si="4"/>
        <v>VIGENTE</v>
      </c>
      <c r="S17" s="8" t="s">
        <v>38</v>
      </c>
      <c r="T17" s="15"/>
      <c r="U17" s="8" t="str" cm="1">
        <f t="array" aca="1" ref="U17" ca="1">_xlfn.IFS(L17&gt;=leyenda!$J$6,leyenda!$I$6,L17&gt;=leyenda!$J$7,leyenda!$I$7,L17&gt;=leyenda!$J$8,leyenda!$I$8,L17&gt;=leyenda!$J$9,leyenda!$I$9,L17&gt;=leyenda!$J$10,leyenda!$I$10,L17&lt;=leyenda!$J$11,leyenda!$I$11)</f>
        <v>A1 VIGENTE</v>
      </c>
      <c r="V17" s="8" t="s">
        <v>51</v>
      </c>
      <c r="W17" s="8" t="s">
        <v>52</v>
      </c>
      <c r="X17" s="8" t="s">
        <v>53</v>
      </c>
      <c r="Y17" s="29" t="s">
        <v>49</v>
      </c>
      <c r="Z17" s="8" t="s">
        <v>437</v>
      </c>
    </row>
    <row r="18" spans="1:26" hidden="1" x14ac:dyDescent="0.25">
      <c r="A18" s="28" t="s">
        <v>48</v>
      </c>
      <c r="B18" s="8" t="s">
        <v>46</v>
      </c>
      <c r="C18" s="8" t="s">
        <v>33</v>
      </c>
      <c r="D18" s="8" t="s">
        <v>368</v>
      </c>
      <c r="E18" s="8" t="s">
        <v>370</v>
      </c>
      <c r="F18" s="8" t="s">
        <v>371</v>
      </c>
      <c r="G18" s="9">
        <v>45462</v>
      </c>
      <c r="H18" s="9">
        <v>45464</v>
      </c>
      <c r="I18" s="9">
        <f>+BB_CXC_IN[[#This Row],[F. Embarque]]+90</f>
        <v>45554</v>
      </c>
      <c r="J18" s="10">
        <v>21548</v>
      </c>
      <c r="K18" s="18" t="str">
        <f t="shared" si="0"/>
        <v>0.00</v>
      </c>
      <c r="L18" s="16">
        <f t="shared" ca="1" si="1"/>
        <v>48</v>
      </c>
      <c r="M18" s="17">
        <f t="shared" si="2"/>
        <v>21548</v>
      </c>
      <c r="N18" s="19" t="str">
        <f ca="1">IFERROR(IF(TODAY()-I18-8&lt;=0,"",TODAY()-I18-8)*leyenda!$A$8*J18,"0.00")</f>
        <v>0.00</v>
      </c>
      <c r="O18" s="14" t="s">
        <v>49</v>
      </c>
      <c r="P18" s="13">
        <f t="shared" ca="1" si="3"/>
        <v>45506</v>
      </c>
      <c r="Q18" s="8" t="str">
        <f ca="1">IF(L18&lt;=0,leyenda!$E$8,IF(L18&lt;=leyenda!$D$5,leyenda!$E$7,leyenda!$E$6))</f>
        <v>VIGENTE</v>
      </c>
      <c r="R18" s="8" t="str">
        <f t="shared" ca="1" si="4"/>
        <v>VIGENTE</v>
      </c>
      <c r="S18" s="8" t="s">
        <v>38</v>
      </c>
      <c r="T18" s="15"/>
      <c r="U18" s="8" t="str" cm="1">
        <f t="array" aca="1" ref="U18" ca="1">_xlfn.IFS(L18&gt;=leyenda!$J$6,leyenda!$I$6,L18&gt;=leyenda!$J$7,leyenda!$I$7,L18&gt;=leyenda!$J$8,leyenda!$I$8,L18&gt;=leyenda!$J$9,leyenda!$I$9,L18&gt;=leyenda!$J$10,leyenda!$I$10,L18&lt;=leyenda!$J$11,leyenda!$I$11)</f>
        <v>A1 VIGENTE</v>
      </c>
      <c r="V18" s="8" t="s">
        <v>51</v>
      </c>
      <c r="W18" s="8" t="s">
        <v>52</v>
      </c>
      <c r="X18" s="8" t="s">
        <v>53</v>
      </c>
      <c r="Y18" s="29" t="s">
        <v>49</v>
      </c>
      <c r="Z18" s="8" t="s">
        <v>437</v>
      </c>
    </row>
    <row r="19" spans="1:26" x14ac:dyDescent="0.25">
      <c r="A19" s="28" t="s">
        <v>48</v>
      </c>
      <c r="B19" s="8" t="s">
        <v>46</v>
      </c>
      <c r="C19" s="8" t="s">
        <v>33</v>
      </c>
      <c r="D19" s="8" t="s">
        <v>65</v>
      </c>
      <c r="E19" s="8" t="s">
        <v>66</v>
      </c>
      <c r="F19" s="8" t="s">
        <v>45</v>
      </c>
      <c r="G19" s="9">
        <v>45365</v>
      </c>
      <c r="H19" s="13">
        <v>45365</v>
      </c>
      <c r="I19" s="9">
        <f>+H19+90</f>
        <v>45455</v>
      </c>
      <c r="J19" s="10">
        <v>907.9</v>
      </c>
      <c r="K19" s="18" t="str">
        <f t="shared" si="0"/>
        <v>0.00</v>
      </c>
      <c r="L19" s="16">
        <f t="shared" ca="1" si="1"/>
        <v>-51</v>
      </c>
      <c r="M19" s="17">
        <f t="shared" si="2"/>
        <v>907.9</v>
      </c>
      <c r="N19" s="19">
        <f ca="1">IFERROR(IF(TODAY()-I19-8&lt;=0,"",TODAY()-I19-8)*leyenda!$A$8*J19,"0.00")</f>
        <v>12.291706501959245</v>
      </c>
      <c r="O19" s="14" t="s">
        <v>49</v>
      </c>
      <c r="P19" s="13">
        <f t="shared" ca="1" si="3"/>
        <v>45506</v>
      </c>
      <c r="Q19" s="8" t="str">
        <f ca="1">IF(L19&lt;=0,leyenda!$E$8,IF(L19&lt;=leyenda!$D$5,leyenda!$E$7,leyenda!$E$6))</f>
        <v>VENCIDO</v>
      </c>
      <c r="R19" s="8" t="str">
        <f t="shared" ca="1" si="4"/>
        <v>VENCIDO</v>
      </c>
      <c r="S19" s="8" t="s">
        <v>38</v>
      </c>
      <c r="T19" s="15"/>
      <c r="U19" s="8" t="str" cm="1">
        <f t="array" aca="1" ref="U19" ca="1">_xlfn.IFS(L19&gt;=leyenda!$J$6,leyenda!$I$6,L19&gt;=leyenda!$J$7,leyenda!$I$7,L19&gt;=leyenda!$J$8,leyenda!$I$8,L19&gt;=leyenda!$J$9,leyenda!$I$9,L19&gt;=leyenda!$J$10,leyenda!$I$10,L19&lt;=leyenda!$J$11,leyenda!$I$11)</f>
        <v>A4 DE 31 A 60 DIAS</v>
      </c>
      <c r="V19" s="8" t="s">
        <v>51</v>
      </c>
      <c r="W19" s="8" t="s">
        <v>52</v>
      </c>
      <c r="X19" s="8" t="s">
        <v>53</v>
      </c>
      <c r="Y19" s="29" t="s">
        <v>49</v>
      </c>
      <c r="Z19" s="8" t="s">
        <v>439</v>
      </c>
    </row>
    <row r="20" spans="1:26" hidden="1" x14ac:dyDescent="0.25">
      <c r="A20" s="28" t="s">
        <v>48</v>
      </c>
      <c r="B20" s="8" t="s">
        <v>46</v>
      </c>
      <c r="C20" s="8" t="s">
        <v>33</v>
      </c>
      <c r="D20" s="8" t="s">
        <v>59</v>
      </c>
      <c r="E20" s="8" t="s">
        <v>419</v>
      </c>
      <c r="F20" s="8" t="s">
        <v>50</v>
      </c>
      <c r="G20" s="9">
        <v>45492</v>
      </c>
      <c r="H20" s="9">
        <v>45492</v>
      </c>
      <c r="I20" s="9">
        <f>+BB_CXC_IN[[#This Row],[F. Documento]]+105</f>
        <v>45597</v>
      </c>
      <c r="J20" s="10">
        <v>105176</v>
      </c>
      <c r="K20" s="18" t="str">
        <f t="shared" si="0"/>
        <v>0.00</v>
      </c>
      <c r="L20" s="16">
        <f t="shared" ca="1" si="1"/>
        <v>91</v>
      </c>
      <c r="M20" s="17">
        <f t="shared" si="2"/>
        <v>105176</v>
      </c>
      <c r="N20" s="19" t="str">
        <f ca="1">IFERROR(IF(TODAY()-I20-8&lt;=0,"",TODAY()-I20-8)*leyenda!$A$8*J20,"0.00")</f>
        <v>0.00</v>
      </c>
      <c r="O20" s="14" t="s">
        <v>412</v>
      </c>
      <c r="P20" s="13">
        <f t="shared" ca="1" si="3"/>
        <v>45506</v>
      </c>
      <c r="Q20" s="8" t="str">
        <f ca="1">IF(L20&lt;=0,leyenda!$E$8,IF(L20&lt;=leyenda!$D$5,leyenda!$E$7,leyenda!$E$6))</f>
        <v>VIGENTE</v>
      </c>
      <c r="R20" s="8" t="str">
        <f t="shared" ca="1" si="4"/>
        <v>VIGENTE</v>
      </c>
      <c r="S20" s="8" t="s">
        <v>38</v>
      </c>
      <c r="T20" s="15"/>
      <c r="U20" s="8" t="str" cm="1">
        <f t="array" aca="1" ref="U20" ca="1">_xlfn.IFS(L20&gt;=leyenda!$J$6,leyenda!$I$6,L20&gt;=leyenda!$J$7,leyenda!$I$7,L20&gt;=leyenda!$J$8,leyenda!$I$8,L20&gt;=leyenda!$J$9,leyenda!$I$9,L20&gt;=leyenda!$J$10,leyenda!$I$10,L20&lt;=leyenda!$J$11,leyenda!$I$11)</f>
        <v>A1 VIGENTE</v>
      </c>
      <c r="V20" s="8" t="s">
        <v>51</v>
      </c>
      <c r="W20" s="8" t="s">
        <v>52</v>
      </c>
      <c r="X20" s="8" t="s">
        <v>53</v>
      </c>
      <c r="Y20" s="29" t="s">
        <v>49</v>
      </c>
      <c r="Z20" s="8"/>
    </row>
    <row r="21" spans="1:26" hidden="1" x14ac:dyDescent="0.25">
      <c r="A21" s="28" t="s">
        <v>78</v>
      </c>
      <c r="B21" s="8" t="s">
        <v>74</v>
      </c>
      <c r="C21" s="8" t="s">
        <v>43</v>
      </c>
      <c r="D21" s="8" t="s">
        <v>44</v>
      </c>
      <c r="E21" s="8" t="s">
        <v>397</v>
      </c>
      <c r="F21" s="8" t="s">
        <v>45</v>
      </c>
      <c r="G21" s="9">
        <v>45467</v>
      </c>
      <c r="H21" s="9">
        <v>45467</v>
      </c>
      <c r="I21" s="9">
        <v>45467</v>
      </c>
      <c r="J21" s="10">
        <v>-3.96</v>
      </c>
      <c r="K21" s="18" t="str">
        <f t="shared" si="0"/>
        <v>0.00</v>
      </c>
      <c r="L21" s="16">
        <f t="shared" ca="1" si="1"/>
        <v>-39</v>
      </c>
      <c r="M21" s="17">
        <f t="shared" si="2"/>
        <v>-3.96</v>
      </c>
      <c r="N21" s="19">
        <f ca="1">IFERROR(IF(TODAY()-I21-8&lt;=0,"",TODAY()-I21-8)*leyenda!$A$8*J21,"0.00")</f>
        <v>-3.8651165100667191E-2</v>
      </c>
      <c r="O21" s="14" t="s">
        <v>43</v>
      </c>
      <c r="P21" s="13">
        <f t="shared" ca="1" si="3"/>
        <v>45506</v>
      </c>
      <c r="Q21" s="8" t="str">
        <f ca="1">IF(L21&lt;=0,leyenda!$E$8,IF(L21&lt;=leyenda!$D$5,leyenda!$E$7,leyenda!$E$6))</f>
        <v>VENCIDO</v>
      </c>
      <c r="R21" s="8" t="str">
        <f t="shared" ca="1" si="4"/>
        <v>VENCIDO</v>
      </c>
      <c r="S21" s="8" t="s">
        <v>38</v>
      </c>
      <c r="T21" s="15"/>
      <c r="U21" s="8" t="str" cm="1">
        <f t="array" aca="1" ref="U21" ca="1">_xlfn.IFS(L21&gt;=leyenda!$J$6,leyenda!$I$6,L21&gt;=leyenda!$J$7,leyenda!$I$7,L21&gt;=leyenda!$J$8,leyenda!$I$8,L21&gt;=leyenda!$J$9,leyenda!$I$9,L21&gt;=leyenda!$J$10,leyenda!$I$10,L21&lt;=leyenda!$J$11,leyenda!$I$11)</f>
        <v>A4 DE 31 A 60 DIAS</v>
      </c>
      <c r="V21" s="8" t="s">
        <v>75</v>
      </c>
      <c r="W21" s="8" t="s">
        <v>76</v>
      </c>
      <c r="X21" s="8" t="s">
        <v>53</v>
      </c>
      <c r="Y21" s="29" t="s">
        <v>77</v>
      </c>
      <c r="Z21" s="8" t="s">
        <v>436</v>
      </c>
    </row>
    <row r="22" spans="1:26" hidden="1" x14ac:dyDescent="0.25">
      <c r="A22" s="28" t="s">
        <v>78</v>
      </c>
      <c r="B22" s="8" t="s">
        <v>74</v>
      </c>
      <c r="C22" s="8" t="s">
        <v>43</v>
      </c>
      <c r="D22" s="8" t="s">
        <v>44</v>
      </c>
      <c r="E22" s="8" t="s">
        <v>79</v>
      </c>
      <c r="F22" s="8" t="s">
        <v>45</v>
      </c>
      <c r="G22" s="9">
        <v>45383</v>
      </c>
      <c r="H22" s="13">
        <v>45383</v>
      </c>
      <c r="I22" s="9">
        <v>45383</v>
      </c>
      <c r="J22" s="10">
        <v>-34000</v>
      </c>
      <c r="K22" s="18" t="str">
        <f t="shared" si="0"/>
        <v>0.00</v>
      </c>
      <c r="L22" s="16">
        <f t="shared" ca="1" si="1"/>
        <v>-123</v>
      </c>
      <c r="M22" s="17">
        <f t="shared" si="2"/>
        <v>-34000</v>
      </c>
      <c r="N22" s="19">
        <f ca="1">IFERROR(IF(TODAY()-I22-8&lt;=0,"",TODAY()-I22-8)*leyenda!$A$8*J22,"0.00")</f>
        <v>-1231.0692044933912</v>
      </c>
      <c r="O22" s="14" t="s">
        <v>43</v>
      </c>
      <c r="P22" s="13">
        <f t="shared" ca="1" si="3"/>
        <v>45506</v>
      </c>
      <c r="Q22" s="8" t="str">
        <f ca="1">IF(L22&lt;=0,leyenda!$E$8,IF(L22&lt;=leyenda!$D$5,leyenda!$E$7,leyenda!$E$6))</f>
        <v>VENCIDO</v>
      </c>
      <c r="R22" s="8" t="str">
        <f t="shared" ca="1" si="4"/>
        <v>VENCIDO</v>
      </c>
      <c r="S22" s="8" t="s">
        <v>38</v>
      </c>
      <c r="T22" s="15"/>
      <c r="U22" s="8" t="str" cm="1">
        <f t="array" aca="1" ref="U22" ca="1">_xlfn.IFS(L22&gt;=leyenda!$J$6,leyenda!$I$6,L22&gt;=leyenda!$J$7,leyenda!$I$7,L22&gt;=leyenda!$J$8,leyenda!$I$8,L22&gt;=leyenda!$J$9,leyenda!$I$9,L22&gt;=leyenda!$J$10,leyenda!$I$10,L22&lt;=leyenda!$J$11,leyenda!$I$11)</f>
        <v>A6 DE 91 A MÁS DIAS</v>
      </c>
      <c r="V22" s="8" t="s">
        <v>75</v>
      </c>
      <c r="W22" s="8" t="s">
        <v>76</v>
      </c>
      <c r="X22" s="8" t="s">
        <v>53</v>
      </c>
      <c r="Y22" s="29" t="s">
        <v>77</v>
      </c>
      <c r="Z22" s="8"/>
    </row>
    <row r="23" spans="1:26" hidden="1" x14ac:dyDescent="0.25">
      <c r="A23" s="28" t="s">
        <v>84</v>
      </c>
      <c r="B23" s="8" t="s">
        <v>81</v>
      </c>
      <c r="C23" s="8" t="s">
        <v>43</v>
      </c>
      <c r="D23" s="8" t="s">
        <v>82</v>
      </c>
      <c r="E23" s="8" t="s">
        <v>83</v>
      </c>
      <c r="F23" s="8" t="s">
        <v>80</v>
      </c>
      <c r="G23" s="9">
        <v>43788</v>
      </c>
      <c r="H23" s="13">
        <v>43788</v>
      </c>
      <c r="I23" s="9">
        <v>43788</v>
      </c>
      <c r="J23" s="10">
        <v>-1805</v>
      </c>
      <c r="K23" s="18" t="str">
        <f t="shared" si="0"/>
        <v>0.00</v>
      </c>
      <c r="L23" s="16">
        <f t="shared" ca="1" si="1"/>
        <v>-1718</v>
      </c>
      <c r="M23" s="17">
        <f t="shared" si="2"/>
        <v>-1805</v>
      </c>
      <c r="N23" s="19">
        <f ca="1">IFERROR(IF(TODAY()-I23-8&lt;=0,"",TODAY()-I23-8)*leyenda!$A$8*J23,"0.00")</f>
        <v>-971.80477062124726</v>
      </c>
      <c r="O23" s="14" t="s">
        <v>43</v>
      </c>
      <c r="P23" s="13">
        <f t="shared" ca="1" si="3"/>
        <v>45506</v>
      </c>
      <c r="Q23" s="8" t="str">
        <f ca="1">IF(L23&lt;=0,leyenda!$E$8,IF(L23&lt;=leyenda!$D$5,leyenda!$E$7,leyenda!$E$6))</f>
        <v>VENCIDO</v>
      </c>
      <c r="R23" s="8" t="str">
        <f t="shared" ca="1" si="4"/>
        <v>VENCIDO</v>
      </c>
      <c r="S23" s="8" t="s">
        <v>38</v>
      </c>
      <c r="T23" s="15"/>
      <c r="U23" s="8" t="str" cm="1">
        <f t="array" aca="1" ref="U23" ca="1">_xlfn.IFS(L23&gt;=leyenda!$J$6,leyenda!$I$6,L23&gt;=leyenda!$J$7,leyenda!$I$7,L23&gt;=leyenda!$J$8,leyenda!$I$8,L23&gt;=leyenda!$J$9,leyenda!$I$9,L23&gt;=leyenda!$J$10,leyenda!$I$10,L23&lt;=leyenda!$J$11,leyenda!$I$11)</f>
        <v>A6 DE 91 A MÁS DIAS</v>
      </c>
      <c r="V23" s="8" t="s">
        <v>85</v>
      </c>
      <c r="W23" s="8"/>
      <c r="X23" s="8" t="s">
        <v>53</v>
      </c>
      <c r="Y23" s="29" t="s">
        <v>86</v>
      </c>
      <c r="Z23" s="8"/>
    </row>
    <row r="24" spans="1:26" hidden="1" x14ac:dyDescent="0.25">
      <c r="A24" s="28" t="s">
        <v>90</v>
      </c>
      <c r="B24" s="8" t="s">
        <v>87</v>
      </c>
      <c r="C24" s="8" t="s">
        <v>43</v>
      </c>
      <c r="D24" s="8" t="s">
        <v>88</v>
      </c>
      <c r="E24" s="8" t="s">
        <v>89</v>
      </c>
      <c r="F24" s="8" t="s">
        <v>80</v>
      </c>
      <c r="G24" s="9">
        <v>43059</v>
      </c>
      <c r="H24" s="13">
        <v>43059</v>
      </c>
      <c r="I24" s="9">
        <v>43059</v>
      </c>
      <c r="J24" s="10">
        <v>-805.75</v>
      </c>
      <c r="K24" s="18" t="str">
        <f t="shared" si="0"/>
        <v>0.00</v>
      </c>
      <c r="L24" s="16">
        <f t="shared" ca="1" si="1"/>
        <v>-2447</v>
      </c>
      <c r="M24" s="17">
        <f t="shared" si="2"/>
        <v>-805.75</v>
      </c>
      <c r="N24" s="19">
        <f ca="1">IFERROR(IF(TODAY()-I24-8&lt;=0,"",TODAY()-I24-8)*leyenda!$A$8*J24,"0.00")</f>
        <v>-618.75372227586229</v>
      </c>
      <c r="O24" s="14" t="s">
        <v>43</v>
      </c>
      <c r="P24" s="13">
        <f t="shared" ca="1" si="3"/>
        <v>45506</v>
      </c>
      <c r="Q24" s="8" t="str">
        <f ca="1">IF(L24&lt;=0,leyenda!$E$8,IF(L24&lt;=leyenda!$D$5,leyenda!$E$7,leyenda!$E$6))</f>
        <v>VENCIDO</v>
      </c>
      <c r="R24" s="8" t="str">
        <f t="shared" ca="1" si="4"/>
        <v>VENCIDO</v>
      </c>
      <c r="S24" s="8" t="s">
        <v>38</v>
      </c>
      <c r="T24" s="15"/>
      <c r="U24" s="8" t="str" cm="1">
        <f t="array" aca="1" ref="U24" ca="1">_xlfn.IFS(L24&gt;=leyenda!$J$6,leyenda!$I$6,L24&gt;=leyenda!$J$7,leyenda!$I$7,L24&gt;=leyenda!$J$8,leyenda!$I$8,L24&gt;=leyenda!$J$9,leyenda!$I$9,L24&gt;=leyenda!$J$10,leyenda!$I$10,L24&lt;=leyenda!$J$11,leyenda!$I$11)</f>
        <v>A6 DE 91 A MÁS DIAS</v>
      </c>
      <c r="V24" s="8" t="s">
        <v>91</v>
      </c>
      <c r="W24" s="8"/>
      <c r="X24" s="8" t="s">
        <v>53</v>
      </c>
      <c r="Y24" s="29" t="s">
        <v>92</v>
      </c>
      <c r="Z24" s="8"/>
    </row>
    <row r="25" spans="1:26" x14ac:dyDescent="0.25">
      <c r="A25" s="28" t="s">
        <v>96</v>
      </c>
      <c r="B25" s="8" t="s">
        <v>93</v>
      </c>
      <c r="C25" s="8" t="s">
        <v>71</v>
      </c>
      <c r="D25" s="8" t="s">
        <v>94</v>
      </c>
      <c r="E25" s="8" t="s">
        <v>95</v>
      </c>
      <c r="F25" s="8" t="s">
        <v>80</v>
      </c>
      <c r="G25" s="9">
        <v>45155</v>
      </c>
      <c r="H25" s="13">
        <v>45155</v>
      </c>
      <c r="I25" s="9">
        <v>45155</v>
      </c>
      <c r="J25" s="49">
        <v>9.9499999999999993</v>
      </c>
      <c r="K25" s="18" t="str">
        <f t="shared" si="0"/>
        <v>0.00</v>
      </c>
      <c r="L25" s="16">
        <f t="shared" ca="1" si="1"/>
        <v>-351</v>
      </c>
      <c r="M25" s="17">
        <f t="shared" si="2"/>
        <v>9.9499999999999993</v>
      </c>
      <c r="N25" s="19">
        <f ca="1">IFERROR(IF(TODAY()-I25-8&lt;=0,"",TODAY()-I25-8)*leyenda!$A$8*J25,"0.00")</f>
        <v>1.0745408016765396</v>
      </c>
      <c r="O25" s="14" t="s">
        <v>97</v>
      </c>
      <c r="P25" s="13">
        <f t="shared" ca="1" si="3"/>
        <v>45506</v>
      </c>
      <c r="Q25" s="8" t="str">
        <f ca="1">IF(L25&lt;=0,leyenda!$E$8,IF(L25&lt;=leyenda!$D$5,leyenda!$E$7,leyenda!$E$6))</f>
        <v>VENCIDO</v>
      </c>
      <c r="R25" s="8" t="str">
        <f t="shared" ca="1" si="4"/>
        <v>VENCIDO</v>
      </c>
      <c r="S25" s="8" t="s">
        <v>38</v>
      </c>
      <c r="T25" s="15"/>
      <c r="U25" s="8" t="str" cm="1">
        <f t="array" aca="1" ref="U25" ca="1">_xlfn.IFS(L25&gt;=leyenda!$J$6,leyenda!$I$6,L25&gt;=leyenda!$J$7,leyenda!$I$7,L25&gt;=leyenda!$J$8,leyenda!$I$8,L25&gt;=leyenda!$J$9,leyenda!$I$9,L25&gt;=leyenda!$J$10,leyenda!$I$10,L25&lt;=leyenda!$J$11,leyenda!$I$11)</f>
        <v>A6 DE 91 A MÁS DIAS</v>
      </c>
      <c r="V25" s="8" t="s">
        <v>98</v>
      </c>
      <c r="W25" s="8"/>
      <c r="X25" s="8" t="s">
        <v>53</v>
      </c>
      <c r="Y25" s="29" t="s">
        <v>99</v>
      </c>
      <c r="Z25" s="8"/>
    </row>
    <row r="26" spans="1:26" hidden="1" x14ac:dyDescent="0.25">
      <c r="A26" s="28" t="s">
        <v>103</v>
      </c>
      <c r="B26" s="8" t="s">
        <v>100</v>
      </c>
      <c r="C26" s="8" t="s">
        <v>43</v>
      </c>
      <c r="D26" s="8" t="s">
        <v>101</v>
      </c>
      <c r="E26" s="8" t="s">
        <v>102</v>
      </c>
      <c r="F26" s="8" t="s">
        <v>80</v>
      </c>
      <c r="G26" s="9">
        <v>44267</v>
      </c>
      <c r="H26" s="13">
        <v>44267</v>
      </c>
      <c r="I26" s="9">
        <v>44267</v>
      </c>
      <c r="J26" s="10">
        <v>-5</v>
      </c>
      <c r="K26" s="18" t="str">
        <f t="shared" si="0"/>
        <v>0.00</v>
      </c>
      <c r="L26" s="16">
        <f t="shared" ca="1" si="1"/>
        <v>-1239</v>
      </c>
      <c r="M26" s="17">
        <f t="shared" si="2"/>
        <v>-5</v>
      </c>
      <c r="N26" s="19">
        <f ca="1">IFERROR(IF(TODAY()-I26-8&lt;=0,"",TODAY()-I26-8)*leyenda!$A$8*J26,"0.00")</f>
        <v>-1.9379107298355047</v>
      </c>
      <c r="O26" s="14" t="s">
        <v>43</v>
      </c>
      <c r="P26" s="13">
        <f t="shared" ca="1" si="3"/>
        <v>45506</v>
      </c>
      <c r="Q26" s="8" t="str">
        <f ca="1">IF(L26&lt;=0,leyenda!$E$8,IF(L26&lt;=leyenda!$D$5,leyenda!$E$7,leyenda!$E$6))</f>
        <v>VENCIDO</v>
      </c>
      <c r="R26" s="8" t="str">
        <f t="shared" ca="1" si="4"/>
        <v>VENCIDO</v>
      </c>
      <c r="S26" s="8" t="s">
        <v>38</v>
      </c>
      <c r="T26" s="15"/>
      <c r="U26" s="8" t="str" cm="1">
        <f t="array" aca="1" ref="U26" ca="1">_xlfn.IFS(L26&gt;=leyenda!$J$6,leyenda!$I$6,L26&gt;=leyenda!$J$7,leyenda!$I$7,L26&gt;=leyenda!$J$8,leyenda!$I$8,L26&gt;=leyenda!$J$9,leyenda!$I$9,L26&gt;=leyenda!$J$10,leyenda!$I$10,L26&lt;=leyenda!$J$11,leyenda!$I$11)</f>
        <v>A6 DE 91 A MÁS DIAS</v>
      </c>
      <c r="V26" s="8" t="s">
        <v>104</v>
      </c>
      <c r="W26" s="8"/>
      <c r="X26" s="8"/>
      <c r="Y26" s="29" t="s">
        <v>434</v>
      </c>
      <c r="Z26" s="8"/>
    </row>
    <row r="27" spans="1:26" hidden="1" x14ac:dyDescent="0.25">
      <c r="A27" s="28" t="s">
        <v>109</v>
      </c>
      <c r="B27" s="8" t="s">
        <v>105</v>
      </c>
      <c r="C27" s="8" t="s">
        <v>106</v>
      </c>
      <c r="D27" s="8" t="s">
        <v>107</v>
      </c>
      <c r="E27" s="8" t="s">
        <v>108</v>
      </c>
      <c r="F27" s="8" t="s">
        <v>80</v>
      </c>
      <c r="G27" s="9">
        <v>44575</v>
      </c>
      <c r="H27" s="13">
        <v>44575</v>
      </c>
      <c r="I27" s="9">
        <v>44575</v>
      </c>
      <c r="J27" s="10">
        <v>-1799</v>
      </c>
      <c r="K27" s="18" t="str">
        <f t="shared" si="0"/>
        <v>0.00</v>
      </c>
      <c r="L27" s="16">
        <f t="shared" ca="1" si="1"/>
        <v>-931</v>
      </c>
      <c r="M27" s="17">
        <f t="shared" si="2"/>
        <v>-1799</v>
      </c>
      <c r="N27" s="19">
        <f ca="1">IFERROR(IF(TODAY()-I27-8&lt;=0,"",TODAY()-I27-8)*leyenda!$A$8*J27,"0.00")</f>
        <v>-522.8036060024483</v>
      </c>
      <c r="O27" s="14" t="s">
        <v>106</v>
      </c>
      <c r="P27" s="13">
        <f t="shared" ca="1" si="3"/>
        <v>45506</v>
      </c>
      <c r="Q27" s="8" t="str">
        <f ca="1">IF(L27&lt;=0,leyenda!$E$8,IF(L27&lt;=leyenda!$D$5,leyenda!$E$7,leyenda!$E$6))</f>
        <v>VENCIDO</v>
      </c>
      <c r="R27" s="8" t="str">
        <f t="shared" ca="1" si="4"/>
        <v>VENCIDO</v>
      </c>
      <c r="S27" s="8" t="s">
        <v>38</v>
      </c>
      <c r="T27" s="15"/>
      <c r="U27" s="8" t="str" cm="1">
        <f t="array" aca="1" ref="U27" ca="1">_xlfn.IFS(L27&gt;=leyenda!$J$6,leyenda!$I$6,L27&gt;=leyenda!$J$7,leyenda!$I$7,L27&gt;=leyenda!$J$8,leyenda!$I$8,L27&gt;=leyenda!$J$9,leyenda!$I$9,L27&gt;=leyenda!$J$10,leyenda!$I$10,L27&lt;=leyenda!$J$11,leyenda!$I$11)</f>
        <v>A6 DE 91 A MÁS DIAS</v>
      </c>
      <c r="V27" s="8" t="s">
        <v>110</v>
      </c>
      <c r="W27" s="8"/>
      <c r="X27" s="8"/>
      <c r="Y27" s="29" t="s">
        <v>111</v>
      </c>
      <c r="Z27" s="8"/>
    </row>
    <row r="28" spans="1:26" hidden="1" x14ac:dyDescent="0.25">
      <c r="A28" s="28" t="s">
        <v>114</v>
      </c>
      <c r="B28" s="8" t="s">
        <v>112</v>
      </c>
      <c r="C28" s="8" t="s">
        <v>43</v>
      </c>
      <c r="D28" s="8" t="s">
        <v>44</v>
      </c>
      <c r="E28" s="8" t="s">
        <v>113</v>
      </c>
      <c r="F28" s="8" t="s">
        <v>80</v>
      </c>
      <c r="G28" s="9">
        <v>45398</v>
      </c>
      <c r="H28" s="13">
        <v>45398</v>
      </c>
      <c r="I28" s="9">
        <v>45398</v>
      </c>
      <c r="J28" s="10">
        <v>-17336.650000000001</v>
      </c>
      <c r="K28" s="18" t="str">
        <f t="shared" si="0"/>
        <v>0.00</v>
      </c>
      <c r="L28" s="16">
        <f t="shared" ca="1" si="1"/>
        <v>-108</v>
      </c>
      <c r="M28" s="17">
        <f t="shared" si="2"/>
        <v>-17336.650000000001</v>
      </c>
      <c r="N28" s="19">
        <f ca="1">IFERROR(IF(TODAY()-I28-8&lt;=0,"",TODAY()-I28-8)*leyenda!$A$8*J28,"0.00")</f>
        <v>-545.84695458006024</v>
      </c>
      <c r="O28" s="14" t="s">
        <v>43</v>
      </c>
      <c r="P28" s="13">
        <f t="shared" ca="1" si="3"/>
        <v>45506</v>
      </c>
      <c r="Q28" s="8" t="str">
        <f ca="1">IF(L28&lt;=0,leyenda!$E$8,IF(L28&lt;=leyenda!$D$5,leyenda!$E$7,leyenda!$E$6))</f>
        <v>VENCIDO</v>
      </c>
      <c r="R28" s="8" t="str">
        <f t="shared" ca="1" si="4"/>
        <v>VENCIDO</v>
      </c>
      <c r="S28" s="8" t="s">
        <v>38</v>
      </c>
      <c r="T28" s="15"/>
      <c r="U28" s="8" t="str" cm="1">
        <f t="array" aca="1" ref="U28" ca="1">_xlfn.IFS(L28&gt;=leyenda!$J$6,leyenda!$I$6,L28&gt;=leyenda!$J$7,leyenda!$I$7,L28&gt;=leyenda!$J$8,leyenda!$I$8,L28&gt;=leyenda!$J$9,leyenda!$I$9,L28&gt;=leyenda!$J$10,leyenda!$I$10,L28&lt;=leyenda!$J$11,leyenda!$I$11)</f>
        <v>A6 DE 91 A MÁS DIAS</v>
      </c>
      <c r="V28" s="8" t="s">
        <v>115</v>
      </c>
      <c r="W28" s="8"/>
      <c r="X28" s="8"/>
      <c r="Y28" s="29" t="s">
        <v>116</v>
      </c>
      <c r="Z28" s="8"/>
    </row>
    <row r="29" spans="1:26" x14ac:dyDescent="0.25">
      <c r="A29" s="28" t="s">
        <v>120</v>
      </c>
      <c r="B29" s="8" t="s">
        <v>117</v>
      </c>
      <c r="C29" s="8" t="s">
        <v>71</v>
      </c>
      <c r="D29" s="8" t="s">
        <v>118</v>
      </c>
      <c r="E29" s="8" t="s">
        <v>119</v>
      </c>
      <c r="F29" s="8" t="s">
        <v>80</v>
      </c>
      <c r="G29" s="9">
        <v>45335</v>
      </c>
      <c r="H29" s="13">
        <v>45335</v>
      </c>
      <c r="I29" s="9">
        <v>45335</v>
      </c>
      <c r="J29" s="49">
        <v>41.61</v>
      </c>
      <c r="K29" s="18" t="str">
        <f t="shared" si="0"/>
        <v>0.00</v>
      </c>
      <c r="L29" s="16">
        <f t="shared" ca="1" si="1"/>
        <v>-171</v>
      </c>
      <c r="M29" s="17">
        <f t="shared" si="2"/>
        <v>41.61</v>
      </c>
      <c r="N29" s="19">
        <f ca="1">IFERROR(IF(TODAY()-I29-8&lt;=0,"",TODAY()-I29-8)*leyenda!$A$8*J29,"0.00")</f>
        <v>2.1354579807243255</v>
      </c>
      <c r="O29" s="14" t="s">
        <v>97</v>
      </c>
      <c r="P29" s="13">
        <f t="shared" ca="1" si="3"/>
        <v>45506</v>
      </c>
      <c r="Q29" s="8" t="str">
        <f ca="1">IF(L29&lt;=0,leyenda!$E$8,IF(L29&lt;=leyenda!$D$5,leyenda!$E$7,leyenda!$E$6))</f>
        <v>VENCIDO</v>
      </c>
      <c r="R29" s="8" t="str">
        <f t="shared" ca="1" si="4"/>
        <v>VENCIDO</v>
      </c>
      <c r="S29" s="8" t="s">
        <v>38</v>
      </c>
      <c r="T29" s="15"/>
      <c r="U29" s="8" t="str" cm="1">
        <f t="array" aca="1" ref="U29" ca="1">_xlfn.IFS(L29&gt;=leyenda!$J$6,leyenda!$I$6,L29&gt;=leyenda!$J$7,leyenda!$I$7,L29&gt;=leyenda!$J$8,leyenda!$I$8,L29&gt;=leyenda!$J$9,leyenda!$I$9,L29&gt;=leyenda!$J$10,leyenda!$I$10,L29&lt;=leyenda!$J$11,leyenda!$I$11)</f>
        <v>A6 DE 91 A MÁS DIAS</v>
      </c>
      <c r="V29" s="8" t="s">
        <v>121</v>
      </c>
      <c r="W29" s="8" t="s">
        <v>122</v>
      </c>
      <c r="X29" s="8" t="s">
        <v>53</v>
      </c>
      <c r="Y29" s="29" t="s">
        <v>123</v>
      </c>
      <c r="Z29" s="8"/>
    </row>
    <row r="30" spans="1:26" hidden="1" x14ac:dyDescent="0.25">
      <c r="A30" s="28" t="s">
        <v>120</v>
      </c>
      <c r="B30" s="8" t="s">
        <v>117</v>
      </c>
      <c r="C30" s="8" t="s">
        <v>43</v>
      </c>
      <c r="D30" s="8" t="s">
        <v>44</v>
      </c>
      <c r="E30" s="8" t="s">
        <v>124</v>
      </c>
      <c r="F30" s="8" t="s">
        <v>80</v>
      </c>
      <c r="G30" s="9">
        <v>45408</v>
      </c>
      <c r="H30" s="13">
        <v>45408</v>
      </c>
      <c r="I30" s="9">
        <v>45408</v>
      </c>
      <c r="J30" s="10">
        <v>-3104.33</v>
      </c>
      <c r="K30" s="18" t="str">
        <f t="shared" si="0"/>
        <v>0.00</v>
      </c>
      <c r="L30" s="16">
        <f t="shared" ca="1" si="1"/>
        <v>-98</v>
      </c>
      <c r="M30" s="17">
        <f t="shared" si="2"/>
        <v>-3104.33</v>
      </c>
      <c r="N30" s="19">
        <f ca="1">IFERROR(IF(TODAY()-I30-8&lt;=0,"",TODAY()-I30-8)*leyenda!$A$8*J30,"0.00")</f>
        <v>-87.966254660523589</v>
      </c>
      <c r="O30" s="14" t="s">
        <v>43</v>
      </c>
      <c r="P30" s="13">
        <f t="shared" ca="1" si="3"/>
        <v>45506</v>
      </c>
      <c r="Q30" s="8" t="str">
        <f ca="1">IF(L30&lt;=0,leyenda!$E$8,IF(L30&lt;=leyenda!$D$5,leyenda!$E$7,leyenda!$E$6))</f>
        <v>VENCIDO</v>
      </c>
      <c r="R30" s="8" t="str">
        <f t="shared" ca="1" si="4"/>
        <v>VENCIDO</v>
      </c>
      <c r="S30" s="8" t="s">
        <v>38</v>
      </c>
      <c r="T30" s="15"/>
      <c r="U30" s="8" t="str" cm="1">
        <f t="array" aca="1" ref="U30" ca="1">_xlfn.IFS(L30&gt;=leyenda!$J$6,leyenda!$I$6,L30&gt;=leyenda!$J$7,leyenda!$I$7,L30&gt;=leyenda!$J$8,leyenda!$I$8,L30&gt;=leyenda!$J$9,leyenda!$I$9,L30&gt;=leyenda!$J$10,leyenda!$I$10,L30&lt;=leyenda!$J$11,leyenda!$I$11)</f>
        <v>A6 DE 91 A MÁS DIAS</v>
      </c>
      <c r="V30" s="8" t="s">
        <v>121</v>
      </c>
      <c r="W30" s="8" t="s">
        <v>122</v>
      </c>
      <c r="X30" s="8" t="s">
        <v>53</v>
      </c>
      <c r="Y30" s="29" t="s">
        <v>123</v>
      </c>
      <c r="Z30" s="8"/>
    </row>
    <row r="31" spans="1:26" hidden="1" x14ac:dyDescent="0.25">
      <c r="A31" s="28" t="s">
        <v>128</v>
      </c>
      <c r="B31" s="8" t="s">
        <v>125</v>
      </c>
      <c r="C31" s="8" t="s">
        <v>43</v>
      </c>
      <c r="D31" s="8" t="s">
        <v>126</v>
      </c>
      <c r="E31" s="8" t="s">
        <v>127</v>
      </c>
      <c r="F31" s="8" t="s">
        <v>129</v>
      </c>
      <c r="G31" s="9">
        <v>44050</v>
      </c>
      <c r="H31" s="13">
        <v>44050</v>
      </c>
      <c r="I31" s="9">
        <v>44050</v>
      </c>
      <c r="J31" s="10">
        <v>-1102.95</v>
      </c>
      <c r="K31" s="18" t="str">
        <f t="shared" si="0"/>
        <v>0.00</v>
      </c>
      <c r="L31" s="16">
        <f t="shared" ca="1" si="1"/>
        <v>-1456</v>
      </c>
      <c r="M31" s="17">
        <f t="shared" si="2"/>
        <v>-1102.95</v>
      </c>
      <c r="N31" s="19">
        <f ca="1">IFERROR(IF(TODAY()-I31-8&lt;=0,"",TODAY()-I31-8)*leyenda!$A$8*J31,"0.00")</f>
        <v>-502.84032330715797</v>
      </c>
      <c r="O31" s="14" t="s">
        <v>43</v>
      </c>
      <c r="P31" s="13">
        <f t="shared" ca="1" si="3"/>
        <v>45506</v>
      </c>
      <c r="Q31" s="8" t="str">
        <f ca="1">IF(L31&lt;=0,leyenda!$E$8,IF(L31&lt;=leyenda!$D$5,leyenda!$E$7,leyenda!$E$6))</f>
        <v>VENCIDO</v>
      </c>
      <c r="R31" s="8" t="str">
        <f t="shared" ca="1" si="4"/>
        <v>VENCIDO</v>
      </c>
      <c r="S31" s="8" t="s">
        <v>38</v>
      </c>
      <c r="T31" s="15"/>
      <c r="U31" s="8" t="str" cm="1">
        <f t="array" aca="1" ref="U31" ca="1">_xlfn.IFS(L31&gt;=leyenda!$J$6,leyenda!$I$6,L31&gt;=leyenda!$J$7,leyenda!$I$7,L31&gt;=leyenda!$J$8,leyenda!$I$8,L31&gt;=leyenda!$J$9,leyenda!$I$9,L31&gt;=leyenda!$J$10,leyenda!$I$10,L31&lt;=leyenda!$J$11,leyenda!$I$11)</f>
        <v>A6 DE 91 A MÁS DIAS</v>
      </c>
      <c r="V31" s="8" t="s">
        <v>130</v>
      </c>
      <c r="W31" s="8" t="s">
        <v>131</v>
      </c>
      <c r="X31" s="8" t="s">
        <v>132</v>
      </c>
      <c r="Y31" s="29" t="s">
        <v>230</v>
      </c>
      <c r="Z31" s="8"/>
    </row>
    <row r="32" spans="1:26" hidden="1" x14ac:dyDescent="0.25">
      <c r="A32" s="28" t="s">
        <v>136</v>
      </c>
      <c r="B32" s="8" t="s">
        <v>133</v>
      </c>
      <c r="C32" s="8" t="s">
        <v>33</v>
      </c>
      <c r="D32" s="8" t="s">
        <v>134</v>
      </c>
      <c r="E32" s="8" t="s">
        <v>135</v>
      </c>
      <c r="F32" s="8" t="s">
        <v>137</v>
      </c>
      <c r="G32" s="9">
        <v>45384</v>
      </c>
      <c r="H32" s="13">
        <v>45440</v>
      </c>
      <c r="I32" s="9">
        <f>+H32+90</f>
        <v>45530</v>
      </c>
      <c r="J32" s="10">
        <v>20188</v>
      </c>
      <c r="K32" s="18" t="str">
        <f t="shared" ca="1" si="0"/>
        <v>0.00</v>
      </c>
      <c r="L32" s="16">
        <f t="shared" ca="1" si="1"/>
        <v>24</v>
      </c>
      <c r="M32" s="17">
        <f t="shared" ca="1" si="2"/>
        <v>20188</v>
      </c>
      <c r="N32" s="19" t="str">
        <f ca="1">IFERROR(IF(TODAY()-I32-8&lt;=0,"",TODAY()-I32-8)*leyenda!$A$8*J32,"0.00")</f>
        <v>0.00</v>
      </c>
      <c r="O32" s="13"/>
      <c r="P32" s="13">
        <f t="shared" ca="1" si="3"/>
        <v>45506</v>
      </c>
      <c r="Q32" s="8" t="str">
        <f ca="1">IF(L32&lt;=0,leyenda!$E$8,IF(L32&lt;=leyenda!$D$5,leyenda!$E$7,leyenda!$E$6))</f>
        <v>VIGENTE</v>
      </c>
      <c r="R32" s="8" t="str">
        <f t="shared" ca="1" si="4"/>
        <v>VIGENTE</v>
      </c>
      <c r="S32" s="8" t="s">
        <v>38</v>
      </c>
      <c r="T32" s="15"/>
      <c r="U32" s="8" t="str" cm="1">
        <f t="array" aca="1" ref="U32" ca="1">_xlfn.IFS(L32&gt;=leyenda!$J$6,leyenda!$I$6,L32&gt;=leyenda!$J$7,leyenda!$I$7,L32&gt;=leyenda!$J$8,leyenda!$I$8,L32&gt;=leyenda!$J$9,leyenda!$I$9,L32&gt;=leyenda!$J$10,leyenda!$I$10,L32&lt;=leyenda!$J$11,leyenda!$I$11)</f>
        <v>A1 VIGENTE</v>
      </c>
      <c r="V32" s="8" t="s">
        <v>138</v>
      </c>
      <c r="W32" s="8"/>
      <c r="X32" s="8" t="s">
        <v>53</v>
      </c>
      <c r="Y32" s="29" t="s">
        <v>139</v>
      </c>
      <c r="Z32" s="8"/>
    </row>
    <row r="33" spans="1:26" x14ac:dyDescent="0.25">
      <c r="A33" s="28" t="s">
        <v>142</v>
      </c>
      <c r="B33" s="8" t="s">
        <v>140</v>
      </c>
      <c r="C33" s="8" t="s">
        <v>71</v>
      </c>
      <c r="D33" s="8" t="s">
        <v>141</v>
      </c>
      <c r="E33" s="8" t="s">
        <v>119</v>
      </c>
      <c r="F33" s="8" t="s">
        <v>143</v>
      </c>
      <c r="G33" s="9">
        <v>44657</v>
      </c>
      <c r="H33" s="13">
        <v>44669</v>
      </c>
      <c r="I33" s="9">
        <f>H33+45</f>
        <v>44714</v>
      </c>
      <c r="J33" s="10">
        <v>148</v>
      </c>
      <c r="K33" s="18">
        <f t="shared" ca="1" si="0"/>
        <v>36.532844484853499</v>
      </c>
      <c r="L33" s="16">
        <f t="shared" ca="1" si="1"/>
        <v>-792</v>
      </c>
      <c r="M33" s="17">
        <f t="shared" ca="1" si="2"/>
        <v>184.53284448485351</v>
      </c>
      <c r="N33" s="19">
        <f ca="1">IFERROR(IF(TODAY()-I33-8&lt;=0,"",TODAY()-I33-8)*leyenda!$A$8*J33,"0.00")</f>
        <v>36.532844484853499</v>
      </c>
      <c r="O33" s="14"/>
      <c r="P33" s="13">
        <f t="shared" ca="1" si="3"/>
        <v>45506</v>
      </c>
      <c r="Q33" s="8" t="str">
        <f ca="1">IF(L33&lt;=0,leyenda!$E$8,IF(L33&lt;=leyenda!$D$5,leyenda!$E$7,leyenda!$E$6))</f>
        <v>VENCIDO</v>
      </c>
      <c r="R33" s="8" t="str">
        <f t="shared" ca="1" si="4"/>
        <v>VENCIDO</v>
      </c>
      <c r="S33" s="8" t="s">
        <v>38</v>
      </c>
      <c r="T33" s="15"/>
      <c r="U33" s="8" t="str" cm="1">
        <f t="array" aca="1" ref="U33" ca="1">_xlfn.IFS(L33&gt;=leyenda!$J$6,leyenda!$I$6,L33&gt;=leyenda!$J$7,leyenda!$I$7,L33&gt;=leyenda!$J$8,leyenda!$I$8,L33&gt;=leyenda!$J$9,leyenda!$I$9,L33&gt;=leyenda!$J$10,leyenda!$I$10,L33&lt;=leyenda!$J$11,leyenda!$I$11)</f>
        <v>A6 DE 91 A MÁS DIAS</v>
      </c>
      <c r="V33" s="8" t="s">
        <v>144</v>
      </c>
      <c r="W33" s="8"/>
      <c r="X33" s="8"/>
      <c r="Y33" s="29" t="s">
        <v>145</v>
      </c>
      <c r="Z33" s="8" t="s">
        <v>440</v>
      </c>
    </row>
    <row r="34" spans="1:26" hidden="1" x14ac:dyDescent="0.25">
      <c r="A34" s="28" t="s">
        <v>149</v>
      </c>
      <c r="B34" s="8" t="s">
        <v>146</v>
      </c>
      <c r="C34" s="8" t="s">
        <v>43</v>
      </c>
      <c r="D34" s="8" t="s">
        <v>147</v>
      </c>
      <c r="E34" s="8" t="s">
        <v>148</v>
      </c>
      <c r="F34" s="8" t="s">
        <v>80</v>
      </c>
      <c r="G34" s="9">
        <v>44119</v>
      </c>
      <c r="H34" s="13">
        <v>44119</v>
      </c>
      <c r="I34" s="9">
        <v>44119</v>
      </c>
      <c r="J34" s="10">
        <v>-1631.34</v>
      </c>
      <c r="K34" s="18" t="str">
        <f t="shared" ref="K34:K65" si="6">IFERROR(IF(O34,"0.00",N34),"0.00")</f>
        <v>0.00</v>
      </c>
      <c r="L34" s="16">
        <f t="shared" ref="L34:L65" ca="1" si="7">+I34-P34</f>
        <v>-1387</v>
      </c>
      <c r="M34" s="17">
        <f t="shared" ref="M34:M65" si="8">+J34+K34</f>
        <v>-1631.34</v>
      </c>
      <c r="N34" s="19">
        <f ca="1">IFERROR(IF(TODAY()-I34-8&lt;=0,"",TODAY()-I34-8)*leyenda!$A$8*J34,"0.00")</f>
        <v>-708.29546530033895</v>
      </c>
      <c r="O34" s="14" t="s">
        <v>43</v>
      </c>
      <c r="P34" s="13">
        <f t="shared" ref="P34:P65" ca="1" si="9">TODAY()</f>
        <v>45506</v>
      </c>
      <c r="Q34" s="8" t="str">
        <f ca="1">IF(L34&lt;=0,leyenda!$E$8,IF(L34&lt;=leyenda!$D$5,leyenda!$E$7,leyenda!$E$6))</f>
        <v>VENCIDO</v>
      </c>
      <c r="R34" s="8" t="str">
        <f t="shared" ref="R34:R65" ca="1" si="10">+Q34</f>
        <v>VENCIDO</v>
      </c>
      <c r="S34" s="8" t="s">
        <v>38</v>
      </c>
      <c r="T34" s="15"/>
      <c r="U34" s="8" t="str" cm="1">
        <f t="array" aca="1" ref="U34" ca="1">_xlfn.IFS(L34&gt;=leyenda!$J$6,leyenda!$I$6,L34&gt;=leyenda!$J$7,leyenda!$I$7,L34&gt;=leyenda!$J$8,leyenda!$I$8,L34&gt;=leyenda!$J$9,leyenda!$I$9,L34&gt;=leyenda!$J$10,leyenda!$I$10,L34&lt;=leyenda!$J$11,leyenda!$I$11)</f>
        <v>A6 DE 91 A MÁS DIAS</v>
      </c>
      <c r="V34" s="8" t="s">
        <v>150</v>
      </c>
      <c r="W34" s="8" t="s">
        <v>151</v>
      </c>
      <c r="X34" s="8"/>
      <c r="Y34" s="29" t="s">
        <v>116</v>
      </c>
      <c r="Z34" s="8"/>
    </row>
    <row r="35" spans="1:26" x14ac:dyDescent="0.25">
      <c r="A35" s="28" t="s">
        <v>154</v>
      </c>
      <c r="B35" s="8" t="s">
        <v>152</v>
      </c>
      <c r="C35" s="8" t="s">
        <v>33</v>
      </c>
      <c r="D35" s="8" t="s">
        <v>153</v>
      </c>
      <c r="E35" s="8" t="s">
        <v>37</v>
      </c>
      <c r="F35" s="8" t="s">
        <v>39</v>
      </c>
      <c r="G35" s="9">
        <v>45433</v>
      </c>
      <c r="H35" s="13">
        <v>45433</v>
      </c>
      <c r="I35" s="9">
        <v>45433</v>
      </c>
      <c r="J35" s="10">
        <v>897.99</v>
      </c>
      <c r="K35" s="18" t="str">
        <f t="shared" si="6"/>
        <v>0.00</v>
      </c>
      <c r="L35" s="16">
        <f t="shared" ca="1" si="7"/>
        <v>-73</v>
      </c>
      <c r="M35" s="17">
        <f t="shared" si="8"/>
        <v>897.99</v>
      </c>
      <c r="N35" s="19">
        <f ca="1">IFERROR(IF(TODAY()-I35-8&lt;=0,"",TODAY()-I35-8)*leyenda!$A$8*J35,"0.00")</f>
        <v>18.377675005446633</v>
      </c>
      <c r="O35" s="13" t="s">
        <v>37</v>
      </c>
      <c r="P35" s="13">
        <f t="shared" ca="1" si="9"/>
        <v>45506</v>
      </c>
      <c r="Q35" s="8" t="str">
        <f ca="1">IF(L35&lt;=0,leyenda!$E$8,IF(L35&lt;=leyenda!$D$5,leyenda!$E$7,leyenda!$E$6))</f>
        <v>VENCIDO</v>
      </c>
      <c r="R35" s="8" t="str">
        <f t="shared" ca="1" si="10"/>
        <v>VENCIDO</v>
      </c>
      <c r="S35" s="8" t="s">
        <v>38</v>
      </c>
      <c r="T35" s="15"/>
      <c r="U35" s="8" t="str" cm="1">
        <f t="array" aca="1" ref="U35" ca="1">_xlfn.IFS(L35&gt;=leyenda!$J$6,leyenda!$I$6,L35&gt;=leyenda!$J$7,leyenda!$I$7,L35&gt;=leyenda!$J$8,leyenda!$I$8,L35&gt;=leyenda!$J$9,leyenda!$I$9,L35&gt;=leyenda!$J$10,leyenda!$I$10,L35&lt;=leyenda!$J$11,leyenda!$I$11)</f>
        <v>A5 DE 61 A 90 DIAS</v>
      </c>
      <c r="V35" s="8" t="s">
        <v>155</v>
      </c>
      <c r="W35" s="8" t="s">
        <v>156</v>
      </c>
      <c r="X35" s="8" t="s">
        <v>53</v>
      </c>
      <c r="Y35" s="29" t="s">
        <v>428</v>
      </c>
      <c r="Z35" s="8" t="s">
        <v>441</v>
      </c>
    </row>
    <row r="36" spans="1:26" hidden="1" x14ac:dyDescent="0.25">
      <c r="A36" s="28" t="s">
        <v>154</v>
      </c>
      <c r="B36" s="8" t="s">
        <v>152</v>
      </c>
      <c r="C36" s="8" t="s">
        <v>33</v>
      </c>
      <c r="D36" s="8" t="s">
        <v>388</v>
      </c>
      <c r="E36" s="8" t="s">
        <v>389</v>
      </c>
      <c r="F36" s="8" t="s">
        <v>387</v>
      </c>
      <c r="G36" s="9">
        <v>45454</v>
      </c>
      <c r="H36" s="9">
        <v>45460</v>
      </c>
      <c r="I36" s="9">
        <f>+BB_CXC_IN[[#This Row],[F. Embarque]]+90</f>
        <v>45550</v>
      </c>
      <c r="J36" s="10">
        <v>106762.8</v>
      </c>
      <c r="K36" s="18" t="str">
        <f t="shared" ca="1" si="6"/>
        <v>0.00</v>
      </c>
      <c r="L36" s="16">
        <f t="shared" ca="1" si="7"/>
        <v>44</v>
      </c>
      <c r="M36" s="17">
        <f t="shared" ca="1" si="8"/>
        <v>106762.8</v>
      </c>
      <c r="N36" s="19" t="str">
        <f ca="1">IFERROR(IF(TODAY()-I36-8&lt;=0,"",TODAY()-I36-8)*leyenda!$A$8*J36,"0.00")</f>
        <v>0.00</v>
      </c>
      <c r="O36" s="13"/>
      <c r="P36" s="13">
        <f t="shared" ca="1" si="9"/>
        <v>45506</v>
      </c>
      <c r="Q36" s="8" t="str">
        <f ca="1">IF(L36&lt;=0,leyenda!$E$8,IF(L36&lt;=leyenda!$D$5,leyenda!$E$7,leyenda!$E$6))</f>
        <v>VIGENTE</v>
      </c>
      <c r="R36" s="8" t="str">
        <f t="shared" ca="1" si="10"/>
        <v>VIGENTE</v>
      </c>
      <c r="S36" s="8" t="s">
        <v>38</v>
      </c>
      <c r="T36" s="15"/>
      <c r="U36" s="8" t="str" cm="1">
        <f t="array" aca="1" ref="U36" ca="1">_xlfn.IFS(L36&gt;=leyenda!$J$6,leyenda!$I$6,L36&gt;=leyenda!$J$7,leyenda!$I$7,L36&gt;=leyenda!$J$8,leyenda!$I$8,L36&gt;=leyenda!$J$9,leyenda!$I$9,L36&gt;=leyenda!$J$10,leyenda!$I$10,L36&lt;=leyenda!$J$11,leyenda!$I$11)</f>
        <v>A1 VIGENTE</v>
      </c>
      <c r="V36" s="8" t="s">
        <v>155</v>
      </c>
      <c r="W36" s="8" t="s">
        <v>156</v>
      </c>
      <c r="X36" s="8" t="s">
        <v>53</v>
      </c>
      <c r="Y36" s="29" t="s">
        <v>157</v>
      </c>
      <c r="Z36" s="8"/>
    </row>
    <row r="37" spans="1:26" hidden="1" x14ac:dyDescent="0.25">
      <c r="A37" s="28" t="s">
        <v>160</v>
      </c>
      <c r="B37" s="8" t="s">
        <v>158</v>
      </c>
      <c r="C37" s="8" t="s">
        <v>43</v>
      </c>
      <c r="D37" s="8" t="s">
        <v>44</v>
      </c>
      <c r="E37" s="8" t="s">
        <v>159</v>
      </c>
      <c r="F37" s="8" t="s">
        <v>161</v>
      </c>
      <c r="G37" s="9">
        <v>45407</v>
      </c>
      <c r="H37" s="13">
        <v>45407</v>
      </c>
      <c r="I37" s="9">
        <v>45407</v>
      </c>
      <c r="J37" s="10">
        <v>-2880.5</v>
      </c>
      <c r="K37" s="18" t="str">
        <f t="shared" si="6"/>
        <v>0.00</v>
      </c>
      <c r="L37" s="16">
        <f t="shared" ca="1" si="7"/>
        <v>-99</v>
      </c>
      <c r="M37" s="17">
        <f t="shared" si="8"/>
        <v>-2880.5</v>
      </c>
      <c r="N37" s="19">
        <f ca="1">IFERROR(IF(TODAY()-I37-8&lt;=0,"",TODAY()-I37-8)*leyenda!$A$8*J37,"0.00")</f>
        <v>-82.530596102923894</v>
      </c>
      <c r="O37" s="14" t="s">
        <v>43</v>
      </c>
      <c r="P37" s="13">
        <f t="shared" ca="1" si="9"/>
        <v>45506</v>
      </c>
      <c r="Q37" s="8" t="str">
        <f ca="1">IF(L37&lt;=0,leyenda!$E$8,IF(L37&lt;=leyenda!$D$5,leyenda!$E$7,leyenda!$E$6))</f>
        <v>VENCIDO</v>
      </c>
      <c r="R37" s="8" t="str">
        <f t="shared" ca="1" si="10"/>
        <v>VENCIDO</v>
      </c>
      <c r="S37" s="8" t="s">
        <v>38</v>
      </c>
      <c r="T37" s="15"/>
      <c r="U37" s="8" t="str" cm="1">
        <f t="array" aca="1" ref="U37" ca="1">_xlfn.IFS(L37&gt;=leyenda!$J$6,leyenda!$I$6,L37&gt;=leyenda!$J$7,leyenda!$I$7,L37&gt;=leyenda!$J$8,leyenda!$I$8,L37&gt;=leyenda!$J$9,leyenda!$I$9,L37&gt;=leyenda!$J$10,leyenda!$I$10,L37&lt;=leyenda!$J$11,leyenda!$I$11)</f>
        <v>A6 DE 91 A MÁS DIAS</v>
      </c>
      <c r="V37" s="8" t="s">
        <v>162</v>
      </c>
      <c r="W37" s="8"/>
      <c r="X37" s="8"/>
      <c r="Y37" s="29" t="s">
        <v>163</v>
      </c>
      <c r="Z37" s="8"/>
    </row>
    <row r="38" spans="1:26" hidden="1" x14ac:dyDescent="0.25">
      <c r="A38" s="28" t="s">
        <v>160</v>
      </c>
      <c r="B38" s="8" t="s">
        <v>158</v>
      </c>
      <c r="C38" s="8" t="s">
        <v>43</v>
      </c>
      <c r="D38" s="8" t="s">
        <v>44</v>
      </c>
      <c r="E38" s="8" t="s">
        <v>413</v>
      </c>
      <c r="F38" s="8" t="s">
        <v>161</v>
      </c>
      <c r="G38" s="9">
        <v>45440</v>
      </c>
      <c r="H38" s="9">
        <v>45440</v>
      </c>
      <c r="I38" s="9">
        <v>45440</v>
      </c>
      <c r="J38" s="10">
        <v>-20750</v>
      </c>
      <c r="K38" s="18" t="str">
        <f t="shared" si="6"/>
        <v>0.00</v>
      </c>
      <c r="L38" s="16">
        <f t="shared" ca="1" si="7"/>
        <v>-66</v>
      </c>
      <c r="M38" s="17">
        <f t="shared" si="8"/>
        <v>-20750</v>
      </c>
      <c r="N38" s="19">
        <f ca="1">IFERROR(IF(TODAY()-I38-8&lt;=0,"",TODAY()-I38-8)*leyenda!$A$8*J38,"0.00")</f>
        <v>-378.92373084598375</v>
      </c>
      <c r="O38" s="14" t="s">
        <v>43</v>
      </c>
      <c r="P38" s="13">
        <f t="shared" ca="1" si="9"/>
        <v>45506</v>
      </c>
      <c r="Q38" s="8" t="str">
        <f ca="1">IF(L38&lt;=0,leyenda!$E$8,IF(L38&lt;=leyenda!$D$5,leyenda!$E$7,leyenda!$E$6))</f>
        <v>VENCIDO</v>
      </c>
      <c r="R38" s="8" t="str">
        <f t="shared" ca="1" si="10"/>
        <v>VENCIDO</v>
      </c>
      <c r="S38" s="8" t="s">
        <v>38</v>
      </c>
      <c r="T38" s="15"/>
      <c r="U38" s="8" t="str" cm="1">
        <f t="array" aca="1" ref="U38" ca="1">_xlfn.IFS(L38&gt;=leyenda!$J$6,leyenda!$I$6,L38&gt;=leyenda!$J$7,leyenda!$I$7,L38&gt;=leyenda!$J$8,leyenda!$I$8,L38&gt;=leyenda!$J$9,leyenda!$I$9,L38&gt;=leyenda!$J$10,leyenda!$I$10,L38&lt;=leyenda!$J$11,leyenda!$I$11)</f>
        <v>A5 DE 61 A 90 DIAS</v>
      </c>
      <c r="V38" s="8" t="s">
        <v>162</v>
      </c>
      <c r="W38" s="8"/>
      <c r="X38" s="8"/>
      <c r="Y38" s="29" t="s">
        <v>163</v>
      </c>
      <c r="Z38" s="8"/>
    </row>
    <row r="39" spans="1:26" x14ac:dyDescent="0.25">
      <c r="A39" s="28" t="s">
        <v>165</v>
      </c>
      <c r="B39" s="8" t="s">
        <v>164</v>
      </c>
      <c r="C39" s="8" t="s">
        <v>71</v>
      </c>
      <c r="D39" s="8" t="s">
        <v>167</v>
      </c>
      <c r="E39" s="8" t="s">
        <v>168</v>
      </c>
      <c r="F39" s="8" t="s">
        <v>45</v>
      </c>
      <c r="G39" s="9">
        <v>45394</v>
      </c>
      <c r="H39" s="13">
        <v>45404</v>
      </c>
      <c r="I39" s="9">
        <f>+H39+45</f>
        <v>45449</v>
      </c>
      <c r="J39" s="10">
        <v>500</v>
      </c>
      <c r="K39" s="18">
        <f t="shared" ca="1" si="6"/>
        <v>7.7138607442680529</v>
      </c>
      <c r="L39" s="16">
        <f t="shared" ca="1" si="7"/>
        <v>-57</v>
      </c>
      <c r="M39" s="17">
        <f t="shared" ca="1" si="8"/>
        <v>507.71386074426806</v>
      </c>
      <c r="N39" s="19">
        <f ca="1">IFERROR(IF(TODAY()-I39-8&lt;=0,"",TODAY()-I39-8)*leyenda!$A$8*J39,"0.00")</f>
        <v>7.7138607442680529</v>
      </c>
      <c r="O39" s="14"/>
      <c r="P39" s="13">
        <f t="shared" ca="1" si="9"/>
        <v>45506</v>
      </c>
      <c r="Q39" s="8" t="str">
        <f ca="1">IF(L39&lt;=0,leyenda!$E$8,IF(L39&lt;=leyenda!$D$5,leyenda!$E$7,leyenda!$E$6))</f>
        <v>VENCIDO</v>
      </c>
      <c r="R39" s="8" t="str">
        <f t="shared" ca="1" si="10"/>
        <v>VENCIDO</v>
      </c>
      <c r="S39" s="8" t="s">
        <v>38</v>
      </c>
      <c r="T39" s="15"/>
      <c r="U39" s="8" t="str" cm="1">
        <f t="array" aca="1" ref="U39" ca="1">_xlfn.IFS(L39&gt;=leyenda!$J$6,leyenda!$I$6,L39&gt;=leyenda!$J$7,leyenda!$I$7,L39&gt;=leyenda!$J$8,leyenda!$I$8,L39&gt;=leyenda!$J$9,leyenda!$I$9,L39&gt;=leyenda!$J$10,leyenda!$I$10,L39&lt;=leyenda!$J$11,leyenda!$I$11)</f>
        <v>A4 DE 31 A 60 DIAS</v>
      </c>
      <c r="V39" s="8"/>
      <c r="W39" s="8"/>
      <c r="X39" s="8"/>
      <c r="Y39" s="29" t="s">
        <v>230</v>
      </c>
      <c r="Z39" s="8" t="s">
        <v>442</v>
      </c>
    </row>
    <row r="40" spans="1:26" x14ac:dyDescent="0.25">
      <c r="A40" s="28" t="s">
        <v>165</v>
      </c>
      <c r="B40" s="8" t="s">
        <v>164</v>
      </c>
      <c r="C40" s="8" t="s">
        <v>33</v>
      </c>
      <c r="D40" s="8" t="s">
        <v>169</v>
      </c>
      <c r="E40" s="8" t="s">
        <v>366</v>
      </c>
      <c r="F40" s="8" t="s">
        <v>143</v>
      </c>
      <c r="G40" s="9">
        <v>45394</v>
      </c>
      <c r="H40" s="13">
        <v>45404</v>
      </c>
      <c r="I40" s="9">
        <f>+H40+45</f>
        <v>45449</v>
      </c>
      <c r="J40" s="10">
        <v>18044</v>
      </c>
      <c r="K40" s="18">
        <f t="shared" ca="1" si="6"/>
        <v>278.37780653914547</v>
      </c>
      <c r="L40" s="16">
        <f t="shared" ca="1" si="7"/>
        <v>-57</v>
      </c>
      <c r="M40" s="17">
        <f t="shared" ca="1" si="8"/>
        <v>18322.377806539145</v>
      </c>
      <c r="N40" s="19">
        <f ca="1">IFERROR(IF(TODAY()-I40-8&lt;=0,"",TODAY()-I40-8)*leyenda!$A$8*J40,"0.00")</f>
        <v>278.37780653914547</v>
      </c>
      <c r="O40" s="13"/>
      <c r="P40" s="13">
        <f t="shared" ca="1" si="9"/>
        <v>45506</v>
      </c>
      <c r="Q40" s="8" t="str">
        <f ca="1">IF(L40&lt;=0,leyenda!$E$8,IF(L40&lt;=leyenda!$D$5,leyenda!$E$7,leyenda!$E$6))</f>
        <v>VENCIDO</v>
      </c>
      <c r="R40" s="8" t="str">
        <f t="shared" ca="1" si="10"/>
        <v>VENCIDO</v>
      </c>
      <c r="S40" s="8" t="s">
        <v>38</v>
      </c>
      <c r="T40" s="15"/>
      <c r="U40" s="8" t="str" cm="1">
        <f t="array" aca="1" ref="U40" ca="1">_xlfn.IFS(L40&gt;=leyenda!$J$6,leyenda!$I$6,L40&gt;=leyenda!$J$7,leyenda!$I$7,L40&gt;=leyenda!$J$8,leyenda!$I$8,L40&gt;=leyenda!$J$9,leyenda!$I$9,L40&gt;=leyenda!$J$10,leyenda!$I$10,L40&lt;=leyenda!$J$11,leyenda!$I$11)</f>
        <v>A4 DE 31 A 60 DIAS</v>
      </c>
      <c r="V40" s="8"/>
      <c r="W40" s="8"/>
      <c r="X40" s="8"/>
      <c r="Y40" s="29" t="s">
        <v>230</v>
      </c>
      <c r="Z40" s="8" t="s">
        <v>442</v>
      </c>
    </row>
    <row r="41" spans="1:26" x14ac:dyDescent="0.25">
      <c r="A41" s="28" t="s">
        <v>165</v>
      </c>
      <c r="B41" s="8" t="s">
        <v>164</v>
      </c>
      <c r="C41" s="8" t="s">
        <v>33</v>
      </c>
      <c r="D41" s="8" t="s">
        <v>391</v>
      </c>
      <c r="E41" s="8" t="s">
        <v>37</v>
      </c>
      <c r="F41" s="8" t="s">
        <v>39</v>
      </c>
      <c r="G41" s="9">
        <v>45491</v>
      </c>
      <c r="H41" s="9">
        <v>45491</v>
      </c>
      <c r="I41" s="9">
        <v>45491</v>
      </c>
      <c r="J41" s="10">
        <v>1.76</v>
      </c>
      <c r="K41" s="18" t="str">
        <f t="shared" si="6"/>
        <v>0.00</v>
      </c>
      <c r="L41" s="16">
        <f t="shared" ca="1" si="7"/>
        <v>-15</v>
      </c>
      <c r="M41" s="17">
        <f t="shared" si="8"/>
        <v>1.76</v>
      </c>
      <c r="N41" s="19">
        <f ca="1">IFERROR(IF(TODAY()-I41-8&lt;=0,"",TODAY()-I41-8)*leyenda!$A$8*J41,"0.00")</f>
        <v>3.8789699742605068E-3</v>
      </c>
      <c r="O41" s="13" t="s">
        <v>37</v>
      </c>
      <c r="P41" s="13">
        <f t="shared" ca="1" si="9"/>
        <v>45506</v>
      </c>
      <c r="Q41" s="8" t="str">
        <f ca="1">IF(L41&lt;=0,leyenda!$E$8,IF(L41&lt;=leyenda!$D$5,leyenda!$E$7,leyenda!$E$6))</f>
        <v>VENCIDO</v>
      </c>
      <c r="R41" s="8" t="str">
        <f t="shared" ca="1" si="10"/>
        <v>VENCIDO</v>
      </c>
      <c r="S41" s="8" t="s">
        <v>38</v>
      </c>
      <c r="T41" s="15"/>
      <c r="U41" s="8" t="str" cm="1">
        <f t="array" aca="1" ref="U41" ca="1">_xlfn.IFS(L41&gt;=leyenda!$J$6,leyenda!$I$6,L41&gt;=leyenda!$J$7,leyenda!$I$7,L41&gt;=leyenda!$J$8,leyenda!$I$8,L41&gt;=leyenda!$J$9,leyenda!$I$9,L41&gt;=leyenda!$J$10,leyenda!$I$10,L41&lt;=leyenda!$J$11,leyenda!$I$11)</f>
        <v>A2 DE 1 A 15 DIAS</v>
      </c>
      <c r="V41" s="8"/>
      <c r="W41" s="8"/>
      <c r="X41" s="8"/>
      <c r="Y41" s="29" t="s">
        <v>230</v>
      </c>
      <c r="Z41" s="8" t="s">
        <v>442</v>
      </c>
    </row>
    <row r="42" spans="1:26" x14ac:dyDescent="0.25">
      <c r="A42" s="28" t="s">
        <v>423</v>
      </c>
      <c r="B42" s="8" t="s">
        <v>170</v>
      </c>
      <c r="C42" s="8" t="s">
        <v>33</v>
      </c>
      <c r="D42" s="8" t="s">
        <v>176</v>
      </c>
      <c r="E42" s="8" t="s">
        <v>402</v>
      </c>
      <c r="F42" s="8" t="s">
        <v>172</v>
      </c>
      <c r="G42" s="9">
        <v>45258</v>
      </c>
      <c r="H42" s="13">
        <v>45267</v>
      </c>
      <c r="I42" s="9">
        <f>+H42+165</f>
        <v>45432</v>
      </c>
      <c r="J42" s="10">
        <v>71483.396666666667</v>
      </c>
      <c r="K42" s="18">
        <f t="shared" ca="1" si="6"/>
        <v>1485.4390142579657</v>
      </c>
      <c r="L42" s="16">
        <f t="shared" ca="1" si="7"/>
        <v>-74</v>
      </c>
      <c r="M42" s="17">
        <f t="shared" ca="1" si="8"/>
        <v>72968.835680924632</v>
      </c>
      <c r="N42" s="19">
        <f ca="1">IFERROR(IF(TODAY()-I42-8&lt;=0,"",TODAY()-I42-8)*leyenda!$A$8*J42,"0.00")</f>
        <v>1485.4390142579657</v>
      </c>
      <c r="O42" s="8"/>
      <c r="P42" s="13">
        <f t="shared" ca="1" si="9"/>
        <v>45506</v>
      </c>
      <c r="Q42" s="8" t="str">
        <f ca="1">IF(L42&lt;=0,leyenda!$E$8,IF(L42&lt;=leyenda!$D$5,leyenda!$E$7,leyenda!$E$6))</f>
        <v>VENCIDO</v>
      </c>
      <c r="R42" s="8" t="str">
        <f t="shared" ca="1" si="10"/>
        <v>VENCIDO</v>
      </c>
      <c r="S42" s="8" t="s">
        <v>38</v>
      </c>
      <c r="T42" s="15"/>
      <c r="U42" s="8" t="str" cm="1">
        <f t="array" aca="1" ref="U42" ca="1">_xlfn.IFS(L42&gt;=leyenda!$J$6,leyenda!$I$6,L42&gt;=leyenda!$J$7,leyenda!$I$7,L42&gt;=leyenda!$J$8,leyenda!$I$8,L42&gt;=leyenda!$J$9,leyenda!$I$9,L42&gt;=leyenda!$J$10,leyenda!$I$10,L42&lt;=leyenda!$J$11,leyenda!$I$11)</f>
        <v>A5 DE 61 A 90 DIAS</v>
      </c>
      <c r="V42" s="8" t="s">
        <v>173</v>
      </c>
      <c r="W42" s="8" t="s">
        <v>174</v>
      </c>
      <c r="X42" s="8" t="s">
        <v>53</v>
      </c>
      <c r="Y42" s="29" t="s">
        <v>431</v>
      </c>
      <c r="Z42" s="8" t="s">
        <v>443</v>
      </c>
    </row>
    <row r="43" spans="1:26" x14ac:dyDescent="0.25">
      <c r="A43" s="28" t="s">
        <v>423</v>
      </c>
      <c r="B43" s="8" t="s">
        <v>170</v>
      </c>
      <c r="C43" s="8" t="s">
        <v>33</v>
      </c>
      <c r="D43" s="8" t="s">
        <v>177</v>
      </c>
      <c r="E43" s="8" t="s">
        <v>403</v>
      </c>
      <c r="F43" s="8" t="s">
        <v>178</v>
      </c>
      <c r="G43" s="9">
        <v>45287</v>
      </c>
      <c r="H43" s="13">
        <v>45308</v>
      </c>
      <c r="I43" s="9">
        <f>+H43+90</f>
        <v>45398</v>
      </c>
      <c r="J43" s="10">
        <v>4464</v>
      </c>
      <c r="K43" s="18">
        <f t="shared" ca="1" si="6"/>
        <v>140.54969127515341</v>
      </c>
      <c r="L43" s="16">
        <f t="shared" ca="1" si="7"/>
        <v>-108</v>
      </c>
      <c r="M43" s="17">
        <f t="shared" ca="1" si="8"/>
        <v>4604.5496912751532</v>
      </c>
      <c r="N43" s="19">
        <f ca="1">IFERROR(IF(TODAY()-I43-8&lt;=0,"",TODAY()-I43-8)*leyenda!$A$8*J43,"0.00")</f>
        <v>140.54969127515341</v>
      </c>
      <c r="O43" s="8"/>
      <c r="P43" s="13">
        <f t="shared" ca="1" si="9"/>
        <v>45506</v>
      </c>
      <c r="Q43" s="8" t="str">
        <f ca="1">IF(L43&lt;=0,leyenda!$E$8,IF(L43&lt;=leyenda!$D$5,leyenda!$E$7,leyenda!$E$6))</f>
        <v>VENCIDO</v>
      </c>
      <c r="R43" s="8" t="str">
        <f t="shared" ca="1" si="10"/>
        <v>VENCIDO</v>
      </c>
      <c r="S43" s="8" t="s">
        <v>38</v>
      </c>
      <c r="T43" s="15"/>
      <c r="U43" s="8" t="str" cm="1">
        <f t="array" aca="1" ref="U43" ca="1">_xlfn.IFS(L43&gt;=leyenda!$J$6,leyenda!$I$6,L43&gt;=leyenda!$J$7,leyenda!$I$7,L43&gt;=leyenda!$J$8,leyenda!$I$8,L43&gt;=leyenda!$J$9,leyenda!$I$9,L43&gt;=leyenda!$J$10,leyenda!$I$10,L43&lt;=leyenda!$J$11,leyenda!$I$11)</f>
        <v>A6 DE 91 A MÁS DIAS</v>
      </c>
      <c r="V43" s="8" t="s">
        <v>173</v>
      </c>
      <c r="W43" s="8" t="s">
        <v>174</v>
      </c>
      <c r="X43" s="8" t="s">
        <v>53</v>
      </c>
      <c r="Y43" s="29" t="s">
        <v>431</v>
      </c>
      <c r="Z43" s="8" t="s">
        <v>443</v>
      </c>
    </row>
    <row r="44" spans="1:26" x14ac:dyDescent="0.25">
      <c r="A44" s="28" t="s">
        <v>423</v>
      </c>
      <c r="B44" s="8" t="s">
        <v>170</v>
      </c>
      <c r="C44" s="8" t="s">
        <v>33</v>
      </c>
      <c r="D44" s="8" t="s">
        <v>177</v>
      </c>
      <c r="E44" s="8" t="s">
        <v>403</v>
      </c>
      <c r="F44" s="8" t="s">
        <v>178</v>
      </c>
      <c r="G44" s="9">
        <v>45287</v>
      </c>
      <c r="H44" s="13">
        <v>45308</v>
      </c>
      <c r="I44" s="9">
        <f>+H44+120</f>
        <v>45428</v>
      </c>
      <c r="J44" s="10">
        <v>4464</v>
      </c>
      <c r="K44" s="18">
        <f t="shared" ca="1" si="6"/>
        <v>98.384783892607402</v>
      </c>
      <c r="L44" s="16">
        <f t="shared" ca="1" si="7"/>
        <v>-78</v>
      </c>
      <c r="M44" s="17">
        <f t="shared" ca="1" si="8"/>
        <v>4562.3847838926076</v>
      </c>
      <c r="N44" s="19">
        <f ca="1">IFERROR(IF(TODAY()-I44-8&lt;=0,"",TODAY()-I44-8)*leyenda!$A$8*J44,"0.00")</f>
        <v>98.384783892607402</v>
      </c>
      <c r="O44" s="8"/>
      <c r="P44" s="13">
        <f t="shared" ca="1" si="9"/>
        <v>45506</v>
      </c>
      <c r="Q44" s="8" t="str">
        <f ca="1">IF(L44&lt;=0,leyenda!$E$8,IF(L44&lt;=leyenda!$D$5,leyenda!$E$7,leyenda!$E$6))</f>
        <v>VENCIDO</v>
      </c>
      <c r="R44" s="8" t="str">
        <f t="shared" ca="1" si="10"/>
        <v>VENCIDO</v>
      </c>
      <c r="S44" s="8" t="s">
        <v>38</v>
      </c>
      <c r="T44" s="15"/>
      <c r="U44" s="8" t="str" cm="1">
        <f t="array" aca="1" ref="U44" ca="1">_xlfn.IFS(L44&gt;=leyenda!$J$6,leyenda!$I$6,L44&gt;=leyenda!$J$7,leyenda!$I$7,L44&gt;=leyenda!$J$8,leyenda!$I$8,L44&gt;=leyenda!$J$9,leyenda!$I$9,L44&gt;=leyenda!$J$10,leyenda!$I$10,L44&lt;=leyenda!$J$11,leyenda!$I$11)</f>
        <v>A5 DE 61 A 90 DIAS</v>
      </c>
      <c r="V44" s="8" t="s">
        <v>173</v>
      </c>
      <c r="W44" s="8" t="s">
        <v>174</v>
      </c>
      <c r="X44" s="8" t="s">
        <v>53</v>
      </c>
      <c r="Y44" s="29" t="s">
        <v>431</v>
      </c>
      <c r="Z44" s="8" t="s">
        <v>443</v>
      </c>
    </row>
    <row r="45" spans="1:26" x14ac:dyDescent="0.25">
      <c r="A45" s="28" t="s">
        <v>423</v>
      </c>
      <c r="B45" s="8" t="s">
        <v>170</v>
      </c>
      <c r="C45" s="8" t="s">
        <v>33</v>
      </c>
      <c r="D45" s="8" t="s">
        <v>179</v>
      </c>
      <c r="E45" s="8" t="s">
        <v>404</v>
      </c>
      <c r="F45" s="8" t="s">
        <v>178</v>
      </c>
      <c r="G45" s="9">
        <v>45288</v>
      </c>
      <c r="H45" s="13">
        <v>45308</v>
      </c>
      <c r="I45" s="9">
        <f>+H45+90</f>
        <v>45398</v>
      </c>
      <c r="J45" s="10">
        <v>11837.36</v>
      </c>
      <c r="K45" s="18">
        <f t="shared" ca="1" si="6"/>
        <v>372.70100661130158</v>
      </c>
      <c r="L45" s="16">
        <f t="shared" ca="1" si="7"/>
        <v>-108</v>
      </c>
      <c r="M45" s="17">
        <f t="shared" ca="1" si="8"/>
        <v>12210.061006611302</v>
      </c>
      <c r="N45" s="19">
        <f ca="1">IFERROR(IF(TODAY()-I45-8&lt;=0,"",TODAY()-I45-8)*leyenda!$A$8*J45,"0.00")</f>
        <v>372.70100661130158</v>
      </c>
      <c r="O45" s="8"/>
      <c r="P45" s="13">
        <f t="shared" ca="1" si="9"/>
        <v>45506</v>
      </c>
      <c r="Q45" s="8" t="str">
        <f ca="1">IF(L45&lt;=0,leyenda!$E$8,IF(L45&lt;=leyenda!$D$5,leyenda!$E$7,leyenda!$E$6))</f>
        <v>VENCIDO</v>
      </c>
      <c r="R45" s="8" t="str">
        <f t="shared" ca="1" si="10"/>
        <v>VENCIDO</v>
      </c>
      <c r="S45" s="8" t="s">
        <v>38</v>
      </c>
      <c r="T45" s="15"/>
      <c r="U45" s="8" t="str" cm="1">
        <f t="array" aca="1" ref="U45" ca="1">_xlfn.IFS(L45&gt;=leyenda!$J$6,leyenda!$I$6,L45&gt;=leyenda!$J$7,leyenda!$I$7,L45&gt;=leyenda!$J$8,leyenda!$I$8,L45&gt;=leyenda!$J$9,leyenda!$I$9,L45&gt;=leyenda!$J$10,leyenda!$I$10,L45&lt;=leyenda!$J$11,leyenda!$I$11)</f>
        <v>A6 DE 91 A MÁS DIAS</v>
      </c>
      <c r="V45" s="8" t="s">
        <v>173</v>
      </c>
      <c r="W45" s="8" t="s">
        <v>174</v>
      </c>
      <c r="X45" s="8" t="s">
        <v>53</v>
      </c>
      <c r="Y45" s="29" t="s">
        <v>431</v>
      </c>
      <c r="Z45" s="8" t="s">
        <v>443</v>
      </c>
    </row>
    <row r="46" spans="1:26" x14ac:dyDescent="0.25">
      <c r="A46" s="28" t="s">
        <v>423</v>
      </c>
      <c r="B46" s="8" t="s">
        <v>170</v>
      </c>
      <c r="C46" s="8" t="s">
        <v>33</v>
      </c>
      <c r="D46" s="8" t="s">
        <v>179</v>
      </c>
      <c r="E46" s="8" t="s">
        <v>404</v>
      </c>
      <c r="F46" s="8" t="s">
        <v>178</v>
      </c>
      <c r="G46" s="9">
        <v>45288</v>
      </c>
      <c r="H46" s="13">
        <v>45308</v>
      </c>
      <c r="I46" s="9">
        <f>+H46+120</f>
        <v>45428</v>
      </c>
      <c r="J46" s="10">
        <v>11837.36</v>
      </c>
      <c r="K46" s="18">
        <f t="shared" ca="1" si="6"/>
        <v>260.89070462791108</v>
      </c>
      <c r="L46" s="16">
        <f t="shared" ca="1" si="7"/>
        <v>-78</v>
      </c>
      <c r="M46" s="17">
        <f t="shared" ca="1" si="8"/>
        <v>12098.250704627912</v>
      </c>
      <c r="N46" s="19">
        <f ca="1">IFERROR(IF(TODAY()-I46-8&lt;=0,"",TODAY()-I46-8)*leyenda!$A$8*J46,"0.00")</f>
        <v>260.89070462791108</v>
      </c>
      <c r="O46" s="8"/>
      <c r="P46" s="13">
        <f t="shared" ca="1" si="9"/>
        <v>45506</v>
      </c>
      <c r="Q46" s="8" t="str">
        <f ca="1">IF(L46&lt;=0,leyenda!$E$8,IF(L46&lt;=leyenda!$D$5,leyenda!$E$7,leyenda!$E$6))</f>
        <v>VENCIDO</v>
      </c>
      <c r="R46" s="8" t="str">
        <f t="shared" ca="1" si="10"/>
        <v>VENCIDO</v>
      </c>
      <c r="S46" s="8" t="s">
        <v>38</v>
      </c>
      <c r="T46" s="15"/>
      <c r="U46" s="8" t="str" cm="1">
        <f t="array" aca="1" ref="U46" ca="1">_xlfn.IFS(L46&gt;=leyenda!$J$6,leyenda!$I$6,L46&gt;=leyenda!$J$7,leyenda!$I$7,L46&gt;=leyenda!$J$8,leyenda!$I$8,L46&gt;=leyenda!$J$9,leyenda!$I$9,L46&gt;=leyenda!$J$10,leyenda!$I$10,L46&lt;=leyenda!$J$11,leyenda!$I$11)</f>
        <v>A5 DE 61 A 90 DIAS</v>
      </c>
      <c r="V46" s="8" t="s">
        <v>173</v>
      </c>
      <c r="W46" s="8" t="s">
        <v>174</v>
      </c>
      <c r="X46" s="8" t="s">
        <v>53</v>
      </c>
      <c r="Y46" s="29" t="s">
        <v>431</v>
      </c>
      <c r="Z46" s="8" t="s">
        <v>443</v>
      </c>
    </row>
    <row r="47" spans="1:26" x14ac:dyDescent="0.25">
      <c r="A47" s="28" t="s">
        <v>423</v>
      </c>
      <c r="B47" s="8" t="s">
        <v>170</v>
      </c>
      <c r="C47" s="8" t="s">
        <v>33</v>
      </c>
      <c r="D47" s="8" t="s">
        <v>180</v>
      </c>
      <c r="E47" s="8" t="s">
        <v>405</v>
      </c>
      <c r="F47" s="8" t="s">
        <v>178</v>
      </c>
      <c r="G47" s="9">
        <v>45288</v>
      </c>
      <c r="H47" s="13">
        <v>45308</v>
      </c>
      <c r="I47" s="9">
        <f>+H47+90</f>
        <v>45398</v>
      </c>
      <c r="J47" s="10">
        <v>4467</v>
      </c>
      <c r="K47" s="18">
        <f t="shared" ca="1" si="6"/>
        <v>140.64414671283834</v>
      </c>
      <c r="L47" s="16">
        <f t="shared" ca="1" si="7"/>
        <v>-108</v>
      </c>
      <c r="M47" s="17">
        <f t="shared" ca="1" si="8"/>
        <v>4607.6441467128379</v>
      </c>
      <c r="N47" s="19">
        <f ca="1">IFERROR(IF(TODAY()-I47-8&lt;=0,"",TODAY()-I47-8)*leyenda!$A$8*J47,"0.00")</f>
        <v>140.64414671283834</v>
      </c>
      <c r="O47" s="8"/>
      <c r="P47" s="13">
        <f t="shared" ca="1" si="9"/>
        <v>45506</v>
      </c>
      <c r="Q47" s="8" t="str">
        <f ca="1">IF(L47&lt;=0,leyenda!$E$8,IF(L47&lt;=leyenda!$D$5,leyenda!$E$7,leyenda!$E$6))</f>
        <v>VENCIDO</v>
      </c>
      <c r="R47" s="8" t="str">
        <f t="shared" ca="1" si="10"/>
        <v>VENCIDO</v>
      </c>
      <c r="S47" s="8" t="s">
        <v>38</v>
      </c>
      <c r="T47" s="15"/>
      <c r="U47" s="8" t="str" cm="1">
        <f t="array" aca="1" ref="U47" ca="1">_xlfn.IFS(L47&gt;=leyenda!$J$6,leyenda!$I$6,L47&gt;=leyenda!$J$7,leyenda!$I$7,L47&gt;=leyenda!$J$8,leyenda!$I$8,L47&gt;=leyenda!$J$9,leyenda!$I$9,L47&gt;=leyenda!$J$10,leyenda!$I$10,L47&lt;=leyenda!$J$11,leyenda!$I$11)</f>
        <v>A6 DE 91 A MÁS DIAS</v>
      </c>
      <c r="V47" s="8" t="s">
        <v>173</v>
      </c>
      <c r="W47" s="8" t="s">
        <v>174</v>
      </c>
      <c r="X47" s="8" t="s">
        <v>53</v>
      </c>
      <c r="Y47" s="29" t="s">
        <v>431</v>
      </c>
      <c r="Z47" s="8" t="s">
        <v>443</v>
      </c>
    </row>
    <row r="48" spans="1:26" x14ac:dyDescent="0.25">
      <c r="A48" s="28" t="s">
        <v>423</v>
      </c>
      <c r="B48" s="8" t="s">
        <v>170</v>
      </c>
      <c r="C48" s="8" t="s">
        <v>33</v>
      </c>
      <c r="D48" s="8" t="s">
        <v>180</v>
      </c>
      <c r="E48" s="8" t="s">
        <v>405</v>
      </c>
      <c r="F48" s="8" t="s">
        <v>178</v>
      </c>
      <c r="G48" s="9">
        <v>45288</v>
      </c>
      <c r="H48" s="13">
        <v>45308</v>
      </c>
      <c r="I48" s="9">
        <f>+H48+120</f>
        <v>45428</v>
      </c>
      <c r="J48" s="10">
        <v>4467</v>
      </c>
      <c r="K48" s="18">
        <f t="shared" ca="1" si="6"/>
        <v>98.450902698986837</v>
      </c>
      <c r="L48" s="16">
        <f t="shared" ca="1" si="7"/>
        <v>-78</v>
      </c>
      <c r="M48" s="17">
        <f t="shared" ca="1" si="8"/>
        <v>4565.4509026989872</v>
      </c>
      <c r="N48" s="19">
        <f ca="1">IFERROR(IF(TODAY()-I48-8&lt;=0,"",TODAY()-I48-8)*leyenda!$A$8*J48,"0.00")</f>
        <v>98.450902698986837</v>
      </c>
      <c r="O48" s="8"/>
      <c r="P48" s="13">
        <f t="shared" ca="1" si="9"/>
        <v>45506</v>
      </c>
      <c r="Q48" s="8" t="str">
        <f ca="1">IF(L48&lt;=0,leyenda!$E$8,IF(L48&lt;=leyenda!$D$5,leyenda!$E$7,leyenda!$E$6))</f>
        <v>VENCIDO</v>
      </c>
      <c r="R48" s="8" t="str">
        <f t="shared" ca="1" si="10"/>
        <v>VENCIDO</v>
      </c>
      <c r="S48" s="8" t="s">
        <v>38</v>
      </c>
      <c r="T48" s="15"/>
      <c r="U48" s="8" t="str" cm="1">
        <f t="array" aca="1" ref="U48" ca="1">_xlfn.IFS(L48&gt;=leyenda!$J$6,leyenda!$I$6,L48&gt;=leyenda!$J$7,leyenda!$I$7,L48&gt;=leyenda!$J$8,leyenda!$I$8,L48&gt;=leyenda!$J$9,leyenda!$I$9,L48&gt;=leyenda!$J$10,leyenda!$I$10,L48&lt;=leyenda!$J$11,leyenda!$I$11)</f>
        <v>A5 DE 61 A 90 DIAS</v>
      </c>
      <c r="V48" s="8" t="s">
        <v>173</v>
      </c>
      <c r="W48" s="8" t="s">
        <v>174</v>
      </c>
      <c r="X48" s="8" t="s">
        <v>53</v>
      </c>
      <c r="Y48" s="29" t="s">
        <v>431</v>
      </c>
      <c r="Z48" s="8" t="s">
        <v>443</v>
      </c>
    </row>
    <row r="49" spans="1:26" x14ac:dyDescent="0.25">
      <c r="A49" s="28" t="s">
        <v>423</v>
      </c>
      <c r="B49" s="8" t="s">
        <v>170</v>
      </c>
      <c r="C49" s="8" t="s">
        <v>33</v>
      </c>
      <c r="D49" s="8" t="s">
        <v>181</v>
      </c>
      <c r="E49" s="8" t="s">
        <v>406</v>
      </c>
      <c r="F49" s="8" t="s">
        <v>178</v>
      </c>
      <c r="G49" s="9">
        <v>45288</v>
      </c>
      <c r="H49" s="13">
        <v>45308</v>
      </c>
      <c r="I49" s="9">
        <f>+H49+90</f>
        <v>45398</v>
      </c>
      <c r="J49" s="10">
        <v>24578</v>
      </c>
      <c r="K49" s="18">
        <f t="shared" ca="1" si="6"/>
        <v>773.84191580661309</v>
      </c>
      <c r="L49" s="16">
        <f t="shared" ca="1" si="7"/>
        <v>-108</v>
      </c>
      <c r="M49" s="17">
        <f t="shared" ca="1" si="8"/>
        <v>25351.841915806614</v>
      </c>
      <c r="N49" s="19">
        <f ca="1">IFERROR(IF(TODAY()-I49-8&lt;=0,"",TODAY()-I49-8)*leyenda!$A$8*J49,"0.00")</f>
        <v>773.84191580661309</v>
      </c>
      <c r="O49" s="8"/>
      <c r="P49" s="13">
        <f t="shared" ca="1" si="9"/>
        <v>45506</v>
      </c>
      <c r="Q49" s="8" t="str">
        <f ca="1">IF(L49&lt;=0,leyenda!$E$8,IF(L49&lt;=leyenda!$D$5,leyenda!$E$7,leyenda!$E$6))</f>
        <v>VENCIDO</v>
      </c>
      <c r="R49" s="8" t="str">
        <f t="shared" ca="1" si="10"/>
        <v>VENCIDO</v>
      </c>
      <c r="S49" s="8" t="s">
        <v>38</v>
      </c>
      <c r="T49" s="15"/>
      <c r="U49" s="8" t="str" cm="1">
        <f t="array" aca="1" ref="U49" ca="1">_xlfn.IFS(L49&gt;=leyenda!$J$6,leyenda!$I$6,L49&gt;=leyenda!$J$7,leyenda!$I$7,L49&gt;=leyenda!$J$8,leyenda!$I$8,L49&gt;=leyenda!$J$9,leyenda!$I$9,L49&gt;=leyenda!$J$10,leyenda!$I$10,L49&lt;=leyenda!$J$11,leyenda!$I$11)</f>
        <v>A6 DE 91 A MÁS DIAS</v>
      </c>
      <c r="V49" s="8" t="s">
        <v>173</v>
      </c>
      <c r="W49" s="8" t="s">
        <v>174</v>
      </c>
      <c r="X49" s="8" t="s">
        <v>53</v>
      </c>
      <c r="Y49" s="29" t="s">
        <v>431</v>
      </c>
      <c r="Z49" s="8" t="s">
        <v>443</v>
      </c>
    </row>
    <row r="50" spans="1:26" x14ac:dyDescent="0.25">
      <c r="A50" s="28" t="s">
        <v>423</v>
      </c>
      <c r="B50" s="8" t="s">
        <v>170</v>
      </c>
      <c r="C50" s="8" t="s">
        <v>33</v>
      </c>
      <c r="D50" s="8" t="s">
        <v>181</v>
      </c>
      <c r="E50" s="8" t="s">
        <v>406</v>
      </c>
      <c r="F50" s="8" t="s">
        <v>178</v>
      </c>
      <c r="G50" s="9">
        <v>45288</v>
      </c>
      <c r="H50" s="13">
        <v>45308</v>
      </c>
      <c r="I50" s="9">
        <f>+H50+120</f>
        <v>45428</v>
      </c>
      <c r="J50" s="10">
        <v>24578</v>
      </c>
      <c r="K50" s="18">
        <f t="shared" ca="1" si="6"/>
        <v>541.68934106462916</v>
      </c>
      <c r="L50" s="16">
        <f t="shared" ca="1" si="7"/>
        <v>-78</v>
      </c>
      <c r="M50" s="17">
        <f t="shared" ca="1" si="8"/>
        <v>25119.68934106463</v>
      </c>
      <c r="N50" s="19">
        <f ca="1">IFERROR(IF(TODAY()-I50-8&lt;=0,"",TODAY()-I50-8)*leyenda!$A$8*J50,"0.00")</f>
        <v>541.68934106462916</v>
      </c>
      <c r="O50" s="8"/>
      <c r="P50" s="13">
        <f t="shared" ca="1" si="9"/>
        <v>45506</v>
      </c>
      <c r="Q50" s="8" t="str">
        <f ca="1">IF(L50&lt;=0,leyenda!$E$8,IF(L50&lt;=leyenda!$D$5,leyenda!$E$7,leyenda!$E$6))</f>
        <v>VENCIDO</v>
      </c>
      <c r="R50" s="8" t="str">
        <f t="shared" ca="1" si="10"/>
        <v>VENCIDO</v>
      </c>
      <c r="S50" s="8" t="s">
        <v>38</v>
      </c>
      <c r="T50" s="15"/>
      <c r="U50" s="8" t="str" cm="1">
        <f t="array" aca="1" ref="U50" ca="1">_xlfn.IFS(L50&gt;=leyenda!$J$6,leyenda!$I$6,L50&gt;=leyenda!$J$7,leyenda!$I$7,L50&gt;=leyenda!$J$8,leyenda!$I$8,L50&gt;=leyenda!$J$9,leyenda!$I$9,L50&gt;=leyenda!$J$10,leyenda!$I$10,L50&lt;=leyenda!$J$11,leyenda!$I$11)</f>
        <v>A5 DE 61 A 90 DIAS</v>
      </c>
      <c r="V50" s="8" t="s">
        <v>173</v>
      </c>
      <c r="W50" s="8" t="s">
        <v>174</v>
      </c>
      <c r="X50" s="8" t="s">
        <v>53</v>
      </c>
      <c r="Y50" s="29" t="s">
        <v>431</v>
      </c>
      <c r="Z50" s="8" t="s">
        <v>443</v>
      </c>
    </row>
    <row r="51" spans="1:26" x14ac:dyDescent="0.25">
      <c r="A51" s="28" t="s">
        <v>423</v>
      </c>
      <c r="B51" s="8" t="s">
        <v>170</v>
      </c>
      <c r="C51" s="8" t="s">
        <v>33</v>
      </c>
      <c r="D51" s="8" t="s">
        <v>182</v>
      </c>
      <c r="E51" s="8" t="s">
        <v>407</v>
      </c>
      <c r="F51" s="8" t="s">
        <v>178</v>
      </c>
      <c r="G51" s="9">
        <v>45289</v>
      </c>
      <c r="H51" s="13">
        <v>45308</v>
      </c>
      <c r="I51" s="9">
        <f>+H51+90</f>
        <v>45398</v>
      </c>
      <c r="J51" s="10">
        <v>57696</v>
      </c>
      <c r="K51" s="18">
        <f t="shared" ca="1" si="6"/>
        <v>1816.566977556284</v>
      </c>
      <c r="L51" s="16">
        <f t="shared" ca="1" si="7"/>
        <v>-108</v>
      </c>
      <c r="M51" s="17">
        <f t="shared" ca="1" si="8"/>
        <v>59512.566977556286</v>
      </c>
      <c r="N51" s="19">
        <f ca="1">IFERROR(IF(TODAY()-I51-8&lt;=0,"",TODAY()-I51-8)*leyenda!$A$8*J51,"0.00")</f>
        <v>1816.566977556284</v>
      </c>
      <c r="O51" s="8"/>
      <c r="P51" s="13">
        <f t="shared" ca="1" si="9"/>
        <v>45506</v>
      </c>
      <c r="Q51" s="8" t="str">
        <f ca="1">IF(L51&lt;=0,leyenda!$E$8,IF(L51&lt;=leyenda!$D$5,leyenda!$E$7,leyenda!$E$6))</f>
        <v>VENCIDO</v>
      </c>
      <c r="R51" s="8" t="str">
        <f t="shared" ca="1" si="10"/>
        <v>VENCIDO</v>
      </c>
      <c r="S51" s="8" t="s">
        <v>38</v>
      </c>
      <c r="T51" s="15"/>
      <c r="U51" s="8" t="str" cm="1">
        <f t="array" aca="1" ref="U51" ca="1">_xlfn.IFS(L51&gt;=leyenda!$J$6,leyenda!$I$6,L51&gt;=leyenda!$J$7,leyenda!$I$7,L51&gt;=leyenda!$J$8,leyenda!$I$8,L51&gt;=leyenda!$J$9,leyenda!$I$9,L51&gt;=leyenda!$J$10,leyenda!$I$10,L51&lt;=leyenda!$J$11,leyenda!$I$11)</f>
        <v>A6 DE 91 A MÁS DIAS</v>
      </c>
      <c r="V51" s="8" t="s">
        <v>173</v>
      </c>
      <c r="W51" s="8" t="s">
        <v>174</v>
      </c>
      <c r="X51" s="8" t="s">
        <v>53</v>
      </c>
      <c r="Y51" s="29" t="s">
        <v>431</v>
      </c>
      <c r="Z51" s="8" t="s">
        <v>443</v>
      </c>
    </row>
    <row r="52" spans="1:26" x14ac:dyDescent="0.25">
      <c r="A52" s="28" t="s">
        <v>423</v>
      </c>
      <c r="B52" s="8" t="s">
        <v>170</v>
      </c>
      <c r="C52" s="8" t="s">
        <v>33</v>
      </c>
      <c r="D52" s="8" t="s">
        <v>182</v>
      </c>
      <c r="E52" s="8" t="s">
        <v>407</v>
      </c>
      <c r="F52" s="8" t="s">
        <v>178</v>
      </c>
      <c r="G52" s="9">
        <v>45289</v>
      </c>
      <c r="H52" s="13">
        <v>45308</v>
      </c>
      <c r="I52" s="9">
        <f>+H52+120</f>
        <v>45428</v>
      </c>
      <c r="J52" s="10">
        <v>57696</v>
      </c>
      <c r="K52" s="18">
        <f t="shared" ca="1" si="6"/>
        <v>1271.5968842893988</v>
      </c>
      <c r="L52" s="16">
        <f t="shared" ca="1" si="7"/>
        <v>-78</v>
      </c>
      <c r="M52" s="17">
        <f t="shared" ca="1" si="8"/>
        <v>58967.5968842894</v>
      </c>
      <c r="N52" s="19">
        <f ca="1">IFERROR(IF(TODAY()-I52-8&lt;=0,"",TODAY()-I52-8)*leyenda!$A$8*J52,"0.00")</f>
        <v>1271.5968842893988</v>
      </c>
      <c r="O52" s="8"/>
      <c r="P52" s="13">
        <f t="shared" ca="1" si="9"/>
        <v>45506</v>
      </c>
      <c r="Q52" s="8" t="str">
        <f ca="1">IF(L52&lt;=0,leyenda!$E$8,IF(L52&lt;=leyenda!$D$5,leyenda!$E$7,leyenda!$E$6))</f>
        <v>VENCIDO</v>
      </c>
      <c r="R52" s="8" t="str">
        <f t="shared" ca="1" si="10"/>
        <v>VENCIDO</v>
      </c>
      <c r="S52" s="8" t="s">
        <v>38</v>
      </c>
      <c r="T52" s="15"/>
      <c r="U52" s="8" t="str" cm="1">
        <f t="array" aca="1" ref="U52" ca="1">_xlfn.IFS(L52&gt;=leyenda!$J$6,leyenda!$I$6,L52&gt;=leyenda!$J$7,leyenda!$I$7,L52&gt;=leyenda!$J$8,leyenda!$I$8,L52&gt;=leyenda!$J$9,leyenda!$I$9,L52&gt;=leyenda!$J$10,leyenda!$I$10,L52&lt;=leyenda!$J$11,leyenda!$I$11)</f>
        <v>A5 DE 61 A 90 DIAS</v>
      </c>
      <c r="V52" s="8" t="s">
        <v>173</v>
      </c>
      <c r="W52" s="8" t="s">
        <v>174</v>
      </c>
      <c r="X52" s="8" t="s">
        <v>53</v>
      </c>
      <c r="Y52" s="29" t="s">
        <v>431</v>
      </c>
      <c r="Z52" s="8" t="s">
        <v>443</v>
      </c>
    </row>
    <row r="53" spans="1:26" x14ac:dyDescent="0.25">
      <c r="A53" s="28" t="s">
        <v>423</v>
      </c>
      <c r="B53" s="8" t="s">
        <v>170</v>
      </c>
      <c r="C53" s="8" t="s">
        <v>33</v>
      </c>
      <c r="D53" s="8" t="s">
        <v>183</v>
      </c>
      <c r="E53" s="8" t="s">
        <v>408</v>
      </c>
      <c r="F53" s="8" t="s">
        <v>178</v>
      </c>
      <c r="G53" s="9">
        <v>45289</v>
      </c>
      <c r="H53" s="13">
        <v>45308</v>
      </c>
      <c r="I53" s="9">
        <f>+H53+90</f>
        <v>45398</v>
      </c>
      <c r="J53" s="10">
        <v>33287</v>
      </c>
      <c r="K53" s="18">
        <f t="shared" ca="1" si="6"/>
        <v>1048.0460514059212</v>
      </c>
      <c r="L53" s="16">
        <f t="shared" ca="1" si="7"/>
        <v>-108</v>
      </c>
      <c r="M53" s="17">
        <f t="shared" ca="1" si="8"/>
        <v>34335.046051405923</v>
      </c>
      <c r="N53" s="19">
        <f ca="1">IFERROR(IF(TODAY()-I53-8&lt;=0,"",TODAY()-I53-8)*leyenda!$A$8*J53,"0.00")</f>
        <v>1048.0460514059212</v>
      </c>
      <c r="O53" s="8"/>
      <c r="P53" s="13">
        <f t="shared" ca="1" si="9"/>
        <v>45506</v>
      </c>
      <c r="Q53" s="8" t="str">
        <f ca="1">IF(L53&lt;=0,leyenda!$E$8,IF(L53&lt;=leyenda!$D$5,leyenda!$E$7,leyenda!$E$6))</f>
        <v>VENCIDO</v>
      </c>
      <c r="R53" s="8" t="str">
        <f t="shared" ca="1" si="10"/>
        <v>VENCIDO</v>
      </c>
      <c r="S53" s="8" t="s">
        <v>38</v>
      </c>
      <c r="T53" s="15"/>
      <c r="U53" s="8" t="str" cm="1">
        <f t="array" aca="1" ref="U53" ca="1">_xlfn.IFS(L53&gt;=leyenda!$J$6,leyenda!$I$6,L53&gt;=leyenda!$J$7,leyenda!$I$7,L53&gt;=leyenda!$J$8,leyenda!$I$8,L53&gt;=leyenda!$J$9,leyenda!$I$9,L53&gt;=leyenda!$J$10,leyenda!$I$10,L53&lt;=leyenda!$J$11,leyenda!$I$11)</f>
        <v>A6 DE 91 A MÁS DIAS</v>
      </c>
      <c r="V53" s="8" t="s">
        <v>173</v>
      </c>
      <c r="W53" s="8" t="s">
        <v>174</v>
      </c>
      <c r="X53" s="8" t="s">
        <v>53</v>
      </c>
      <c r="Y53" s="29" t="s">
        <v>431</v>
      </c>
      <c r="Z53" s="8" t="s">
        <v>443</v>
      </c>
    </row>
    <row r="54" spans="1:26" x14ac:dyDescent="0.25">
      <c r="A54" s="28" t="s">
        <v>423</v>
      </c>
      <c r="B54" s="8" t="s">
        <v>170</v>
      </c>
      <c r="C54" s="8" t="s">
        <v>33</v>
      </c>
      <c r="D54" s="8" t="s">
        <v>183</v>
      </c>
      <c r="E54" s="8" t="s">
        <v>408</v>
      </c>
      <c r="F54" s="8" t="s">
        <v>178</v>
      </c>
      <c r="G54" s="9">
        <v>45289</v>
      </c>
      <c r="H54" s="13">
        <v>45308</v>
      </c>
      <c r="I54" s="9">
        <f>+H54+120</f>
        <v>45428</v>
      </c>
      <c r="J54" s="10">
        <v>33287</v>
      </c>
      <c r="K54" s="18">
        <f t="shared" ca="1" si="6"/>
        <v>733.63223598414481</v>
      </c>
      <c r="L54" s="16">
        <f t="shared" ca="1" si="7"/>
        <v>-78</v>
      </c>
      <c r="M54" s="17">
        <f t="shared" ca="1" si="8"/>
        <v>34020.632235984143</v>
      </c>
      <c r="N54" s="19">
        <f ca="1">IFERROR(IF(TODAY()-I54-8&lt;=0,"",TODAY()-I54-8)*leyenda!$A$8*J54,"0.00")</f>
        <v>733.63223598414481</v>
      </c>
      <c r="O54" s="8"/>
      <c r="P54" s="13">
        <f t="shared" ca="1" si="9"/>
        <v>45506</v>
      </c>
      <c r="Q54" s="8" t="str">
        <f ca="1">IF(L54&lt;=0,leyenda!$E$8,IF(L54&lt;=leyenda!$D$5,leyenda!$E$7,leyenda!$E$6))</f>
        <v>VENCIDO</v>
      </c>
      <c r="R54" s="8" t="str">
        <f t="shared" ca="1" si="10"/>
        <v>VENCIDO</v>
      </c>
      <c r="S54" s="8" t="s">
        <v>38</v>
      </c>
      <c r="T54" s="15"/>
      <c r="U54" s="8" t="str" cm="1">
        <f t="array" aca="1" ref="U54" ca="1">_xlfn.IFS(L54&gt;=leyenda!$J$6,leyenda!$I$6,L54&gt;=leyenda!$J$7,leyenda!$I$7,L54&gt;=leyenda!$J$8,leyenda!$I$8,L54&gt;=leyenda!$J$9,leyenda!$I$9,L54&gt;=leyenda!$J$10,leyenda!$I$10,L54&lt;=leyenda!$J$11,leyenda!$I$11)</f>
        <v>A5 DE 61 A 90 DIAS</v>
      </c>
      <c r="V54" s="8" t="s">
        <v>173</v>
      </c>
      <c r="W54" s="8" t="s">
        <v>174</v>
      </c>
      <c r="X54" s="8" t="s">
        <v>53</v>
      </c>
      <c r="Y54" s="29" t="s">
        <v>431</v>
      </c>
      <c r="Z54" s="8" t="s">
        <v>443</v>
      </c>
    </row>
    <row r="55" spans="1:26" x14ac:dyDescent="0.25">
      <c r="A55" s="28" t="s">
        <v>423</v>
      </c>
      <c r="B55" s="8" t="s">
        <v>170</v>
      </c>
      <c r="C55" s="8" t="s">
        <v>33</v>
      </c>
      <c r="D55" s="8" t="s">
        <v>184</v>
      </c>
      <c r="E55" s="8" t="s">
        <v>185</v>
      </c>
      <c r="F55" s="8" t="s">
        <v>186</v>
      </c>
      <c r="G55" s="9">
        <v>45372</v>
      </c>
      <c r="H55" s="13">
        <v>45378</v>
      </c>
      <c r="I55" s="9">
        <f>+H55+90</f>
        <v>45468</v>
      </c>
      <c r="J55" s="10">
        <v>135533</v>
      </c>
      <c r="K55" s="18">
        <f t="shared" ca="1" si="6"/>
        <v>1280.1828835749575</v>
      </c>
      <c r="L55" s="16">
        <f t="shared" ca="1" si="7"/>
        <v>-38</v>
      </c>
      <c r="M55" s="17">
        <f t="shared" ca="1" si="8"/>
        <v>136813.18288357495</v>
      </c>
      <c r="N55" s="19">
        <f ca="1">IFERROR(IF(TODAY()-I55-8&lt;=0,"",TODAY()-I55-8)*leyenda!$A$8*J55,"0.00")</f>
        <v>1280.1828835749575</v>
      </c>
      <c r="O55" s="8"/>
      <c r="P55" s="13">
        <f t="shared" ca="1" si="9"/>
        <v>45506</v>
      </c>
      <c r="Q55" s="8" t="str">
        <f ca="1">IF(L55&lt;=0,leyenda!$E$8,IF(L55&lt;=leyenda!$D$5,leyenda!$E$7,leyenda!$E$6))</f>
        <v>VENCIDO</v>
      </c>
      <c r="R55" s="8" t="str">
        <f t="shared" ca="1" si="10"/>
        <v>VENCIDO</v>
      </c>
      <c r="S55" s="8" t="s">
        <v>38</v>
      </c>
      <c r="T55" s="15"/>
      <c r="U55" s="8" t="str" cm="1">
        <f t="array" aca="1" ref="U55" ca="1">_xlfn.IFS(L55&gt;=leyenda!$J$6,leyenda!$I$6,L55&gt;=leyenda!$J$7,leyenda!$I$7,L55&gt;=leyenda!$J$8,leyenda!$I$8,L55&gt;=leyenda!$J$9,leyenda!$I$9,L55&gt;=leyenda!$J$10,leyenda!$I$10,L55&lt;=leyenda!$J$11,leyenda!$I$11)</f>
        <v>A4 DE 31 A 60 DIAS</v>
      </c>
      <c r="V55" s="8" t="s">
        <v>173</v>
      </c>
      <c r="W55" s="8" t="s">
        <v>174</v>
      </c>
      <c r="X55" s="8" t="s">
        <v>53</v>
      </c>
      <c r="Y55" s="29" t="s">
        <v>431</v>
      </c>
      <c r="Z55" s="8" t="s">
        <v>443</v>
      </c>
    </row>
    <row r="56" spans="1:26" x14ac:dyDescent="0.25">
      <c r="A56" s="28" t="s">
        <v>423</v>
      </c>
      <c r="B56" s="8" t="s">
        <v>170</v>
      </c>
      <c r="C56" s="8" t="s">
        <v>33</v>
      </c>
      <c r="D56" s="8" t="s">
        <v>187</v>
      </c>
      <c r="E56" s="8" t="s">
        <v>188</v>
      </c>
      <c r="F56" s="8" t="s">
        <v>166</v>
      </c>
      <c r="G56" s="9">
        <v>45411</v>
      </c>
      <c r="H56" s="13">
        <v>45415</v>
      </c>
      <c r="I56" s="9">
        <f>+H56+75</f>
        <v>45490</v>
      </c>
      <c r="J56" s="10">
        <v>69710</v>
      </c>
      <c r="K56" s="18">
        <f t="shared" ca="1" si="6"/>
        <v>175.58636162707788</v>
      </c>
      <c r="L56" s="16">
        <f t="shared" ca="1" si="7"/>
        <v>-16</v>
      </c>
      <c r="M56" s="17">
        <f t="shared" ca="1" si="8"/>
        <v>69885.58636162708</v>
      </c>
      <c r="N56" s="19">
        <f ca="1">IFERROR(IF(TODAY()-I56-8&lt;=0,"",TODAY()-I56-8)*leyenda!$A$8*J56,"0.00")</f>
        <v>175.58636162707788</v>
      </c>
      <c r="O56" s="8"/>
      <c r="P56" s="13">
        <f t="shared" ca="1" si="9"/>
        <v>45506</v>
      </c>
      <c r="Q56" s="8" t="str">
        <f ca="1">IF(L56&lt;=0,leyenda!$E$8,IF(L56&lt;=leyenda!$D$5,leyenda!$E$7,leyenda!$E$6))</f>
        <v>VENCIDO</v>
      </c>
      <c r="R56" s="8" t="str">
        <f t="shared" ca="1" si="10"/>
        <v>VENCIDO</v>
      </c>
      <c r="S56" s="8" t="s">
        <v>38</v>
      </c>
      <c r="T56" s="15"/>
      <c r="U56" s="8" t="str" cm="1">
        <f t="array" aca="1" ref="U56" ca="1">_xlfn.IFS(L56&gt;=leyenda!$J$6,leyenda!$I$6,L56&gt;=leyenda!$J$7,leyenda!$I$7,L56&gt;=leyenda!$J$8,leyenda!$I$8,L56&gt;=leyenda!$J$9,leyenda!$I$9,L56&gt;=leyenda!$J$10,leyenda!$I$10,L56&lt;=leyenda!$J$11,leyenda!$I$11)</f>
        <v>A3 DE 16 A 30 DIAS</v>
      </c>
      <c r="V56" s="8" t="s">
        <v>173</v>
      </c>
      <c r="W56" s="8" t="s">
        <v>174</v>
      </c>
      <c r="X56" s="8" t="s">
        <v>53</v>
      </c>
      <c r="Y56" s="29" t="s">
        <v>431</v>
      </c>
      <c r="Z56" s="8" t="s">
        <v>443</v>
      </c>
    </row>
    <row r="57" spans="1:26" x14ac:dyDescent="0.25">
      <c r="A57" s="28" t="s">
        <v>423</v>
      </c>
      <c r="B57" s="8" t="s">
        <v>170</v>
      </c>
      <c r="C57" s="8" t="s">
        <v>33</v>
      </c>
      <c r="D57" s="8" t="s">
        <v>424</v>
      </c>
      <c r="E57" s="8" t="s">
        <v>37</v>
      </c>
      <c r="F57" s="8" t="s">
        <v>39</v>
      </c>
      <c r="G57" s="9">
        <v>45492</v>
      </c>
      <c r="H57" s="9">
        <v>45492</v>
      </c>
      <c r="I57" s="9">
        <v>45492</v>
      </c>
      <c r="J57" s="10">
        <v>1366.0699536560148</v>
      </c>
      <c r="K57" s="18" t="str">
        <f t="shared" si="6"/>
        <v>0.00</v>
      </c>
      <c r="L57" s="16">
        <f t="shared" ca="1" si="7"/>
        <v>-14</v>
      </c>
      <c r="M57" s="17">
        <f t="shared" si="8"/>
        <v>1366.0699536560148</v>
      </c>
      <c r="N57" s="19">
        <f ca="1">IFERROR(IF(TODAY()-I57-8&lt;=0,"",TODAY()-I57-8)*leyenda!$A$8*J57,"0.00")</f>
        <v>2.5806547076158068</v>
      </c>
      <c r="O57" s="13" t="s">
        <v>37</v>
      </c>
      <c r="P57" s="13">
        <f t="shared" ca="1" si="9"/>
        <v>45506</v>
      </c>
      <c r="Q57" s="8" t="str">
        <f ca="1">IF(L57&lt;=0,leyenda!$E$8,IF(L57&lt;=leyenda!$D$5,leyenda!$E$7,leyenda!$E$6))</f>
        <v>VENCIDO</v>
      </c>
      <c r="R57" s="8" t="str">
        <f t="shared" ca="1" si="10"/>
        <v>VENCIDO</v>
      </c>
      <c r="S57" s="8" t="s">
        <v>38</v>
      </c>
      <c r="T57" s="15"/>
      <c r="U57" s="8" t="str" cm="1">
        <f t="array" aca="1" ref="U57" ca="1">_xlfn.IFS(L57&gt;=leyenda!$J$6,leyenda!$I$6,L57&gt;=leyenda!$J$7,leyenda!$I$7,L57&gt;=leyenda!$J$8,leyenda!$I$8,L57&gt;=leyenda!$J$9,leyenda!$I$9,L57&gt;=leyenda!$J$10,leyenda!$I$10,L57&lt;=leyenda!$J$11,leyenda!$I$11)</f>
        <v>A2 DE 1 A 15 DIAS</v>
      </c>
      <c r="V57" s="8" t="s">
        <v>173</v>
      </c>
      <c r="W57" s="8" t="s">
        <v>174</v>
      </c>
      <c r="X57" s="8" t="s">
        <v>53</v>
      </c>
      <c r="Y57" s="29" t="s">
        <v>431</v>
      </c>
      <c r="Z57" s="8" t="s">
        <v>443</v>
      </c>
    </row>
    <row r="58" spans="1:26" x14ac:dyDescent="0.25">
      <c r="A58" s="28" t="s">
        <v>423</v>
      </c>
      <c r="B58" s="8" t="s">
        <v>170</v>
      </c>
      <c r="C58" s="8" t="s">
        <v>33</v>
      </c>
      <c r="D58" s="8" t="s">
        <v>425</v>
      </c>
      <c r="E58" s="8" t="s">
        <v>37</v>
      </c>
      <c r="F58" s="8" t="s">
        <v>39</v>
      </c>
      <c r="G58" s="9">
        <v>45492</v>
      </c>
      <c r="H58" s="9">
        <v>45492</v>
      </c>
      <c r="I58" s="9">
        <v>45492</v>
      </c>
      <c r="J58" s="10">
        <v>2040.7266093197968</v>
      </c>
      <c r="K58" s="18" t="str">
        <f t="shared" si="6"/>
        <v>0.00</v>
      </c>
      <c r="L58" s="16">
        <f t="shared" ca="1" si="7"/>
        <v>-14</v>
      </c>
      <c r="M58" s="17">
        <f t="shared" si="8"/>
        <v>2040.7266093197968</v>
      </c>
      <c r="N58" s="19">
        <f ca="1">IFERROR(IF(TODAY()-I58-8&lt;=0,"",TODAY()-I58-8)*leyenda!$A$8*J58,"0.00")</f>
        <v>3.8551545015710764</v>
      </c>
      <c r="O58" s="13" t="s">
        <v>37</v>
      </c>
      <c r="P58" s="13">
        <f t="shared" ca="1" si="9"/>
        <v>45506</v>
      </c>
      <c r="Q58" s="8" t="str">
        <f ca="1">IF(L58&lt;=0,leyenda!$E$8,IF(L58&lt;=leyenda!$D$5,leyenda!$E$7,leyenda!$E$6))</f>
        <v>VENCIDO</v>
      </c>
      <c r="R58" s="8" t="str">
        <f t="shared" ca="1" si="10"/>
        <v>VENCIDO</v>
      </c>
      <c r="S58" s="8" t="s">
        <v>38</v>
      </c>
      <c r="T58" s="15"/>
      <c r="U58" s="8" t="str" cm="1">
        <f t="array" aca="1" ref="U58" ca="1">_xlfn.IFS(L58&gt;=leyenda!$J$6,leyenda!$I$6,L58&gt;=leyenda!$J$7,leyenda!$I$7,L58&gt;=leyenda!$J$8,leyenda!$I$8,L58&gt;=leyenda!$J$9,leyenda!$I$9,L58&gt;=leyenda!$J$10,leyenda!$I$10,L58&lt;=leyenda!$J$11,leyenda!$I$11)</f>
        <v>A2 DE 1 A 15 DIAS</v>
      </c>
      <c r="V58" s="8" t="s">
        <v>173</v>
      </c>
      <c r="W58" s="8" t="s">
        <v>174</v>
      </c>
      <c r="X58" s="8" t="s">
        <v>53</v>
      </c>
      <c r="Y58" s="29" t="s">
        <v>431</v>
      </c>
      <c r="Z58" s="8" t="s">
        <v>443</v>
      </c>
    </row>
    <row r="59" spans="1:26" x14ac:dyDescent="0.25">
      <c r="A59" s="28" t="s">
        <v>423</v>
      </c>
      <c r="B59" s="8" t="s">
        <v>170</v>
      </c>
      <c r="C59" s="8" t="s">
        <v>33</v>
      </c>
      <c r="D59" s="8" t="s">
        <v>426</v>
      </c>
      <c r="E59" s="8" t="s">
        <v>37</v>
      </c>
      <c r="F59" s="8" t="s">
        <v>39</v>
      </c>
      <c r="G59" s="9">
        <v>45492</v>
      </c>
      <c r="H59" s="9">
        <v>45492</v>
      </c>
      <c r="I59" s="9">
        <v>45492</v>
      </c>
      <c r="J59" s="10">
        <v>618.04773819599279</v>
      </c>
      <c r="K59" s="18">
        <f t="shared" ca="1" si="6"/>
        <v>1.1675593924294843</v>
      </c>
      <c r="L59" s="16">
        <f t="shared" ca="1" si="7"/>
        <v>-14</v>
      </c>
      <c r="M59" s="17">
        <f t="shared" ca="1" si="8"/>
        <v>619.21529758842223</v>
      </c>
      <c r="N59" s="19">
        <f ca="1">IFERROR(IF(TODAY()-I59-8&lt;=0,"",TODAY()-I59-8)*leyenda!$A$8*J59,"0.00")</f>
        <v>1.1675593924294843</v>
      </c>
      <c r="O59" s="13"/>
      <c r="P59" s="13">
        <f t="shared" ca="1" si="9"/>
        <v>45506</v>
      </c>
      <c r="Q59" s="8" t="str">
        <f ca="1">IF(L59&lt;=0,leyenda!$E$8,IF(L59&lt;=leyenda!$D$5,leyenda!$E$7,leyenda!$E$6))</f>
        <v>VENCIDO</v>
      </c>
      <c r="R59" s="8" t="str">
        <f t="shared" ca="1" si="10"/>
        <v>VENCIDO</v>
      </c>
      <c r="S59" s="8"/>
      <c r="T59" s="15"/>
      <c r="U59" s="8" t="str" cm="1">
        <f t="array" aca="1" ref="U59" ca="1">_xlfn.IFS(L59&gt;=leyenda!$J$6,leyenda!$I$6,L59&gt;=leyenda!$J$7,leyenda!$I$7,L59&gt;=leyenda!$J$8,leyenda!$I$8,L59&gt;=leyenda!$J$9,leyenda!$I$9,L59&gt;=leyenda!$J$10,leyenda!$I$10,L59&lt;=leyenda!$J$11,leyenda!$I$11)</f>
        <v>A2 DE 1 A 15 DIAS</v>
      </c>
      <c r="V59" s="8" t="s">
        <v>173</v>
      </c>
      <c r="W59" s="8" t="s">
        <v>174</v>
      </c>
      <c r="X59" s="8" t="s">
        <v>53</v>
      </c>
      <c r="Y59" s="29" t="s">
        <v>431</v>
      </c>
      <c r="Z59" s="8" t="s">
        <v>443</v>
      </c>
    </row>
    <row r="60" spans="1:26" hidden="1" x14ac:dyDescent="0.25">
      <c r="A60" s="28" t="s">
        <v>171</v>
      </c>
      <c r="B60" s="8" t="s">
        <v>170</v>
      </c>
      <c r="C60" s="8" t="s">
        <v>33</v>
      </c>
      <c r="D60" s="8" t="s">
        <v>372</v>
      </c>
      <c r="E60" s="8" t="s">
        <v>373</v>
      </c>
      <c r="F60" s="8" t="s">
        <v>374</v>
      </c>
      <c r="G60" s="9">
        <v>45446</v>
      </c>
      <c r="H60" s="9">
        <v>45450</v>
      </c>
      <c r="I60" s="9">
        <f>+BB_CXC_IN[[#This Row],[F. Embarque]]+90</f>
        <v>45540</v>
      </c>
      <c r="J60" s="10">
        <v>102386</v>
      </c>
      <c r="K60" s="18" t="str">
        <f t="shared" ca="1" si="6"/>
        <v>0.00</v>
      </c>
      <c r="L60" s="16">
        <f t="shared" ca="1" si="7"/>
        <v>34</v>
      </c>
      <c r="M60" s="17">
        <f t="shared" ca="1" si="8"/>
        <v>102386</v>
      </c>
      <c r="N60" s="19" t="str">
        <f ca="1">IFERROR(IF(TODAY()-I60-8&lt;=0,"",TODAY()-I60-8)*leyenda!$A$8*J60,"0.00")</f>
        <v>0.00</v>
      </c>
      <c r="O60" s="13"/>
      <c r="P60" s="13">
        <f t="shared" ca="1" si="9"/>
        <v>45506</v>
      </c>
      <c r="Q60" s="8" t="str">
        <f ca="1">IF(L60&lt;=0,leyenda!$E$8,IF(L60&lt;=leyenda!$D$5,leyenda!$E$7,leyenda!$E$6))</f>
        <v>VIGENTE</v>
      </c>
      <c r="R60" s="8" t="str">
        <f t="shared" ca="1" si="10"/>
        <v>VIGENTE</v>
      </c>
      <c r="S60" s="8" t="s">
        <v>38</v>
      </c>
      <c r="T60" s="15"/>
      <c r="U60" s="8" t="str" cm="1">
        <f t="array" aca="1" ref="U60" ca="1">_xlfn.IFS(L60&gt;=leyenda!$J$6,leyenda!$I$6,L60&gt;=leyenda!$J$7,leyenda!$I$7,L60&gt;=leyenda!$J$8,leyenda!$I$8,L60&gt;=leyenda!$J$9,leyenda!$I$9,L60&gt;=leyenda!$J$10,leyenda!$I$10,L60&lt;=leyenda!$J$11,leyenda!$I$11)</f>
        <v>A1 VIGENTE</v>
      </c>
      <c r="V60" s="8" t="s">
        <v>173</v>
      </c>
      <c r="W60" s="8" t="s">
        <v>174</v>
      </c>
      <c r="X60" s="8" t="s">
        <v>53</v>
      </c>
      <c r="Y60" s="29" t="s">
        <v>175</v>
      </c>
      <c r="Z60" s="8"/>
    </row>
    <row r="61" spans="1:26" hidden="1" x14ac:dyDescent="0.25">
      <c r="A61" s="28" t="s">
        <v>191</v>
      </c>
      <c r="B61" s="8" t="s">
        <v>189</v>
      </c>
      <c r="C61" s="8" t="s">
        <v>43</v>
      </c>
      <c r="D61" s="8" t="s">
        <v>44</v>
      </c>
      <c r="E61" s="8" t="s">
        <v>190</v>
      </c>
      <c r="F61" s="8" t="s">
        <v>80</v>
      </c>
      <c r="G61" s="9">
        <v>45432</v>
      </c>
      <c r="H61" s="13">
        <v>45432</v>
      </c>
      <c r="I61" s="9">
        <v>45432</v>
      </c>
      <c r="J61" s="10">
        <v>-7154.04</v>
      </c>
      <c r="K61" s="18" t="str">
        <f t="shared" si="6"/>
        <v>0.00</v>
      </c>
      <c r="L61" s="16">
        <f t="shared" ca="1" si="7"/>
        <v>-74</v>
      </c>
      <c r="M61" s="17">
        <f t="shared" si="8"/>
        <v>-7154.04</v>
      </c>
      <c r="N61" s="19">
        <f ca="1">IFERROR(IF(TODAY()-I61-8&lt;=0,"",TODAY()-I61-8)*leyenda!$A$8*J61,"0.00")</f>
        <v>-148.66235547138555</v>
      </c>
      <c r="O61" s="14" t="s">
        <v>43</v>
      </c>
      <c r="P61" s="13">
        <f t="shared" ca="1" si="9"/>
        <v>45506</v>
      </c>
      <c r="Q61" s="8" t="str">
        <f ca="1">IF(L61&lt;=0,leyenda!$E$8,IF(L61&lt;=leyenda!$D$5,leyenda!$E$7,leyenda!$E$6))</f>
        <v>VENCIDO</v>
      </c>
      <c r="R61" s="8" t="str">
        <f t="shared" ca="1" si="10"/>
        <v>VENCIDO</v>
      </c>
      <c r="S61" s="8" t="s">
        <v>38</v>
      </c>
      <c r="T61" s="15"/>
      <c r="U61" s="8" t="str" cm="1">
        <f t="array" aca="1" ref="U61" ca="1">_xlfn.IFS(L61&gt;=leyenda!$J$6,leyenda!$I$6,L61&gt;=leyenda!$J$7,leyenda!$I$7,L61&gt;=leyenda!$J$8,leyenda!$I$8,L61&gt;=leyenda!$J$9,leyenda!$I$9,L61&gt;=leyenda!$J$10,leyenda!$I$10,L61&lt;=leyenda!$J$11,leyenda!$I$11)</f>
        <v>A5 DE 61 A 90 DIAS</v>
      </c>
      <c r="V61" s="8" t="s">
        <v>192</v>
      </c>
      <c r="W61" s="8"/>
      <c r="X61" s="8"/>
      <c r="Y61" s="29" t="s">
        <v>116</v>
      </c>
      <c r="Z61" s="8"/>
    </row>
    <row r="62" spans="1:26" hidden="1" x14ac:dyDescent="0.25">
      <c r="A62" s="28" t="s">
        <v>196</v>
      </c>
      <c r="B62" s="8" t="s">
        <v>193</v>
      </c>
      <c r="C62" s="8" t="s">
        <v>43</v>
      </c>
      <c r="D62" s="8" t="s">
        <v>194</v>
      </c>
      <c r="E62" s="8" t="s">
        <v>195</v>
      </c>
      <c r="F62" s="8" t="s">
        <v>80</v>
      </c>
      <c r="G62" s="9">
        <v>41668</v>
      </c>
      <c r="H62" s="13">
        <v>41668</v>
      </c>
      <c r="I62" s="9">
        <v>41668</v>
      </c>
      <c r="J62" s="10">
        <v>-356.25</v>
      </c>
      <c r="K62" s="18" t="str">
        <f t="shared" si="6"/>
        <v>0.00</v>
      </c>
      <c r="L62" s="16">
        <f t="shared" ca="1" si="7"/>
        <v>-3838</v>
      </c>
      <c r="M62" s="17">
        <f t="shared" si="8"/>
        <v>-356.25</v>
      </c>
      <c r="N62" s="19">
        <f ca="1">IFERROR(IF(TODAY()-I62-8&lt;=0,"",TODAY()-I62-8)*leyenda!$A$8*J62,"0.00")</f>
        <v>-429.59513752070376</v>
      </c>
      <c r="O62" s="14" t="s">
        <v>43</v>
      </c>
      <c r="P62" s="13">
        <f t="shared" ca="1" si="9"/>
        <v>45506</v>
      </c>
      <c r="Q62" s="8" t="str">
        <f ca="1">IF(L62&lt;=0,leyenda!$E$8,IF(L62&lt;=leyenda!$D$5,leyenda!$E$7,leyenda!$E$6))</f>
        <v>VENCIDO</v>
      </c>
      <c r="R62" s="8" t="str">
        <f t="shared" ca="1" si="10"/>
        <v>VENCIDO</v>
      </c>
      <c r="S62" s="8" t="s">
        <v>38</v>
      </c>
      <c r="T62" s="15"/>
      <c r="U62" s="8" t="str" cm="1">
        <f t="array" aca="1" ref="U62" ca="1">_xlfn.IFS(L62&gt;=leyenda!$J$6,leyenda!$I$6,L62&gt;=leyenda!$J$7,leyenda!$I$7,L62&gt;=leyenda!$J$8,leyenda!$I$8,L62&gt;=leyenda!$J$9,leyenda!$I$9,L62&gt;=leyenda!$J$10,leyenda!$I$10,L62&lt;=leyenda!$J$11,leyenda!$I$11)</f>
        <v>A6 DE 91 A MÁS DIAS</v>
      </c>
      <c r="V62" s="8" t="s">
        <v>197</v>
      </c>
      <c r="W62" s="8" t="s">
        <v>198</v>
      </c>
      <c r="X62" s="8"/>
      <c r="Y62" s="29" t="s">
        <v>86</v>
      </c>
      <c r="Z62" s="8"/>
    </row>
    <row r="63" spans="1:26" x14ac:dyDescent="0.25">
      <c r="A63" s="28" t="s">
        <v>202</v>
      </c>
      <c r="B63" s="8" t="s">
        <v>199</v>
      </c>
      <c r="C63" s="8" t="s">
        <v>33</v>
      </c>
      <c r="D63" s="8" t="s">
        <v>200</v>
      </c>
      <c r="E63" s="8" t="s">
        <v>201</v>
      </c>
      <c r="F63" s="8" t="s">
        <v>203</v>
      </c>
      <c r="G63" s="9">
        <v>45392</v>
      </c>
      <c r="H63" s="13">
        <v>45392</v>
      </c>
      <c r="I63" s="9">
        <v>45392</v>
      </c>
      <c r="J63" s="49">
        <v>213.94</v>
      </c>
      <c r="K63" s="18" t="str">
        <f t="shared" si="6"/>
        <v>0.00</v>
      </c>
      <c r="L63" s="16">
        <f t="shared" ca="1" si="7"/>
        <v>-114</v>
      </c>
      <c r="M63" s="17">
        <f t="shared" si="8"/>
        <v>213.94</v>
      </c>
      <c r="N63" s="19">
        <f ca="1">IFERROR(IF(TODAY()-I63-8&lt;=0,"",TODAY()-I63-8)*leyenda!$A$8*J63,"0.00")</f>
        <v>7.1400880395364474</v>
      </c>
      <c r="O63" s="14" t="s">
        <v>97</v>
      </c>
      <c r="P63" s="13">
        <f t="shared" ca="1" si="9"/>
        <v>45506</v>
      </c>
      <c r="Q63" s="8" t="str">
        <f ca="1">IF(L63&lt;=0,leyenda!$E$8,IF(L63&lt;=leyenda!$D$5,leyenda!$E$7,leyenda!$E$6))</f>
        <v>VENCIDO</v>
      </c>
      <c r="R63" s="8" t="str">
        <f t="shared" ca="1" si="10"/>
        <v>VENCIDO</v>
      </c>
      <c r="S63" s="8" t="s">
        <v>38</v>
      </c>
      <c r="T63" s="15"/>
      <c r="U63" s="8" t="str" cm="1">
        <f t="array" aca="1" ref="U63" ca="1">_xlfn.IFS(L63&gt;=leyenda!$J$6,leyenda!$I$6,L63&gt;=leyenda!$J$7,leyenda!$I$7,L63&gt;=leyenda!$J$8,leyenda!$I$8,L63&gt;=leyenda!$J$9,leyenda!$I$9,L63&gt;=leyenda!$J$10,leyenda!$I$10,L63&lt;=leyenda!$J$11,leyenda!$I$11)</f>
        <v>A6 DE 91 A MÁS DIAS</v>
      </c>
      <c r="V63" s="8" t="s">
        <v>204</v>
      </c>
      <c r="W63" s="8" t="s">
        <v>205</v>
      </c>
      <c r="X63" s="8"/>
      <c r="Y63" s="29" t="s">
        <v>427</v>
      </c>
      <c r="Z63" s="8"/>
    </row>
    <row r="64" spans="1:26" x14ac:dyDescent="0.25">
      <c r="A64" s="28" t="s">
        <v>375</v>
      </c>
      <c r="B64" s="8" t="s">
        <v>376</v>
      </c>
      <c r="C64" s="8" t="s">
        <v>33</v>
      </c>
      <c r="D64" s="8" t="s">
        <v>377</v>
      </c>
      <c r="E64" s="8" t="s">
        <v>379</v>
      </c>
      <c r="F64" s="8" t="s">
        <v>378</v>
      </c>
      <c r="G64" s="9">
        <v>45454</v>
      </c>
      <c r="H64" s="13">
        <v>45457</v>
      </c>
      <c r="I64" s="9">
        <f>+BB_CXC_IN[[#This Row],[F. Embarque]]+45</f>
        <v>45502</v>
      </c>
      <c r="J64" s="10">
        <v>24246</v>
      </c>
      <c r="K64" s="18" t="str">
        <f t="shared" ca="1" si="6"/>
        <v>0.00</v>
      </c>
      <c r="L64" s="16">
        <f t="shared" ca="1" si="7"/>
        <v>-4</v>
      </c>
      <c r="M64" s="17">
        <f t="shared" ca="1" si="8"/>
        <v>24246</v>
      </c>
      <c r="N64" s="19" t="str">
        <f ca="1">IFERROR(IF(TODAY()-I64-8&lt;=0,"",TODAY()-I64-8)*leyenda!$A$8*J64,"0.00")</f>
        <v>0.00</v>
      </c>
      <c r="O64" s="14"/>
      <c r="P64" s="13">
        <f t="shared" ca="1" si="9"/>
        <v>45506</v>
      </c>
      <c r="Q64" s="8" t="str">
        <f ca="1">IF(L64&lt;=0,leyenda!$E$8,IF(L64&lt;=leyenda!$D$5,leyenda!$E$7,leyenda!$E$6))</f>
        <v>VENCIDO</v>
      </c>
      <c r="R64" s="8" t="str">
        <f t="shared" ca="1" si="10"/>
        <v>VENCIDO</v>
      </c>
      <c r="S64" s="8" t="s">
        <v>38</v>
      </c>
      <c r="T64" s="15"/>
      <c r="U64" s="8" t="str" cm="1">
        <f t="array" aca="1" ref="U64" ca="1">_xlfn.IFS(L64&gt;=leyenda!$J$6,leyenda!$I$6,L64&gt;=leyenda!$J$7,leyenda!$I$7,L64&gt;=leyenda!$J$8,leyenda!$I$8,L64&gt;=leyenda!$J$9,leyenda!$I$9,L64&gt;=leyenda!$J$10,leyenda!$I$10,L64&lt;=leyenda!$J$11,leyenda!$I$11)</f>
        <v>A2 DE 1 A 15 DIAS</v>
      </c>
      <c r="V64" s="8" t="s">
        <v>380</v>
      </c>
      <c r="W64" s="8" t="s">
        <v>381</v>
      </c>
      <c r="X64" s="8" t="s">
        <v>382</v>
      </c>
      <c r="Y64" s="29" t="s">
        <v>430</v>
      </c>
      <c r="Z64" s="8" t="s">
        <v>444</v>
      </c>
    </row>
    <row r="65" spans="1:26" x14ac:dyDescent="0.25">
      <c r="A65" s="28" t="s">
        <v>209</v>
      </c>
      <c r="B65" s="8" t="s">
        <v>206</v>
      </c>
      <c r="C65" s="8" t="s">
        <v>33</v>
      </c>
      <c r="D65" s="8" t="s">
        <v>207</v>
      </c>
      <c r="E65" s="8" t="s">
        <v>208</v>
      </c>
      <c r="F65" s="8" t="s">
        <v>161</v>
      </c>
      <c r="G65" s="9">
        <v>45279</v>
      </c>
      <c r="H65" s="13">
        <v>45279</v>
      </c>
      <c r="I65" s="9">
        <v>45279</v>
      </c>
      <c r="J65" s="49">
        <v>103</v>
      </c>
      <c r="K65" s="18" t="str">
        <f t="shared" si="6"/>
        <v>0.00</v>
      </c>
      <c r="L65" s="16">
        <f t="shared" ca="1" si="7"/>
        <v>-227</v>
      </c>
      <c r="M65" s="17">
        <f t="shared" si="8"/>
        <v>103</v>
      </c>
      <c r="N65" s="19">
        <f ca="1">IFERROR(IF(TODAY()-I65-8&lt;=0,"",TODAY()-I65-8)*leyenda!$A$8*J65,"0.00")</f>
        <v>7.1021043595287541</v>
      </c>
      <c r="O65" s="14" t="s">
        <v>97</v>
      </c>
      <c r="P65" s="13">
        <f t="shared" ca="1" si="9"/>
        <v>45506</v>
      </c>
      <c r="Q65" s="8" t="str">
        <f ca="1">IF(L65&lt;=0,leyenda!$E$8,IF(L65&lt;=leyenda!$D$5,leyenda!$E$7,leyenda!$E$6))</f>
        <v>VENCIDO</v>
      </c>
      <c r="R65" s="8" t="str">
        <f t="shared" ca="1" si="10"/>
        <v>VENCIDO</v>
      </c>
      <c r="S65" s="8" t="s">
        <v>38</v>
      </c>
      <c r="T65" s="15"/>
      <c r="U65" s="8" t="str" cm="1">
        <f t="array" aca="1" ref="U65" ca="1">_xlfn.IFS(L65&gt;=leyenda!$J$6,leyenda!$I$6,L65&gt;=leyenda!$J$7,leyenda!$I$7,L65&gt;=leyenda!$J$8,leyenda!$I$8,L65&gt;=leyenda!$J$9,leyenda!$I$9,L65&gt;=leyenda!$J$10,leyenda!$I$10,L65&lt;=leyenda!$J$11,leyenda!$I$11)</f>
        <v>A6 DE 91 A MÁS DIAS</v>
      </c>
      <c r="V65" s="8" t="s">
        <v>210</v>
      </c>
      <c r="W65" s="8"/>
      <c r="X65" s="8"/>
      <c r="Y65" s="29" t="s">
        <v>432</v>
      </c>
      <c r="Z65" s="8"/>
    </row>
    <row r="66" spans="1:26" hidden="1" x14ac:dyDescent="0.25">
      <c r="A66" s="28" t="s">
        <v>209</v>
      </c>
      <c r="B66" s="8" t="s">
        <v>206</v>
      </c>
      <c r="C66" s="8" t="s">
        <v>43</v>
      </c>
      <c r="D66" s="8" t="s">
        <v>44</v>
      </c>
      <c r="E66" s="8" t="s">
        <v>211</v>
      </c>
      <c r="F66" s="8" t="s">
        <v>80</v>
      </c>
      <c r="G66" s="9">
        <v>45337</v>
      </c>
      <c r="H66" s="13">
        <v>45337</v>
      </c>
      <c r="I66" s="9">
        <v>45337</v>
      </c>
      <c r="J66" s="10">
        <v>-61682.720000000001</v>
      </c>
      <c r="K66" s="18" t="str">
        <f t="shared" ref="K66:K93" si="11">IFERROR(IF(O66,"0.00",N66),"0.00")</f>
        <v>0.00</v>
      </c>
      <c r="L66" s="16">
        <f t="shared" ref="L66:L93" ca="1" si="12">+I66-P66</f>
        <v>-169</v>
      </c>
      <c r="M66" s="17">
        <f t="shared" ref="M66:M93" si="13">+J66+K66</f>
        <v>-61682.720000000001</v>
      </c>
      <c r="N66" s="19">
        <f ca="1">IFERROR(IF(TODAY()-I66-8&lt;=0,"",TODAY()-I66-8)*leyenda!$A$8*J66,"0.00")</f>
        <v>-3126.7639958218833</v>
      </c>
      <c r="O66" s="14" t="s">
        <v>43</v>
      </c>
      <c r="P66" s="13">
        <f t="shared" ref="P66:P93" ca="1" si="14">TODAY()</f>
        <v>45506</v>
      </c>
      <c r="Q66" s="8" t="str">
        <f ca="1">IF(L66&lt;=0,leyenda!$E$8,IF(L66&lt;=leyenda!$D$5,leyenda!$E$7,leyenda!$E$6))</f>
        <v>VENCIDO</v>
      </c>
      <c r="R66" s="8" t="str">
        <f t="shared" ref="R66:R93" ca="1" si="15">+Q66</f>
        <v>VENCIDO</v>
      </c>
      <c r="S66" s="8" t="s">
        <v>38</v>
      </c>
      <c r="T66" s="15"/>
      <c r="U66" s="8" t="str" cm="1">
        <f t="array" aca="1" ref="U66" ca="1">_xlfn.IFS(L66&gt;=leyenda!$J$6,leyenda!$I$6,L66&gt;=leyenda!$J$7,leyenda!$I$7,L66&gt;=leyenda!$J$8,leyenda!$I$8,L66&gt;=leyenda!$J$9,leyenda!$I$9,L66&gt;=leyenda!$J$10,leyenda!$I$10,L66&lt;=leyenda!$J$11,leyenda!$I$11)</f>
        <v>A6 DE 91 A MÁS DIAS</v>
      </c>
      <c r="V66" s="8" t="s">
        <v>210</v>
      </c>
      <c r="W66" s="8"/>
      <c r="X66" s="8"/>
      <c r="Y66" s="29" t="s">
        <v>432</v>
      </c>
      <c r="Z66" s="8"/>
    </row>
    <row r="67" spans="1:26" hidden="1" x14ac:dyDescent="0.25">
      <c r="A67" s="28" t="s">
        <v>209</v>
      </c>
      <c r="B67" s="8" t="s">
        <v>206</v>
      </c>
      <c r="C67" s="8" t="s">
        <v>43</v>
      </c>
      <c r="D67" s="8" t="s">
        <v>44</v>
      </c>
      <c r="E67" s="8" t="s">
        <v>212</v>
      </c>
      <c r="F67" s="8" t="s">
        <v>80</v>
      </c>
      <c r="G67" s="9">
        <v>45428</v>
      </c>
      <c r="H67" s="13">
        <v>45428</v>
      </c>
      <c r="I67" s="9">
        <v>45428</v>
      </c>
      <c r="J67" s="10">
        <v>-5540.94</v>
      </c>
      <c r="K67" s="18" t="str">
        <f t="shared" si="11"/>
        <v>0.00</v>
      </c>
      <c r="L67" s="16">
        <f t="shared" ca="1" si="12"/>
        <v>-78</v>
      </c>
      <c r="M67" s="17">
        <f t="shared" si="13"/>
        <v>-5540.94</v>
      </c>
      <c r="N67" s="19">
        <f ca="1">IFERROR(IF(TODAY()-I67-8&lt;=0,"",TODAY()-I67-8)*leyenda!$A$8*J67,"0.00")</f>
        <v>-122.12011300669892</v>
      </c>
      <c r="O67" s="14" t="s">
        <v>43</v>
      </c>
      <c r="P67" s="13">
        <f t="shared" ca="1" si="14"/>
        <v>45506</v>
      </c>
      <c r="Q67" s="8" t="str">
        <f ca="1">IF(L67&lt;=0,leyenda!$E$8,IF(L67&lt;=leyenda!$D$5,leyenda!$E$7,leyenda!$E$6))</f>
        <v>VENCIDO</v>
      </c>
      <c r="R67" s="8" t="str">
        <f t="shared" ca="1" si="15"/>
        <v>VENCIDO</v>
      </c>
      <c r="S67" s="8" t="s">
        <v>38</v>
      </c>
      <c r="T67" s="15"/>
      <c r="U67" s="8" t="str" cm="1">
        <f t="array" aca="1" ref="U67" ca="1">_xlfn.IFS(L67&gt;=leyenda!$J$6,leyenda!$I$6,L67&gt;=leyenda!$J$7,leyenda!$I$7,L67&gt;=leyenda!$J$8,leyenda!$I$8,L67&gt;=leyenda!$J$9,leyenda!$I$9,L67&gt;=leyenda!$J$10,leyenda!$I$10,L67&lt;=leyenda!$J$11,leyenda!$I$11)</f>
        <v>A5 DE 61 A 90 DIAS</v>
      </c>
      <c r="V67" s="8" t="s">
        <v>210</v>
      </c>
      <c r="W67" s="8"/>
      <c r="X67" s="8"/>
      <c r="Y67" s="29" t="s">
        <v>432</v>
      </c>
      <c r="Z67" s="8"/>
    </row>
    <row r="68" spans="1:26" hidden="1" x14ac:dyDescent="0.25">
      <c r="A68" s="28" t="s">
        <v>215</v>
      </c>
      <c r="B68" s="8" t="s">
        <v>213</v>
      </c>
      <c r="C68" s="8" t="s">
        <v>43</v>
      </c>
      <c r="D68" s="8" t="s">
        <v>44</v>
      </c>
      <c r="E68" s="8" t="s">
        <v>214</v>
      </c>
      <c r="F68" s="8" t="s">
        <v>80</v>
      </c>
      <c r="G68" s="9">
        <v>45376</v>
      </c>
      <c r="H68" s="13">
        <v>45376</v>
      </c>
      <c r="I68" s="9">
        <v>45376</v>
      </c>
      <c r="J68" s="10">
        <v>-12957.85</v>
      </c>
      <c r="K68" s="18" t="str">
        <f t="shared" si="11"/>
        <v>0.00</v>
      </c>
      <c r="L68" s="16">
        <f t="shared" ca="1" si="12"/>
        <v>-130</v>
      </c>
      <c r="M68" s="17">
        <f t="shared" si="13"/>
        <v>-12957.85</v>
      </c>
      <c r="N68" s="19">
        <f ca="1">IFERROR(IF(TODAY()-I68-8&lt;=0,"",TODAY()-I68-8)*leyenda!$A$8*J68,"0.00")</f>
        <v>-497.73535323689316</v>
      </c>
      <c r="O68" s="14" t="s">
        <v>43</v>
      </c>
      <c r="P68" s="13">
        <f t="shared" ca="1" si="14"/>
        <v>45506</v>
      </c>
      <c r="Q68" s="8" t="str">
        <f ca="1">IF(L68&lt;=0,leyenda!$E$8,IF(L68&lt;=leyenda!$D$5,leyenda!$E$7,leyenda!$E$6))</f>
        <v>VENCIDO</v>
      </c>
      <c r="R68" s="8" t="str">
        <f t="shared" ca="1" si="15"/>
        <v>VENCIDO</v>
      </c>
      <c r="S68" s="8" t="s">
        <v>38</v>
      </c>
      <c r="T68" s="15"/>
      <c r="U68" s="8" t="str" cm="1">
        <f t="array" aca="1" ref="U68" ca="1">_xlfn.IFS(L68&gt;=leyenda!$J$6,leyenda!$I$6,L68&gt;=leyenda!$J$7,leyenda!$I$7,L68&gt;=leyenda!$J$8,leyenda!$I$8,L68&gt;=leyenda!$J$9,leyenda!$I$9,L68&gt;=leyenda!$J$10,leyenda!$I$10,L68&lt;=leyenda!$J$11,leyenda!$I$11)</f>
        <v>A6 DE 91 A MÁS DIAS</v>
      </c>
      <c r="V68" s="8" t="s">
        <v>216</v>
      </c>
      <c r="W68" s="8" t="s">
        <v>217</v>
      </c>
      <c r="X68" s="8" t="s">
        <v>53</v>
      </c>
      <c r="Y68" s="29" t="s">
        <v>433</v>
      </c>
      <c r="Z68" s="8"/>
    </row>
    <row r="69" spans="1:26" hidden="1" x14ac:dyDescent="0.25">
      <c r="A69" s="28" t="s">
        <v>220</v>
      </c>
      <c r="B69" s="8" t="s">
        <v>218</v>
      </c>
      <c r="C69" s="8" t="s">
        <v>43</v>
      </c>
      <c r="D69" s="8" t="s">
        <v>44</v>
      </c>
      <c r="E69" s="8" t="s">
        <v>219</v>
      </c>
      <c r="F69" s="8" t="s">
        <v>221</v>
      </c>
      <c r="G69" s="9">
        <v>45351</v>
      </c>
      <c r="H69" s="13">
        <v>45351</v>
      </c>
      <c r="I69" s="9">
        <v>45351</v>
      </c>
      <c r="J69" s="10">
        <v>-8188.36</v>
      </c>
      <c r="K69" s="18" t="str">
        <f t="shared" si="11"/>
        <v>0.00</v>
      </c>
      <c r="L69" s="16">
        <f t="shared" ca="1" si="12"/>
        <v>-155</v>
      </c>
      <c r="M69" s="17">
        <f t="shared" si="13"/>
        <v>-8188.36</v>
      </c>
      <c r="N69" s="19">
        <f ca="1">IFERROR(IF(TODAY()-I69-8&lt;=0,"",TODAY()-I69-8)*leyenda!$A$8*J69,"0.00")</f>
        <v>-378.98321258360852</v>
      </c>
      <c r="O69" s="14" t="s">
        <v>43</v>
      </c>
      <c r="P69" s="13">
        <f t="shared" ca="1" si="14"/>
        <v>45506</v>
      </c>
      <c r="Q69" s="8" t="str">
        <f ca="1">IF(L69&lt;=0,leyenda!$E$8,IF(L69&lt;=leyenda!$D$5,leyenda!$E$7,leyenda!$E$6))</f>
        <v>VENCIDO</v>
      </c>
      <c r="R69" s="8" t="str">
        <f t="shared" ca="1" si="15"/>
        <v>VENCIDO</v>
      </c>
      <c r="S69" s="8" t="s">
        <v>38</v>
      </c>
      <c r="T69" s="15"/>
      <c r="U69" s="8" t="str" cm="1">
        <f t="array" aca="1" ref="U69" ca="1">_xlfn.IFS(L69&gt;=leyenda!$J$6,leyenda!$I$6,L69&gt;=leyenda!$J$7,leyenda!$I$7,L69&gt;=leyenda!$J$8,leyenda!$I$8,L69&gt;=leyenda!$J$9,leyenda!$I$9,L69&gt;=leyenda!$J$10,leyenda!$I$10,L69&lt;=leyenda!$J$11,leyenda!$I$11)</f>
        <v>A6 DE 91 A MÁS DIAS</v>
      </c>
      <c r="V69" s="8" t="s">
        <v>222</v>
      </c>
      <c r="W69" s="8"/>
      <c r="X69" s="8" t="s">
        <v>53</v>
      </c>
      <c r="Y69" s="29" t="s">
        <v>223</v>
      </c>
      <c r="Z69" s="8"/>
    </row>
    <row r="70" spans="1:26" hidden="1" x14ac:dyDescent="0.25">
      <c r="A70" s="28" t="s">
        <v>220</v>
      </c>
      <c r="B70" s="8" t="s">
        <v>218</v>
      </c>
      <c r="C70" s="8" t="s">
        <v>43</v>
      </c>
      <c r="D70" s="8" t="s">
        <v>44</v>
      </c>
      <c r="E70" s="8" t="s">
        <v>219</v>
      </c>
      <c r="F70" s="8" t="s">
        <v>221</v>
      </c>
      <c r="G70" s="9">
        <v>45467</v>
      </c>
      <c r="H70" s="9">
        <v>45467</v>
      </c>
      <c r="I70" s="9">
        <v>45467</v>
      </c>
      <c r="J70" s="10">
        <v>-10218.84</v>
      </c>
      <c r="K70" s="18" t="str">
        <f t="shared" si="11"/>
        <v>0.00</v>
      </c>
      <c r="L70" s="16">
        <f t="shared" ca="1" si="12"/>
        <v>-39</v>
      </c>
      <c r="M70" s="17">
        <f t="shared" si="13"/>
        <v>-10218.84</v>
      </c>
      <c r="N70" s="19">
        <f ca="1">IFERROR(IF(TODAY()-I70-8&lt;=0,"",TODAY()-I70-8)*leyenda!$A$8*J70,"0.00")</f>
        <v>-99.739917165985332</v>
      </c>
      <c r="O70" s="14" t="s">
        <v>43</v>
      </c>
      <c r="P70" s="13">
        <f t="shared" ca="1" si="14"/>
        <v>45506</v>
      </c>
      <c r="Q70" s="8" t="str">
        <f ca="1">IF(L70&lt;=0,leyenda!$E$8,IF(L70&lt;=leyenda!$D$5,leyenda!$E$7,leyenda!$E$6))</f>
        <v>VENCIDO</v>
      </c>
      <c r="R70" s="8" t="str">
        <f t="shared" ca="1" si="15"/>
        <v>VENCIDO</v>
      </c>
      <c r="S70" s="8" t="s">
        <v>38</v>
      </c>
      <c r="T70" s="15"/>
      <c r="U70" s="8" t="str" cm="1">
        <f t="array" aca="1" ref="U70" ca="1">_xlfn.IFS(L70&gt;=leyenda!$J$6,leyenda!$I$6,L70&gt;=leyenda!$J$7,leyenda!$I$7,L70&gt;=leyenda!$J$8,leyenda!$I$8,L70&gt;=leyenda!$J$9,leyenda!$I$9,L70&gt;=leyenda!$J$10,leyenda!$I$10,L70&lt;=leyenda!$J$11,leyenda!$I$11)</f>
        <v>A4 DE 31 A 60 DIAS</v>
      </c>
      <c r="V70" s="8" t="s">
        <v>222</v>
      </c>
      <c r="W70" s="8"/>
      <c r="X70" s="8" t="s">
        <v>53</v>
      </c>
      <c r="Y70" s="29" t="s">
        <v>223</v>
      </c>
      <c r="Z70" s="8"/>
    </row>
    <row r="71" spans="1:26" hidden="1" x14ac:dyDescent="0.25">
      <c r="A71" s="28" t="s">
        <v>227</v>
      </c>
      <c r="B71" s="8" t="s">
        <v>224</v>
      </c>
      <c r="C71" s="8" t="s">
        <v>33</v>
      </c>
      <c r="D71" s="8" t="s">
        <v>225</v>
      </c>
      <c r="E71" s="8" t="s">
        <v>226</v>
      </c>
      <c r="F71" s="8" t="s">
        <v>58</v>
      </c>
      <c r="G71" s="9">
        <v>45399</v>
      </c>
      <c r="H71" s="13">
        <v>45420</v>
      </c>
      <c r="I71" s="9">
        <f>+BB_CXC_IN[[#This Row],[F. Embarque]]+90</f>
        <v>45510</v>
      </c>
      <c r="J71" s="10">
        <v>10014.809999999998</v>
      </c>
      <c r="K71" s="18" t="str">
        <f t="shared" ca="1" si="11"/>
        <v>0.00</v>
      </c>
      <c r="L71" s="16">
        <f t="shared" ca="1" si="12"/>
        <v>4</v>
      </c>
      <c r="M71" s="17">
        <f t="shared" ca="1" si="13"/>
        <v>10014.809999999998</v>
      </c>
      <c r="N71" s="19" t="str">
        <f ca="1">IFERROR(IF(TODAY()-I71-8&lt;=0,"",TODAY()-I71-8)*leyenda!$A$8*J71,"0.00")</f>
        <v>0.00</v>
      </c>
      <c r="O71" s="13"/>
      <c r="P71" s="13">
        <f t="shared" ca="1" si="14"/>
        <v>45506</v>
      </c>
      <c r="Q71" s="8" t="str">
        <f ca="1">IF(L71&lt;=0,leyenda!$E$8,IF(L71&lt;=leyenda!$D$5,leyenda!$E$7,leyenda!$E$6))</f>
        <v>VIGENTE</v>
      </c>
      <c r="R71" s="8" t="str">
        <f t="shared" ca="1" si="15"/>
        <v>VIGENTE</v>
      </c>
      <c r="S71" s="8" t="s">
        <v>38</v>
      </c>
      <c r="T71" s="15"/>
      <c r="U71" s="8" t="str" cm="1">
        <f t="array" aca="1" ref="U71" ca="1">_xlfn.IFS(L71&gt;=leyenda!$J$6,leyenda!$I$6,L71&gt;=leyenda!$J$7,leyenda!$I$7,L71&gt;=leyenda!$J$8,leyenda!$I$8,L71&gt;=leyenda!$J$9,leyenda!$I$9,L71&gt;=leyenda!$J$10,leyenda!$I$10,L71&lt;=leyenda!$J$11,leyenda!$I$11)</f>
        <v>A1 VIGENTE</v>
      </c>
      <c r="V71" s="8" t="s">
        <v>228</v>
      </c>
      <c r="W71" s="8" t="s">
        <v>229</v>
      </c>
      <c r="X71" s="8" t="s">
        <v>230</v>
      </c>
      <c r="Y71" s="29" t="s">
        <v>230</v>
      </c>
      <c r="Z71" s="8"/>
    </row>
    <row r="72" spans="1:26" hidden="1" x14ac:dyDescent="0.25">
      <c r="A72" s="28" t="s">
        <v>227</v>
      </c>
      <c r="B72" s="8" t="s">
        <v>224</v>
      </c>
      <c r="C72" s="8" t="s">
        <v>33</v>
      </c>
      <c r="D72" s="8" t="s">
        <v>383</v>
      </c>
      <c r="E72" s="8" t="s">
        <v>384</v>
      </c>
      <c r="F72" s="8" t="s">
        <v>385</v>
      </c>
      <c r="G72" s="9">
        <v>45456</v>
      </c>
      <c r="H72" s="9">
        <v>45463</v>
      </c>
      <c r="I72" s="9">
        <f>+BB_CXC_IN[[#This Row],[F. Embarque]]+75</f>
        <v>45538</v>
      </c>
      <c r="J72" s="10">
        <v>40861</v>
      </c>
      <c r="K72" s="18" t="str">
        <f t="shared" ca="1" si="11"/>
        <v>0.00</v>
      </c>
      <c r="L72" s="16">
        <f t="shared" ca="1" si="12"/>
        <v>32</v>
      </c>
      <c r="M72" s="17">
        <f t="shared" ca="1" si="13"/>
        <v>40861</v>
      </c>
      <c r="N72" s="19" t="str">
        <f ca="1">IFERROR(IF(TODAY()-I72-8&lt;=0,"",TODAY()-I72-8)*leyenda!$A$8*J72,"0.00")</f>
        <v>0.00</v>
      </c>
      <c r="O72" s="13"/>
      <c r="P72" s="13">
        <f t="shared" ca="1" si="14"/>
        <v>45506</v>
      </c>
      <c r="Q72" s="8" t="str">
        <f ca="1">IF(L72&lt;=0,leyenda!$E$8,IF(L72&lt;=leyenda!$D$5,leyenda!$E$7,leyenda!$E$6))</f>
        <v>VIGENTE</v>
      </c>
      <c r="R72" s="8" t="str">
        <f t="shared" ca="1" si="15"/>
        <v>VIGENTE</v>
      </c>
      <c r="S72" s="8" t="s">
        <v>38</v>
      </c>
      <c r="T72" s="15"/>
      <c r="U72" s="8" t="str" cm="1">
        <f t="array" aca="1" ref="U72" ca="1">_xlfn.IFS(L72&gt;=leyenda!$J$6,leyenda!$I$6,L72&gt;=leyenda!$J$7,leyenda!$I$7,L72&gt;=leyenda!$J$8,leyenda!$I$8,L72&gt;=leyenda!$J$9,leyenda!$I$9,L72&gt;=leyenda!$J$10,leyenda!$I$10,L72&lt;=leyenda!$J$11,leyenda!$I$11)</f>
        <v>A1 VIGENTE</v>
      </c>
      <c r="V72" s="8" t="s">
        <v>228</v>
      </c>
      <c r="W72" s="8" t="s">
        <v>229</v>
      </c>
      <c r="X72" s="8" t="s">
        <v>230</v>
      </c>
      <c r="Y72" s="29" t="s">
        <v>230</v>
      </c>
      <c r="Z72" s="8"/>
    </row>
    <row r="73" spans="1:26" x14ac:dyDescent="0.25">
      <c r="A73" s="28" t="s">
        <v>233</v>
      </c>
      <c r="B73" s="8" t="s">
        <v>231</v>
      </c>
      <c r="C73" s="8" t="s">
        <v>33</v>
      </c>
      <c r="D73" s="8" t="s">
        <v>422</v>
      </c>
      <c r="E73" s="8" t="s">
        <v>232</v>
      </c>
      <c r="F73" s="8" t="s">
        <v>161</v>
      </c>
      <c r="G73" s="9">
        <v>45489</v>
      </c>
      <c r="H73" s="9">
        <v>45489</v>
      </c>
      <c r="I73" s="9">
        <v>45489</v>
      </c>
      <c r="J73" s="49">
        <v>30.1</v>
      </c>
      <c r="K73" s="18" t="str">
        <f t="shared" si="11"/>
        <v>0.00</v>
      </c>
      <c r="L73" s="16">
        <f t="shared" ca="1" si="12"/>
        <v>-17</v>
      </c>
      <c r="M73" s="17">
        <f t="shared" si="13"/>
        <v>30.1</v>
      </c>
      <c r="N73" s="19">
        <f ca="1">IFERROR(IF(TODAY()-I73-8&lt;=0,"",TODAY()-I73-8)*leyenda!$A$8*J73,"0.00")</f>
        <v>8.5293260229478182E-2</v>
      </c>
      <c r="O73" s="14" t="s">
        <v>97</v>
      </c>
      <c r="P73" s="13">
        <f t="shared" ca="1" si="14"/>
        <v>45506</v>
      </c>
      <c r="Q73" s="8" t="str">
        <f ca="1">IF(L73&lt;=0,leyenda!$E$8,IF(L73&lt;=leyenda!$D$5,leyenda!$E$7,leyenda!$E$6))</f>
        <v>VENCIDO</v>
      </c>
      <c r="R73" s="8" t="str">
        <f t="shared" ca="1" si="15"/>
        <v>VENCIDO</v>
      </c>
      <c r="S73" s="8" t="s">
        <v>38</v>
      </c>
      <c r="T73" s="15"/>
      <c r="U73" s="8" t="str" cm="1">
        <f t="array" aca="1" ref="U73" ca="1">_xlfn.IFS(L73&gt;=leyenda!$J$6,leyenda!$I$6,L73&gt;=leyenda!$J$7,leyenda!$I$7,L73&gt;=leyenda!$J$8,leyenda!$I$8,L73&gt;=leyenda!$J$9,leyenda!$I$9,L73&gt;=leyenda!$J$10,leyenda!$I$10,L73&lt;=leyenda!$J$11,leyenda!$I$11)</f>
        <v>A3 DE 16 A 30 DIAS</v>
      </c>
      <c r="V73" s="8"/>
      <c r="W73" s="8"/>
      <c r="X73" s="8"/>
      <c r="Y73" s="29" t="s">
        <v>234</v>
      </c>
      <c r="Z73" s="8"/>
    </row>
    <row r="74" spans="1:26" hidden="1" x14ac:dyDescent="0.25">
      <c r="A74" s="28" t="s">
        <v>236</v>
      </c>
      <c r="B74" s="8" t="s">
        <v>235</v>
      </c>
      <c r="C74" s="8" t="s">
        <v>43</v>
      </c>
      <c r="D74" s="8" t="s">
        <v>44</v>
      </c>
      <c r="E74" s="8" t="s">
        <v>386</v>
      </c>
      <c r="F74" s="8" t="s">
        <v>45</v>
      </c>
      <c r="G74" s="9">
        <v>45448</v>
      </c>
      <c r="H74" s="9">
        <v>45448</v>
      </c>
      <c r="I74" s="9">
        <v>45448</v>
      </c>
      <c r="J74" s="10">
        <v>-5613.12</v>
      </c>
      <c r="K74" s="18" t="str">
        <f t="shared" si="11"/>
        <v>0.00</v>
      </c>
      <c r="L74" s="16">
        <f t="shared" ca="1" si="12"/>
        <v>-58</v>
      </c>
      <c r="M74" s="17">
        <f t="shared" si="13"/>
        <v>-5613.12</v>
      </c>
      <c r="N74" s="19">
        <f ca="1">IFERROR(IF(TODAY()-I74-8&lt;=0,"",TODAY()-I74-8)*leyenda!$A$8*J74,"0.00")</f>
        <v>-88.364951062991622</v>
      </c>
      <c r="O74" s="14" t="s">
        <v>43</v>
      </c>
      <c r="P74" s="13">
        <f t="shared" ca="1" si="14"/>
        <v>45506</v>
      </c>
      <c r="Q74" s="8" t="str">
        <f ca="1">IF(L74&lt;=0,leyenda!$E$8,IF(L74&lt;=leyenda!$D$5,leyenda!$E$7,leyenda!$E$6))</f>
        <v>VENCIDO</v>
      </c>
      <c r="R74" s="8" t="str">
        <f t="shared" ca="1" si="15"/>
        <v>VENCIDO</v>
      </c>
      <c r="S74" s="8" t="s">
        <v>38</v>
      </c>
      <c r="T74" s="15"/>
      <c r="U74" s="8" t="str" cm="1">
        <f t="array" aca="1" ref="U74" ca="1">_xlfn.IFS(L74&gt;=leyenda!$J$6,leyenda!$I$6,L74&gt;=leyenda!$J$7,leyenda!$I$7,L74&gt;=leyenda!$J$8,leyenda!$I$8,L74&gt;=leyenda!$J$9,leyenda!$I$9,L74&gt;=leyenda!$J$10,leyenda!$I$10,L74&lt;=leyenda!$J$11,leyenda!$I$11)</f>
        <v>A4 DE 31 A 60 DIAS</v>
      </c>
      <c r="V74" s="8" t="s">
        <v>237</v>
      </c>
      <c r="W74" s="8"/>
      <c r="X74" s="8" t="s">
        <v>238</v>
      </c>
      <c r="Y74" s="29" t="s">
        <v>239</v>
      </c>
      <c r="Z74" s="8"/>
    </row>
    <row r="75" spans="1:26" hidden="1" x14ac:dyDescent="0.25">
      <c r="A75" s="28" t="s">
        <v>243</v>
      </c>
      <c r="B75" s="8" t="s">
        <v>240</v>
      </c>
      <c r="C75" s="8" t="s">
        <v>43</v>
      </c>
      <c r="D75" s="8" t="s">
        <v>241</v>
      </c>
      <c r="E75" s="8" t="s">
        <v>242</v>
      </c>
      <c r="F75" s="8" t="s">
        <v>80</v>
      </c>
      <c r="G75" s="9">
        <v>43503</v>
      </c>
      <c r="H75" s="13">
        <v>43503</v>
      </c>
      <c r="I75" s="9">
        <f>+H75</f>
        <v>43503</v>
      </c>
      <c r="J75" s="10">
        <v>-13.59</v>
      </c>
      <c r="K75" s="18" t="str">
        <f t="shared" si="11"/>
        <v>0.00</v>
      </c>
      <c r="L75" s="16">
        <f t="shared" ca="1" si="12"/>
        <v>-2003</v>
      </c>
      <c r="M75" s="17">
        <f t="shared" si="13"/>
        <v>-13.59</v>
      </c>
      <c r="N75" s="19">
        <f ca="1">IFERROR(IF(TODAY()-I75-8&lt;=0,"",TODAY()-I75-8)*leyenda!$A$8*J75,"0.00")</f>
        <v>-8.5362684976176588</v>
      </c>
      <c r="O75" s="14" t="s">
        <v>43</v>
      </c>
      <c r="P75" s="13">
        <f t="shared" ca="1" si="14"/>
        <v>45506</v>
      </c>
      <c r="Q75" s="8" t="str">
        <f ca="1">IF(L75&lt;=0,leyenda!$E$8,IF(L75&lt;=leyenda!$D$5,leyenda!$E$7,leyenda!$E$6))</f>
        <v>VENCIDO</v>
      </c>
      <c r="R75" s="8" t="str">
        <f t="shared" ca="1" si="15"/>
        <v>VENCIDO</v>
      </c>
      <c r="S75" s="8" t="s">
        <v>38</v>
      </c>
      <c r="T75" s="15"/>
      <c r="U75" s="8" t="str" cm="1">
        <f t="array" aca="1" ref="U75" ca="1">_xlfn.IFS(L75&gt;=leyenda!$J$6,leyenda!$I$6,L75&gt;=leyenda!$J$7,leyenda!$I$7,L75&gt;=leyenda!$J$8,leyenda!$I$8,L75&gt;=leyenda!$J$9,leyenda!$I$9,L75&gt;=leyenda!$J$10,leyenda!$I$10,L75&lt;=leyenda!$J$11,leyenda!$I$11)</f>
        <v>A6 DE 91 A MÁS DIAS</v>
      </c>
      <c r="V75" s="8" t="s">
        <v>244</v>
      </c>
      <c r="W75" s="8" t="s">
        <v>244</v>
      </c>
      <c r="X75" s="8" t="s">
        <v>244</v>
      </c>
      <c r="Y75" s="29" t="s">
        <v>245</v>
      </c>
      <c r="Z75" s="8"/>
    </row>
    <row r="76" spans="1:26" hidden="1" x14ac:dyDescent="0.25">
      <c r="A76" s="28" t="s">
        <v>248</v>
      </c>
      <c r="B76" s="8" t="s">
        <v>246</v>
      </c>
      <c r="C76" s="8" t="s">
        <v>43</v>
      </c>
      <c r="D76" s="8" t="s">
        <v>44</v>
      </c>
      <c r="E76" s="8" t="s">
        <v>247</v>
      </c>
      <c r="F76" s="8" t="s">
        <v>80</v>
      </c>
      <c r="G76" s="9">
        <v>45369</v>
      </c>
      <c r="H76" s="13">
        <v>45369</v>
      </c>
      <c r="I76" s="9">
        <v>45369</v>
      </c>
      <c r="J76" s="10">
        <v>-18440.310000000001</v>
      </c>
      <c r="K76" s="18" t="str">
        <f t="shared" si="11"/>
        <v>0.00</v>
      </c>
      <c r="L76" s="16">
        <f t="shared" ca="1" si="12"/>
        <v>-137</v>
      </c>
      <c r="M76" s="17">
        <f t="shared" si="13"/>
        <v>-18440.310000000001</v>
      </c>
      <c r="N76" s="19">
        <f ca="1">IFERROR(IF(TODAY()-I76-8&lt;=0,"",TODAY()-I76-8)*leyenda!$A$8*J76,"0.00")</f>
        <v>-748.96864740107094</v>
      </c>
      <c r="O76" s="14" t="s">
        <v>43</v>
      </c>
      <c r="P76" s="13">
        <f t="shared" ca="1" si="14"/>
        <v>45506</v>
      </c>
      <c r="Q76" s="8" t="str">
        <f ca="1">IF(L76&lt;=0,leyenda!$E$8,IF(L76&lt;=leyenda!$D$5,leyenda!$E$7,leyenda!$E$6))</f>
        <v>VENCIDO</v>
      </c>
      <c r="R76" s="8" t="str">
        <f t="shared" ca="1" si="15"/>
        <v>VENCIDO</v>
      </c>
      <c r="S76" s="8" t="s">
        <v>38</v>
      </c>
      <c r="T76" s="15"/>
      <c r="U76" s="8" t="str" cm="1">
        <f t="array" aca="1" ref="U76" ca="1">_xlfn.IFS(L76&gt;=leyenda!$J$6,leyenda!$I$6,L76&gt;=leyenda!$J$7,leyenda!$I$7,L76&gt;=leyenda!$J$8,leyenda!$I$8,L76&gt;=leyenda!$J$9,leyenda!$I$9,L76&gt;=leyenda!$J$10,leyenda!$I$10,L76&lt;=leyenda!$J$11,leyenda!$I$11)</f>
        <v>A6 DE 91 A MÁS DIAS</v>
      </c>
      <c r="V76" s="8" t="s">
        <v>249</v>
      </c>
      <c r="W76" s="8" t="s">
        <v>53</v>
      </c>
      <c r="X76" s="8" t="s">
        <v>53</v>
      </c>
      <c r="Y76" s="29" t="s">
        <v>250</v>
      </c>
      <c r="Z76" s="8"/>
    </row>
    <row r="77" spans="1:26" hidden="1" x14ac:dyDescent="0.25">
      <c r="A77" s="28" t="s">
        <v>248</v>
      </c>
      <c r="B77" s="8" t="s">
        <v>246</v>
      </c>
      <c r="C77" s="8" t="s">
        <v>43</v>
      </c>
      <c r="D77" s="8" t="s">
        <v>44</v>
      </c>
      <c r="E77" s="8" t="s">
        <v>247</v>
      </c>
      <c r="F77" s="8" t="s">
        <v>80</v>
      </c>
      <c r="G77" s="9">
        <v>45345</v>
      </c>
      <c r="H77" s="13">
        <v>45345</v>
      </c>
      <c r="I77" s="9">
        <v>45345</v>
      </c>
      <c r="J77" s="10">
        <v>-10371.219999999999</v>
      </c>
      <c r="K77" s="18" t="str">
        <f t="shared" si="11"/>
        <v>0.00</v>
      </c>
      <c r="L77" s="16">
        <f t="shared" ca="1" si="12"/>
        <v>-161</v>
      </c>
      <c r="M77" s="17">
        <f t="shared" si="13"/>
        <v>-10371.219999999999</v>
      </c>
      <c r="N77" s="19">
        <f ca="1">IFERROR(IF(TODAY()-I77-8&lt;=0,"",TODAY()-I77-8)*leyenda!$A$8*J77,"0.00")</f>
        <v>-499.60524345753714</v>
      </c>
      <c r="O77" s="14" t="s">
        <v>43</v>
      </c>
      <c r="P77" s="13">
        <f t="shared" ca="1" si="14"/>
        <v>45506</v>
      </c>
      <c r="Q77" s="8" t="str">
        <f ca="1">IF(L77&lt;=0,leyenda!$E$8,IF(L77&lt;=leyenda!$D$5,leyenda!$E$7,leyenda!$E$6))</f>
        <v>VENCIDO</v>
      </c>
      <c r="R77" s="8" t="str">
        <f t="shared" ca="1" si="15"/>
        <v>VENCIDO</v>
      </c>
      <c r="S77" s="8" t="s">
        <v>38</v>
      </c>
      <c r="T77" s="15"/>
      <c r="U77" s="8" t="str" cm="1">
        <f t="array" aca="1" ref="U77" ca="1">_xlfn.IFS(L77&gt;=leyenda!$J$6,leyenda!$I$6,L77&gt;=leyenda!$J$7,leyenda!$I$7,L77&gt;=leyenda!$J$8,leyenda!$I$8,L77&gt;=leyenda!$J$9,leyenda!$I$9,L77&gt;=leyenda!$J$10,leyenda!$I$10,L77&lt;=leyenda!$J$11,leyenda!$I$11)</f>
        <v>A6 DE 91 A MÁS DIAS</v>
      </c>
      <c r="V77" s="8" t="s">
        <v>249</v>
      </c>
      <c r="W77" s="8" t="s">
        <v>53</v>
      </c>
      <c r="X77" s="8" t="s">
        <v>53</v>
      </c>
      <c r="Y77" s="29" t="s">
        <v>250</v>
      </c>
      <c r="Z77" s="8"/>
    </row>
    <row r="78" spans="1:26" hidden="1" x14ac:dyDescent="0.25">
      <c r="A78" s="28" t="s">
        <v>248</v>
      </c>
      <c r="B78" s="8" t="s">
        <v>246</v>
      </c>
      <c r="C78" s="8" t="s">
        <v>43</v>
      </c>
      <c r="D78" s="8" t="s">
        <v>44</v>
      </c>
      <c r="E78" s="8" t="s">
        <v>414</v>
      </c>
      <c r="F78" s="8" t="s">
        <v>80</v>
      </c>
      <c r="G78" s="9">
        <v>45483</v>
      </c>
      <c r="H78" s="9">
        <v>45483</v>
      </c>
      <c r="I78" s="9">
        <v>45483</v>
      </c>
      <c r="J78" s="10">
        <v>-685.9</v>
      </c>
      <c r="K78" s="18" t="str">
        <f t="shared" si="11"/>
        <v>0.00</v>
      </c>
      <c r="L78" s="16">
        <f t="shared" ca="1" si="12"/>
        <v>-23</v>
      </c>
      <c r="M78" s="17">
        <f t="shared" si="13"/>
        <v>-685.9</v>
      </c>
      <c r="N78" s="19">
        <f ca="1">IFERROR(IF(TODAY()-I78-8&lt;=0,"",TODAY()-I78-8)*leyenda!$A$8*J78,"0.00")</f>
        <v>-3.2393492354041578</v>
      </c>
      <c r="O78" s="14" t="s">
        <v>43</v>
      </c>
      <c r="P78" s="13">
        <f t="shared" ca="1" si="14"/>
        <v>45506</v>
      </c>
      <c r="Q78" s="8" t="str">
        <f ca="1">IF(L78&lt;=0,leyenda!$E$8,IF(L78&lt;=leyenda!$D$5,leyenda!$E$7,leyenda!$E$6))</f>
        <v>VENCIDO</v>
      </c>
      <c r="R78" s="8" t="str">
        <f t="shared" ca="1" si="15"/>
        <v>VENCIDO</v>
      </c>
      <c r="S78" s="8" t="s">
        <v>38</v>
      </c>
      <c r="T78" s="15"/>
      <c r="U78" s="8" t="str" cm="1">
        <f t="array" aca="1" ref="U78" ca="1">_xlfn.IFS(L78&gt;=leyenda!$J$6,leyenda!$I$6,L78&gt;=leyenda!$J$7,leyenda!$I$7,L78&gt;=leyenda!$J$8,leyenda!$I$8,L78&gt;=leyenda!$J$9,leyenda!$I$9,L78&gt;=leyenda!$J$10,leyenda!$I$10,L78&lt;=leyenda!$J$11,leyenda!$I$11)</f>
        <v>A3 DE 16 A 30 DIAS</v>
      </c>
      <c r="V78" s="8" t="s">
        <v>249</v>
      </c>
      <c r="W78" s="8" t="s">
        <v>53</v>
      </c>
      <c r="X78" s="8" t="s">
        <v>53</v>
      </c>
      <c r="Y78" s="29" t="s">
        <v>250</v>
      </c>
      <c r="Z78" s="8"/>
    </row>
    <row r="79" spans="1:26" hidden="1" x14ac:dyDescent="0.25">
      <c r="A79" s="28" t="s">
        <v>248</v>
      </c>
      <c r="B79" s="8" t="s">
        <v>246</v>
      </c>
      <c r="C79" s="8" t="s">
        <v>43</v>
      </c>
      <c r="D79" s="8" t="s">
        <v>44</v>
      </c>
      <c r="E79" s="8" t="s">
        <v>414</v>
      </c>
      <c r="F79" s="8" t="s">
        <v>80</v>
      </c>
      <c r="G79" s="9">
        <v>45482</v>
      </c>
      <c r="H79" s="9">
        <v>45482</v>
      </c>
      <c r="I79" s="9">
        <v>45482</v>
      </c>
      <c r="J79" s="10">
        <v>-19970</v>
      </c>
      <c r="K79" s="18" t="str">
        <f t="shared" si="11"/>
        <v>0.00</v>
      </c>
      <c r="L79" s="16">
        <f t="shared" ca="1" si="12"/>
        <v>-24</v>
      </c>
      <c r="M79" s="17">
        <f t="shared" si="13"/>
        <v>-19970</v>
      </c>
      <c r="N79" s="19">
        <f ca="1">IFERROR(IF(TODAY()-I79-8&lt;=0,"",TODAY()-I79-8)*leyenda!$A$8*J79,"0.00")</f>
        <v>-100.60133816361341</v>
      </c>
      <c r="O79" s="14" t="s">
        <v>43</v>
      </c>
      <c r="P79" s="13">
        <f t="shared" ca="1" si="14"/>
        <v>45506</v>
      </c>
      <c r="Q79" s="8" t="str">
        <f ca="1">IF(L79&lt;=0,leyenda!$E$8,IF(L79&lt;=leyenda!$D$5,leyenda!$E$7,leyenda!$E$6))</f>
        <v>VENCIDO</v>
      </c>
      <c r="R79" s="8" t="str">
        <f t="shared" ca="1" si="15"/>
        <v>VENCIDO</v>
      </c>
      <c r="S79" s="8" t="s">
        <v>38</v>
      </c>
      <c r="T79" s="15"/>
      <c r="U79" s="8" t="str" cm="1">
        <f t="array" aca="1" ref="U79" ca="1">_xlfn.IFS(L79&gt;=leyenda!$J$6,leyenda!$I$6,L79&gt;=leyenda!$J$7,leyenda!$I$7,L79&gt;=leyenda!$J$8,leyenda!$I$8,L79&gt;=leyenda!$J$9,leyenda!$I$9,L79&gt;=leyenda!$J$10,leyenda!$I$10,L79&lt;=leyenda!$J$11,leyenda!$I$11)</f>
        <v>A3 DE 16 A 30 DIAS</v>
      </c>
      <c r="V79" s="8" t="s">
        <v>249</v>
      </c>
      <c r="W79" s="8" t="s">
        <v>53</v>
      </c>
      <c r="X79" s="8" t="s">
        <v>53</v>
      </c>
      <c r="Y79" s="29" t="s">
        <v>250</v>
      </c>
      <c r="Z79" s="8"/>
    </row>
    <row r="80" spans="1:26" hidden="1" x14ac:dyDescent="0.25">
      <c r="A80" s="28" t="s">
        <v>254</v>
      </c>
      <c r="B80" s="8" t="s">
        <v>251</v>
      </c>
      <c r="C80" s="8" t="s">
        <v>33</v>
      </c>
      <c r="D80" s="8" t="s">
        <v>252</v>
      </c>
      <c r="E80" s="8" t="s">
        <v>253</v>
      </c>
      <c r="F80" s="8" t="s">
        <v>166</v>
      </c>
      <c r="G80" s="9">
        <v>45434</v>
      </c>
      <c r="H80" s="13">
        <v>45434</v>
      </c>
      <c r="I80" s="9">
        <f>+H80+75</f>
        <v>45509</v>
      </c>
      <c r="J80" s="10">
        <v>60</v>
      </c>
      <c r="K80" s="18" t="str">
        <f t="shared" ca="1" si="11"/>
        <v>0.00</v>
      </c>
      <c r="L80" s="16">
        <f t="shared" ca="1" si="12"/>
        <v>3</v>
      </c>
      <c r="M80" s="17">
        <f t="shared" ca="1" si="13"/>
        <v>60</v>
      </c>
      <c r="N80" s="19" t="str">
        <f ca="1">IFERROR(IF(TODAY()-I80-8&lt;=0,"",TODAY()-I80-8)*leyenda!$A$8*J80,"0.00")</f>
        <v>0.00</v>
      </c>
      <c r="O80" s="13"/>
      <c r="P80" s="13">
        <f t="shared" ca="1" si="14"/>
        <v>45506</v>
      </c>
      <c r="Q80" s="8" t="str">
        <f ca="1">IF(L80&lt;=0,leyenda!$E$8,IF(L80&lt;=leyenda!$D$5,leyenda!$E$7,leyenda!$E$6))</f>
        <v>VIGENTE</v>
      </c>
      <c r="R80" s="8" t="str">
        <f t="shared" ca="1" si="15"/>
        <v>VIGENTE</v>
      </c>
      <c r="S80" s="8" t="s">
        <v>38</v>
      </c>
      <c r="T80" s="15"/>
      <c r="U80" s="8" t="str" cm="1">
        <f t="array" aca="1" ref="U80" ca="1">_xlfn.IFS(L80&gt;=leyenda!$J$6,leyenda!$I$6,L80&gt;=leyenda!$J$7,leyenda!$I$7,L80&gt;=leyenda!$J$8,leyenda!$I$8,L80&gt;=leyenda!$J$9,leyenda!$I$9,L80&gt;=leyenda!$J$10,leyenda!$I$10,L80&lt;=leyenda!$J$11,leyenda!$I$11)</f>
        <v>A1 VIGENTE</v>
      </c>
      <c r="V80" s="8" t="s">
        <v>255</v>
      </c>
      <c r="W80" s="8" t="s">
        <v>256</v>
      </c>
      <c r="X80" s="8"/>
      <c r="Y80" s="29" t="s">
        <v>157</v>
      </c>
      <c r="Z80" s="8"/>
    </row>
    <row r="81" spans="1:26" hidden="1" x14ac:dyDescent="0.25">
      <c r="A81" s="28" t="s">
        <v>260</v>
      </c>
      <c r="B81" s="8" t="s">
        <v>257</v>
      </c>
      <c r="C81" s="8" t="s">
        <v>106</v>
      </c>
      <c r="D81" s="8" t="s">
        <v>258</v>
      </c>
      <c r="E81" s="8" t="s">
        <v>259</v>
      </c>
      <c r="F81" s="8" t="s">
        <v>80</v>
      </c>
      <c r="G81" s="9">
        <v>43894</v>
      </c>
      <c r="H81" s="13">
        <v>43894</v>
      </c>
      <c r="I81" s="9">
        <v>43894</v>
      </c>
      <c r="J81" s="10">
        <v>-1045</v>
      </c>
      <c r="K81" s="18" t="str">
        <f t="shared" si="11"/>
        <v>0.00</v>
      </c>
      <c r="L81" s="16">
        <f t="shared" ca="1" si="12"/>
        <v>-1612</v>
      </c>
      <c r="M81" s="17">
        <f t="shared" si="13"/>
        <v>-1045</v>
      </c>
      <c r="N81" s="19">
        <f ca="1">IFERROR(IF(TODAY()-I81-8&lt;=0,"",TODAY()-I81-8)*leyenda!$A$8*J81,"0.00")</f>
        <v>-527.74771846233568</v>
      </c>
      <c r="O81" s="14" t="s">
        <v>106</v>
      </c>
      <c r="P81" s="13">
        <f t="shared" ca="1" si="14"/>
        <v>45506</v>
      </c>
      <c r="Q81" s="8" t="str">
        <f ca="1">IF(L81&lt;=0,leyenda!$E$8,IF(L81&lt;=leyenda!$D$5,leyenda!$E$7,leyenda!$E$6))</f>
        <v>VENCIDO</v>
      </c>
      <c r="R81" s="8" t="str">
        <f t="shared" ca="1" si="15"/>
        <v>VENCIDO</v>
      </c>
      <c r="S81" s="8" t="s">
        <v>38</v>
      </c>
      <c r="T81" s="15"/>
      <c r="U81" s="8" t="str" cm="1">
        <f t="array" aca="1" ref="U81" ca="1">_xlfn.IFS(L81&gt;=leyenda!$J$6,leyenda!$I$6,L81&gt;=leyenda!$J$7,leyenda!$I$7,L81&gt;=leyenda!$J$8,leyenda!$I$8,L81&gt;=leyenda!$J$9,leyenda!$I$9,L81&gt;=leyenda!$J$10,leyenda!$I$10,L81&lt;=leyenda!$J$11,leyenda!$I$11)</f>
        <v>A6 DE 91 A MÁS DIAS</v>
      </c>
      <c r="V81" s="8" t="s">
        <v>261</v>
      </c>
      <c r="W81" s="8" t="s">
        <v>262</v>
      </c>
      <c r="X81" s="8"/>
      <c r="Y81" s="29" t="s">
        <v>263</v>
      </c>
      <c r="Z81" s="8"/>
    </row>
    <row r="82" spans="1:26" hidden="1" x14ac:dyDescent="0.25">
      <c r="A82" s="28" t="s">
        <v>260</v>
      </c>
      <c r="B82" s="8" t="s">
        <v>257</v>
      </c>
      <c r="C82" s="8" t="s">
        <v>106</v>
      </c>
      <c r="D82" s="8" t="s">
        <v>264</v>
      </c>
      <c r="E82" s="8" t="s">
        <v>259</v>
      </c>
      <c r="F82" s="8" t="s">
        <v>80</v>
      </c>
      <c r="G82" s="9">
        <v>43894</v>
      </c>
      <c r="H82" s="13">
        <v>43894</v>
      </c>
      <c r="I82" s="9">
        <v>43894</v>
      </c>
      <c r="J82" s="10">
        <v>-1090</v>
      </c>
      <c r="K82" s="18" t="str">
        <f t="shared" si="11"/>
        <v>0.00</v>
      </c>
      <c r="L82" s="16">
        <f t="shared" ca="1" si="12"/>
        <v>-1612</v>
      </c>
      <c r="M82" s="17">
        <f t="shared" si="13"/>
        <v>-1090</v>
      </c>
      <c r="N82" s="19">
        <f ca="1">IFERROR(IF(TODAY()-I82-8&lt;=0,"",TODAY()-I82-8)*leyenda!$A$8*J82,"0.00")</f>
        <v>-550.47369676932624</v>
      </c>
      <c r="O82" s="14" t="s">
        <v>106</v>
      </c>
      <c r="P82" s="13">
        <f t="shared" ca="1" si="14"/>
        <v>45506</v>
      </c>
      <c r="Q82" s="8" t="str">
        <f ca="1">IF(L82&lt;=0,leyenda!$E$8,IF(L82&lt;=leyenda!$D$5,leyenda!$E$7,leyenda!$E$6))</f>
        <v>VENCIDO</v>
      </c>
      <c r="R82" s="8" t="str">
        <f t="shared" ca="1" si="15"/>
        <v>VENCIDO</v>
      </c>
      <c r="S82" s="8" t="s">
        <v>38</v>
      </c>
      <c r="T82" s="15"/>
      <c r="U82" s="8" t="str" cm="1">
        <f t="array" aca="1" ref="U82" ca="1">_xlfn.IFS(L82&gt;=leyenda!$J$6,leyenda!$I$6,L82&gt;=leyenda!$J$7,leyenda!$I$7,L82&gt;=leyenda!$J$8,leyenda!$I$8,L82&gt;=leyenda!$J$9,leyenda!$I$9,L82&gt;=leyenda!$J$10,leyenda!$I$10,L82&lt;=leyenda!$J$11,leyenda!$I$11)</f>
        <v>A6 DE 91 A MÁS DIAS</v>
      </c>
      <c r="V82" s="8" t="s">
        <v>261</v>
      </c>
      <c r="W82" s="8" t="s">
        <v>262</v>
      </c>
      <c r="X82" s="8"/>
      <c r="Y82" s="29" t="s">
        <v>263</v>
      </c>
      <c r="Z82" s="8"/>
    </row>
    <row r="83" spans="1:26" hidden="1" x14ac:dyDescent="0.25">
      <c r="A83" s="28" t="s">
        <v>268</v>
      </c>
      <c r="B83" s="8" t="s">
        <v>265</v>
      </c>
      <c r="C83" s="8" t="s">
        <v>43</v>
      </c>
      <c r="D83" s="8" t="s">
        <v>266</v>
      </c>
      <c r="E83" s="8" t="s">
        <v>267</v>
      </c>
      <c r="F83" s="8" t="s">
        <v>45</v>
      </c>
      <c r="G83" s="9">
        <v>43444</v>
      </c>
      <c r="H83" s="13">
        <v>43444</v>
      </c>
      <c r="I83" s="9">
        <v>43444</v>
      </c>
      <c r="J83" s="10">
        <v>-135.80000000000001</v>
      </c>
      <c r="K83" s="18" t="str">
        <f t="shared" si="11"/>
        <v>0.00</v>
      </c>
      <c r="L83" s="16">
        <f t="shared" ca="1" si="12"/>
        <v>-2062</v>
      </c>
      <c r="M83" s="17">
        <f t="shared" si="13"/>
        <v>-135.80000000000001</v>
      </c>
      <c r="N83" s="19">
        <f ca="1">IFERROR(IF(TODAY()-I83-8&lt;=0,"",TODAY()-I83-8)*leyenda!$A$8*J83,"0.00")</f>
        <v>-87.822524969513054</v>
      </c>
      <c r="O83" s="14" t="s">
        <v>43</v>
      </c>
      <c r="P83" s="13">
        <f t="shared" ca="1" si="14"/>
        <v>45506</v>
      </c>
      <c r="Q83" s="8" t="str">
        <f ca="1">IF(L83&lt;=0,leyenda!$E$8,IF(L83&lt;=leyenda!$D$5,leyenda!$E$7,leyenda!$E$6))</f>
        <v>VENCIDO</v>
      </c>
      <c r="R83" s="8" t="str">
        <f t="shared" ca="1" si="15"/>
        <v>VENCIDO</v>
      </c>
      <c r="S83" s="8" t="s">
        <v>38</v>
      </c>
      <c r="T83" s="15"/>
      <c r="U83" s="8" t="str" cm="1">
        <f t="array" aca="1" ref="U83" ca="1">_xlfn.IFS(L83&gt;=leyenda!$J$6,leyenda!$I$6,L83&gt;=leyenda!$J$7,leyenda!$I$7,L83&gt;=leyenda!$J$8,leyenda!$I$8,L83&gt;=leyenda!$J$9,leyenda!$I$9,L83&gt;=leyenda!$J$10,leyenda!$I$10,L83&lt;=leyenda!$J$11,leyenda!$I$11)</f>
        <v>A6 DE 91 A MÁS DIAS</v>
      </c>
      <c r="V83" s="8"/>
      <c r="W83" s="8"/>
      <c r="X83" s="8" t="s">
        <v>269</v>
      </c>
      <c r="Y83" s="29" t="s">
        <v>263</v>
      </c>
      <c r="Z83" s="8"/>
    </row>
    <row r="84" spans="1:26" x14ac:dyDescent="0.25">
      <c r="A84" s="28" t="s">
        <v>273</v>
      </c>
      <c r="B84" s="8" t="s">
        <v>270</v>
      </c>
      <c r="C84" s="8" t="s">
        <v>33</v>
      </c>
      <c r="D84" s="8" t="s">
        <v>271</v>
      </c>
      <c r="E84" s="8" t="s">
        <v>272</v>
      </c>
      <c r="F84" s="8" t="s">
        <v>161</v>
      </c>
      <c r="G84" s="9">
        <v>44648</v>
      </c>
      <c r="H84" s="13">
        <v>44648</v>
      </c>
      <c r="I84" s="9">
        <v>44648</v>
      </c>
      <c r="J84" s="49">
        <v>61.6</v>
      </c>
      <c r="K84" s="18" t="str">
        <f t="shared" si="11"/>
        <v>0.00</v>
      </c>
      <c r="L84" s="16">
        <f t="shared" ca="1" si="12"/>
        <v>-858</v>
      </c>
      <c r="M84" s="17">
        <f t="shared" si="13"/>
        <v>61.6</v>
      </c>
      <c r="N84" s="19">
        <f ca="1">IFERROR(IF(TODAY()-I84-8&lt;=0,"",TODAY()-I84-8)*leyenda!$A$8*J84,"0.00")</f>
        <v>16.485622390607155</v>
      </c>
      <c r="O84" s="14" t="s">
        <v>97</v>
      </c>
      <c r="P84" s="13">
        <f t="shared" ca="1" si="14"/>
        <v>45506</v>
      </c>
      <c r="Q84" s="8" t="str">
        <f ca="1">IF(L84&lt;=0,leyenda!$E$8,IF(L84&lt;=leyenda!$D$5,leyenda!$E$7,leyenda!$E$6))</f>
        <v>VENCIDO</v>
      </c>
      <c r="R84" s="8" t="str">
        <f t="shared" ca="1" si="15"/>
        <v>VENCIDO</v>
      </c>
      <c r="S84" s="8" t="s">
        <v>38</v>
      </c>
      <c r="T84" s="15"/>
      <c r="U84" s="8" t="str" cm="1">
        <f t="array" aca="1" ref="U84" ca="1">_xlfn.IFS(L84&gt;=leyenda!$J$6,leyenda!$I$6,L84&gt;=leyenda!$J$7,leyenda!$I$7,L84&gt;=leyenda!$J$8,leyenda!$I$8,L84&gt;=leyenda!$J$9,leyenda!$I$9,L84&gt;=leyenda!$J$10,leyenda!$I$10,L84&lt;=leyenda!$J$11,leyenda!$I$11)</f>
        <v>A6 DE 91 A MÁS DIAS</v>
      </c>
      <c r="V84" s="8" t="s">
        <v>274</v>
      </c>
      <c r="W84" s="8"/>
      <c r="X84" s="8"/>
      <c r="Y84" s="29" t="s">
        <v>275</v>
      </c>
      <c r="Z84" s="8"/>
    </row>
    <row r="85" spans="1:26" hidden="1" x14ac:dyDescent="0.25">
      <c r="A85" s="28" t="s">
        <v>278</v>
      </c>
      <c r="B85" s="8" t="s">
        <v>276</v>
      </c>
      <c r="C85" s="8" t="s">
        <v>33</v>
      </c>
      <c r="D85" s="8" t="s">
        <v>277</v>
      </c>
      <c r="E85" s="8" t="s">
        <v>392</v>
      </c>
      <c r="F85" s="8" t="s">
        <v>58</v>
      </c>
      <c r="G85" s="9">
        <v>45420</v>
      </c>
      <c r="H85" s="13">
        <v>45426</v>
      </c>
      <c r="I85" s="9">
        <f>+H85+90</f>
        <v>45516</v>
      </c>
      <c r="J85" s="10">
        <v>145268</v>
      </c>
      <c r="K85" s="18" t="str">
        <f t="shared" ca="1" si="11"/>
        <v>0.00</v>
      </c>
      <c r="L85" s="16">
        <f t="shared" ca="1" si="12"/>
        <v>10</v>
      </c>
      <c r="M85" s="17">
        <f t="shared" ca="1" si="13"/>
        <v>145268</v>
      </c>
      <c r="N85" s="19" t="str">
        <f ca="1">IFERROR(IF(TODAY()-I85-8&lt;=0,"",TODAY()-I85-8)*leyenda!$A$8*J85,"0.00")</f>
        <v>0.00</v>
      </c>
      <c r="O85" s="14"/>
      <c r="P85" s="13">
        <f t="shared" ca="1" si="14"/>
        <v>45506</v>
      </c>
      <c r="Q85" s="8" t="str">
        <f ca="1">IF(L85&lt;=0,leyenda!$E$8,IF(L85&lt;=leyenda!$D$5,leyenda!$E$7,leyenda!$E$6))</f>
        <v>VIGENTE</v>
      </c>
      <c r="R85" s="8" t="str">
        <f t="shared" ca="1" si="15"/>
        <v>VIGENTE</v>
      </c>
      <c r="S85" s="8" t="s">
        <v>38</v>
      </c>
      <c r="T85" s="15"/>
      <c r="U85" s="8" t="str" cm="1">
        <f t="array" aca="1" ref="U85" ca="1">_xlfn.IFS(L85&gt;=leyenda!$J$6,leyenda!$I$6,L85&gt;=leyenda!$J$7,leyenda!$I$7,L85&gt;=leyenda!$J$8,leyenda!$I$8,L85&gt;=leyenda!$J$9,leyenda!$I$9,L85&gt;=leyenda!$J$10,leyenda!$I$10,L85&lt;=leyenda!$J$11,leyenda!$I$11)</f>
        <v>A1 VIGENTE</v>
      </c>
      <c r="V85" s="8" t="s">
        <v>279</v>
      </c>
      <c r="W85" s="8" t="s">
        <v>280</v>
      </c>
      <c r="X85" s="8" t="s">
        <v>53</v>
      </c>
      <c r="Y85" s="29" t="s">
        <v>281</v>
      </c>
      <c r="Z85" s="8"/>
    </row>
    <row r="86" spans="1:26" hidden="1" x14ac:dyDescent="0.25">
      <c r="A86" s="28" t="s">
        <v>285</v>
      </c>
      <c r="B86" s="8" t="s">
        <v>282</v>
      </c>
      <c r="C86" s="8" t="s">
        <v>43</v>
      </c>
      <c r="D86" s="8" t="s">
        <v>283</v>
      </c>
      <c r="E86" s="8" t="s">
        <v>284</v>
      </c>
      <c r="F86" s="8" t="s">
        <v>80</v>
      </c>
      <c r="G86" s="9">
        <v>42516</v>
      </c>
      <c r="H86" s="13">
        <v>42516</v>
      </c>
      <c r="I86" s="9">
        <v>42516</v>
      </c>
      <c r="J86" s="10">
        <v>-2913.12</v>
      </c>
      <c r="K86" s="18" t="str">
        <f t="shared" si="11"/>
        <v>0.00</v>
      </c>
      <c r="L86" s="16">
        <f t="shared" ca="1" si="12"/>
        <v>-2990</v>
      </c>
      <c r="M86" s="17">
        <f t="shared" si="13"/>
        <v>-2913.12</v>
      </c>
      <c r="N86" s="19">
        <f ca="1">IFERROR(IF(TODAY()-I86-8&lt;=0,"",TODAY()-I86-8)*leyenda!$A$8*J86,"0.00")</f>
        <v>-2735.0906448090732</v>
      </c>
      <c r="O86" s="14" t="s">
        <v>43</v>
      </c>
      <c r="P86" s="13">
        <f t="shared" ca="1" si="14"/>
        <v>45506</v>
      </c>
      <c r="Q86" s="8" t="str">
        <f ca="1">IF(L86&lt;=0,leyenda!$E$8,IF(L86&lt;=leyenda!$D$5,leyenda!$E$7,leyenda!$E$6))</f>
        <v>VENCIDO</v>
      </c>
      <c r="R86" s="8" t="str">
        <f t="shared" ca="1" si="15"/>
        <v>VENCIDO</v>
      </c>
      <c r="S86" s="8" t="s">
        <v>38</v>
      </c>
      <c r="T86" s="15"/>
      <c r="U86" s="8" t="str" cm="1">
        <f t="array" aca="1" ref="U86" ca="1">_xlfn.IFS(L86&gt;=leyenda!$J$6,leyenda!$I$6,L86&gt;=leyenda!$J$7,leyenda!$I$7,L86&gt;=leyenda!$J$8,leyenda!$I$8,L86&gt;=leyenda!$J$9,leyenda!$I$9,L86&gt;=leyenda!$J$10,leyenda!$I$10,L86&lt;=leyenda!$J$11,leyenda!$I$11)</f>
        <v>A6 DE 91 A MÁS DIAS</v>
      </c>
      <c r="V86" s="8" t="s">
        <v>286</v>
      </c>
      <c r="W86" s="8" t="s">
        <v>287</v>
      </c>
      <c r="X86" s="8" t="s">
        <v>53</v>
      </c>
      <c r="Y86" s="29" t="s">
        <v>288</v>
      </c>
      <c r="Z86" s="8"/>
    </row>
    <row r="87" spans="1:26" hidden="1" x14ac:dyDescent="0.25">
      <c r="A87" s="28" t="s">
        <v>301</v>
      </c>
      <c r="B87" s="8" t="s">
        <v>299</v>
      </c>
      <c r="C87" s="8" t="s">
        <v>43</v>
      </c>
      <c r="D87" s="8" t="s">
        <v>44</v>
      </c>
      <c r="E87" s="8" t="s">
        <v>300</v>
      </c>
      <c r="F87" s="8" t="s">
        <v>80</v>
      </c>
      <c r="G87" s="9">
        <v>45405</v>
      </c>
      <c r="H87" s="13">
        <v>45405</v>
      </c>
      <c r="I87" s="9">
        <v>45405</v>
      </c>
      <c r="J87" s="10">
        <v>-7318.23</v>
      </c>
      <c r="K87" s="18" t="str">
        <f t="shared" si="11"/>
        <v>0.00</v>
      </c>
      <c r="L87" s="16">
        <f t="shared" ca="1" si="12"/>
        <v>-101</v>
      </c>
      <c r="M87" s="17">
        <f t="shared" si="13"/>
        <v>-7318.23</v>
      </c>
      <c r="N87" s="19">
        <f ca="1">IFERROR(IF(TODAY()-I87-8&lt;=0,"",TODAY()-I87-8)*leyenda!$A$8*J87,"0.00")</f>
        <v>-214.28645149595124</v>
      </c>
      <c r="O87" s="14" t="s">
        <v>43</v>
      </c>
      <c r="P87" s="13">
        <f t="shared" ca="1" si="14"/>
        <v>45506</v>
      </c>
      <c r="Q87" s="8" t="str">
        <f ca="1">IF(L87&lt;=0,leyenda!$E$8,IF(L87&lt;=leyenda!$D$5,leyenda!$E$7,leyenda!$E$6))</f>
        <v>VENCIDO</v>
      </c>
      <c r="R87" s="8" t="str">
        <f t="shared" ca="1" si="15"/>
        <v>VENCIDO</v>
      </c>
      <c r="S87" s="8" t="s">
        <v>38</v>
      </c>
      <c r="T87" s="15"/>
      <c r="U87" s="8" t="str" cm="1">
        <f t="array" aca="1" ref="U87" ca="1">_xlfn.IFS(L87&gt;=leyenda!$J$6,leyenda!$I$6,L87&gt;=leyenda!$J$7,leyenda!$I$7,L87&gt;=leyenda!$J$8,leyenda!$I$8,L87&gt;=leyenda!$J$9,leyenda!$I$9,L87&gt;=leyenda!$J$10,leyenda!$I$10,L87&lt;=leyenda!$J$11,leyenda!$I$11)</f>
        <v>A6 DE 91 A MÁS DIAS</v>
      </c>
      <c r="V87" s="8" t="s">
        <v>302</v>
      </c>
      <c r="W87" s="8"/>
      <c r="X87" s="8"/>
      <c r="Y87" s="29" t="s">
        <v>303</v>
      </c>
      <c r="Z87" s="8"/>
    </row>
    <row r="88" spans="1:26" hidden="1" x14ac:dyDescent="0.25">
      <c r="A88" s="28" t="s">
        <v>292</v>
      </c>
      <c r="B88" s="8" t="s">
        <v>289</v>
      </c>
      <c r="C88" s="8" t="s">
        <v>43</v>
      </c>
      <c r="D88" s="8" t="s">
        <v>290</v>
      </c>
      <c r="E88" s="8" t="s">
        <v>291</v>
      </c>
      <c r="F88" s="8" t="s">
        <v>80</v>
      </c>
      <c r="G88" s="9">
        <v>43734</v>
      </c>
      <c r="H88" s="13">
        <v>43734</v>
      </c>
      <c r="I88" s="9">
        <v>43734</v>
      </c>
      <c r="J88" s="10">
        <v>-139.47</v>
      </c>
      <c r="K88" s="18" t="str">
        <f t="shared" si="11"/>
        <v>0.00</v>
      </c>
      <c r="L88" s="16">
        <f t="shared" ca="1" si="12"/>
        <v>-1772</v>
      </c>
      <c r="M88" s="17">
        <f t="shared" si="13"/>
        <v>-139.47</v>
      </c>
      <c r="N88" s="19">
        <f ca="1">IFERROR(IF(TODAY()-I88-8&lt;=0,"",TODAY()-I88-8)*leyenda!$A$8*J88,"0.00")</f>
        <v>-77.461355376220709</v>
      </c>
      <c r="O88" s="14" t="s">
        <v>43</v>
      </c>
      <c r="P88" s="13">
        <f t="shared" ca="1" si="14"/>
        <v>45506</v>
      </c>
      <c r="Q88" s="8" t="str">
        <f ca="1">IF(L88&lt;=0,leyenda!$E$8,IF(L88&lt;=leyenda!$D$5,leyenda!$E$7,leyenda!$E$6))</f>
        <v>VENCIDO</v>
      </c>
      <c r="R88" s="8" t="str">
        <f t="shared" ca="1" si="15"/>
        <v>VENCIDO</v>
      </c>
      <c r="S88" s="8" t="s">
        <v>38</v>
      </c>
      <c r="T88" s="15"/>
      <c r="U88" s="8" t="str" cm="1">
        <f t="array" aca="1" ref="U88" ca="1">_xlfn.IFS(L88&gt;=leyenda!$J$6,leyenda!$I$6,L88&gt;=leyenda!$J$7,leyenda!$I$7,L88&gt;=leyenda!$J$8,leyenda!$I$8,L88&gt;=leyenda!$J$9,leyenda!$I$9,L88&gt;=leyenda!$J$10,leyenda!$I$10,L88&lt;=leyenda!$J$11,leyenda!$I$11)</f>
        <v>A6 DE 91 A MÁS DIAS</v>
      </c>
      <c r="V88" s="8" t="s">
        <v>293</v>
      </c>
      <c r="W88" s="8" t="s">
        <v>294</v>
      </c>
      <c r="X88" s="8" t="s">
        <v>295</v>
      </c>
      <c r="Y88" s="29" t="s">
        <v>296</v>
      </c>
      <c r="Z88" s="8"/>
    </row>
    <row r="89" spans="1:26" hidden="1" x14ac:dyDescent="0.25">
      <c r="A89" s="28" t="s">
        <v>292</v>
      </c>
      <c r="B89" s="8" t="s">
        <v>289</v>
      </c>
      <c r="C89" s="8" t="s">
        <v>43</v>
      </c>
      <c r="D89" s="8" t="s">
        <v>297</v>
      </c>
      <c r="E89" s="8" t="s">
        <v>298</v>
      </c>
      <c r="F89" s="8" t="s">
        <v>80</v>
      </c>
      <c r="G89" s="9">
        <v>43756</v>
      </c>
      <c r="H89" s="13">
        <v>43756</v>
      </c>
      <c r="I89" s="9">
        <v>43756</v>
      </c>
      <c r="J89" s="10">
        <v>-991.7</v>
      </c>
      <c r="K89" s="18" t="str">
        <f t="shared" si="11"/>
        <v>0.00</v>
      </c>
      <c r="L89" s="16">
        <f t="shared" ca="1" si="12"/>
        <v>-1750</v>
      </c>
      <c r="M89" s="17">
        <f t="shared" si="13"/>
        <v>-991.7</v>
      </c>
      <c r="N89" s="19">
        <f ca="1">IFERROR(IF(TODAY()-I89-8&lt;=0,"",TODAY()-I89-8)*leyenda!$A$8*J89,"0.00")</f>
        <v>-543.91893018603571</v>
      </c>
      <c r="O89" s="14" t="s">
        <v>43</v>
      </c>
      <c r="P89" s="13">
        <f t="shared" ca="1" si="14"/>
        <v>45506</v>
      </c>
      <c r="Q89" s="8" t="str">
        <f ca="1">IF(L89&lt;=0,leyenda!$E$8,IF(L89&lt;=leyenda!$D$5,leyenda!$E$7,leyenda!$E$6))</f>
        <v>VENCIDO</v>
      </c>
      <c r="R89" s="8" t="str">
        <f t="shared" ca="1" si="15"/>
        <v>VENCIDO</v>
      </c>
      <c r="S89" s="8" t="s">
        <v>38</v>
      </c>
      <c r="T89" s="15"/>
      <c r="U89" s="8" t="str" cm="1">
        <f t="array" aca="1" ref="U89" ca="1">_xlfn.IFS(L89&gt;=leyenda!$J$6,leyenda!$I$6,L89&gt;=leyenda!$J$7,leyenda!$I$7,L89&gt;=leyenda!$J$8,leyenda!$I$8,L89&gt;=leyenda!$J$9,leyenda!$I$9,L89&gt;=leyenda!$J$10,leyenda!$I$10,L89&lt;=leyenda!$J$11,leyenda!$I$11)</f>
        <v>A6 DE 91 A MÁS DIAS</v>
      </c>
      <c r="V89" s="8" t="s">
        <v>293</v>
      </c>
      <c r="W89" s="8" t="s">
        <v>294</v>
      </c>
      <c r="X89" s="8" t="s">
        <v>295</v>
      </c>
      <c r="Y89" s="29" t="s">
        <v>296</v>
      </c>
      <c r="Z89" s="8"/>
    </row>
    <row r="90" spans="1:26" x14ac:dyDescent="0.25">
      <c r="A90" s="28" t="s">
        <v>306</v>
      </c>
      <c r="B90" s="8" t="s">
        <v>304</v>
      </c>
      <c r="C90" s="8" t="s">
        <v>33</v>
      </c>
      <c r="D90" s="8" t="s">
        <v>305</v>
      </c>
      <c r="E90" s="8" t="s">
        <v>401</v>
      </c>
      <c r="F90" s="8" t="s">
        <v>307</v>
      </c>
      <c r="G90" s="9">
        <v>45289</v>
      </c>
      <c r="H90" s="13">
        <v>45308</v>
      </c>
      <c r="I90" s="9">
        <f>+H90+150</f>
        <v>45458</v>
      </c>
      <c r="J90" s="10">
        <v>90960.6</v>
      </c>
      <c r="K90" s="18">
        <f t="shared" ca="1" si="11"/>
        <v>1145.5631046776632</v>
      </c>
      <c r="L90" s="16">
        <f t="shared" ca="1" si="12"/>
        <v>-48</v>
      </c>
      <c r="M90" s="17">
        <f t="shared" ca="1" si="13"/>
        <v>92106.163104677675</v>
      </c>
      <c r="N90" s="19">
        <f ca="1">IFERROR(IF(TODAY()-I90-8&lt;=0,"",TODAY()-I90-8)*leyenda!$A$8*J90,"0.00")</f>
        <v>1145.5631046776632</v>
      </c>
      <c r="O90" s="13"/>
      <c r="P90" s="13">
        <f t="shared" ca="1" si="14"/>
        <v>45506</v>
      </c>
      <c r="Q90" s="8" t="str">
        <f ca="1">IF(L90&lt;=0,leyenda!$E$8,IF(L90&lt;=leyenda!$D$5,leyenda!$E$7,leyenda!$E$6))</f>
        <v>VENCIDO</v>
      </c>
      <c r="R90" s="8" t="str">
        <f t="shared" ca="1" si="15"/>
        <v>VENCIDO</v>
      </c>
      <c r="S90" s="8" t="s">
        <v>38</v>
      </c>
      <c r="T90" s="15"/>
      <c r="U90" s="8" t="str" cm="1">
        <f t="array" aca="1" ref="U90" ca="1">_xlfn.IFS(L90&gt;=leyenda!$J$6,leyenda!$I$6,L90&gt;=leyenda!$J$7,leyenda!$I$7,L90&gt;=leyenda!$J$8,leyenda!$I$8,L90&gt;=leyenda!$J$9,leyenda!$I$9,L90&gt;=leyenda!$J$10,leyenda!$I$10,L90&lt;=leyenda!$J$11,leyenda!$I$11)</f>
        <v>A4 DE 31 A 60 DIAS</v>
      </c>
      <c r="V90" s="8" t="s">
        <v>308</v>
      </c>
      <c r="W90" s="8"/>
      <c r="X90" s="8" t="s">
        <v>53</v>
      </c>
      <c r="Y90" s="29" t="s">
        <v>429</v>
      </c>
      <c r="Z90" s="8" t="s">
        <v>445</v>
      </c>
    </row>
    <row r="91" spans="1:26" hidden="1" x14ac:dyDescent="0.25">
      <c r="A91" s="28" t="s">
        <v>306</v>
      </c>
      <c r="B91" s="8" t="s">
        <v>304</v>
      </c>
      <c r="C91" s="8" t="s">
        <v>33</v>
      </c>
      <c r="D91" s="8" t="s">
        <v>310</v>
      </c>
      <c r="E91" s="8" t="s">
        <v>311</v>
      </c>
      <c r="F91" s="8" t="s">
        <v>309</v>
      </c>
      <c r="G91" s="9">
        <v>45421</v>
      </c>
      <c r="H91" s="13">
        <v>45433</v>
      </c>
      <c r="I91" s="9">
        <f>+H91+105</f>
        <v>45538</v>
      </c>
      <c r="J91" s="10">
        <v>124121.5</v>
      </c>
      <c r="K91" s="18" t="str">
        <f t="shared" ca="1" si="11"/>
        <v>0.00</v>
      </c>
      <c r="L91" s="16">
        <f t="shared" ca="1" si="12"/>
        <v>32</v>
      </c>
      <c r="M91" s="17">
        <f t="shared" ca="1" si="13"/>
        <v>124121.5</v>
      </c>
      <c r="N91" s="19" t="str">
        <f ca="1">IFERROR(IF(TODAY()-I91-8&lt;=0,"",TODAY()-I91-8)*leyenda!$A$8*J91,"0.00")</f>
        <v>0.00</v>
      </c>
      <c r="O91" s="13"/>
      <c r="P91" s="13">
        <f t="shared" ca="1" si="14"/>
        <v>45506</v>
      </c>
      <c r="Q91" s="8" t="str">
        <f ca="1">IF(L91&lt;=0,leyenda!$E$8,IF(L91&lt;=leyenda!$D$5,leyenda!$E$7,leyenda!$E$6))</f>
        <v>VIGENTE</v>
      </c>
      <c r="R91" s="8" t="str">
        <f t="shared" ca="1" si="15"/>
        <v>VIGENTE</v>
      </c>
      <c r="S91" s="8" t="s">
        <v>38</v>
      </c>
      <c r="T91" s="15"/>
      <c r="U91" s="8" t="str" cm="1">
        <f t="array" aca="1" ref="U91" ca="1">_xlfn.IFS(L91&gt;=leyenda!$J$6,leyenda!$I$6,L91&gt;=leyenda!$J$7,leyenda!$I$7,L91&gt;=leyenda!$J$8,leyenda!$I$8,L91&gt;=leyenda!$J$9,leyenda!$I$9,L91&gt;=leyenda!$J$10,leyenda!$I$10,L91&lt;=leyenda!$J$11,leyenda!$I$11)</f>
        <v>A1 VIGENTE</v>
      </c>
      <c r="V91" s="8" t="s">
        <v>308</v>
      </c>
      <c r="W91" s="8"/>
      <c r="X91" s="8" t="s">
        <v>53</v>
      </c>
      <c r="Y91" s="29" t="s">
        <v>429</v>
      </c>
      <c r="Z91" s="8"/>
    </row>
    <row r="92" spans="1:26" hidden="1" x14ac:dyDescent="0.25">
      <c r="A92" s="28" t="s">
        <v>306</v>
      </c>
      <c r="B92" s="8" t="s">
        <v>304</v>
      </c>
      <c r="C92" s="8" t="s">
        <v>33</v>
      </c>
      <c r="D92" s="8" t="s">
        <v>310</v>
      </c>
      <c r="E92" s="8" t="s">
        <v>311</v>
      </c>
      <c r="F92" s="8" t="s">
        <v>309</v>
      </c>
      <c r="G92" s="9">
        <v>45421</v>
      </c>
      <c r="H92" s="13">
        <v>45433</v>
      </c>
      <c r="I92" s="9">
        <f>+H92+120</f>
        <v>45553</v>
      </c>
      <c r="J92" s="10">
        <v>124121.5</v>
      </c>
      <c r="K92" s="18" t="str">
        <f t="shared" ca="1" si="11"/>
        <v>0.00</v>
      </c>
      <c r="L92" s="16">
        <f t="shared" ca="1" si="12"/>
        <v>47</v>
      </c>
      <c r="M92" s="17">
        <f t="shared" ca="1" si="13"/>
        <v>124121.5</v>
      </c>
      <c r="N92" s="19" t="str">
        <f ca="1">IFERROR(IF(TODAY()-I92-8&lt;=0,"",TODAY()-I92-8)*leyenda!$A$8*J92,"0.00")</f>
        <v>0.00</v>
      </c>
      <c r="O92" s="13"/>
      <c r="P92" s="13">
        <f t="shared" ca="1" si="14"/>
        <v>45506</v>
      </c>
      <c r="Q92" s="8" t="str">
        <f ca="1">IF(L92&lt;=0,leyenda!$E$8,IF(L92&lt;=leyenda!$D$5,leyenda!$E$7,leyenda!$E$6))</f>
        <v>VIGENTE</v>
      </c>
      <c r="R92" s="8" t="str">
        <f t="shared" ca="1" si="15"/>
        <v>VIGENTE</v>
      </c>
      <c r="S92" s="8" t="s">
        <v>38</v>
      </c>
      <c r="T92" s="15"/>
      <c r="U92" s="8" t="str" cm="1">
        <f t="array" aca="1" ref="U92" ca="1">_xlfn.IFS(L92&gt;=leyenda!$J$6,leyenda!$I$6,L92&gt;=leyenda!$J$7,leyenda!$I$7,L92&gt;=leyenda!$J$8,leyenda!$I$8,L92&gt;=leyenda!$J$9,leyenda!$I$9,L92&gt;=leyenda!$J$10,leyenda!$I$10,L92&lt;=leyenda!$J$11,leyenda!$I$11)</f>
        <v>A1 VIGENTE</v>
      </c>
      <c r="V92" s="8" t="s">
        <v>308</v>
      </c>
      <c r="W92" s="8"/>
      <c r="X92" s="8" t="s">
        <v>53</v>
      </c>
      <c r="Y92" s="29" t="s">
        <v>429</v>
      </c>
      <c r="Z92" s="8"/>
    </row>
    <row r="93" spans="1:26" x14ac:dyDescent="0.25">
      <c r="A93" s="28" t="s">
        <v>306</v>
      </c>
      <c r="B93" s="8" t="s">
        <v>304</v>
      </c>
      <c r="C93" s="8" t="s">
        <v>33</v>
      </c>
      <c r="D93" s="8" t="s">
        <v>362</v>
      </c>
      <c r="E93" s="8" t="s">
        <v>37</v>
      </c>
      <c r="F93" s="8" t="s">
        <v>309</v>
      </c>
      <c r="G93" s="9">
        <v>45503</v>
      </c>
      <c r="H93" s="9">
        <v>45503</v>
      </c>
      <c r="I93" s="9">
        <v>45503</v>
      </c>
      <c r="J93" s="10">
        <v>1914.37</v>
      </c>
      <c r="K93" s="18" t="str">
        <f t="shared" si="11"/>
        <v>0.00</v>
      </c>
      <c r="L93" s="16">
        <f t="shared" ca="1" si="12"/>
        <v>-3</v>
      </c>
      <c r="M93" s="17">
        <f t="shared" si="13"/>
        <v>1914.37</v>
      </c>
      <c r="N93" s="19" t="str">
        <f ca="1">IFERROR(IF(TODAY()-I93-8&lt;=0,"",TODAY()-I93-8)*leyenda!$A$8*J93,"0.00")</f>
        <v>0.00</v>
      </c>
      <c r="O93" s="13" t="s">
        <v>37</v>
      </c>
      <c r="P93" s="13">
        <f t="shared" ca="1" si="14"/>
        <v>45506</v>
      </c>
      <c r="Q93" s="8" t="str">
        <f ca="1">IF(L93&lt;=0,leyenda!$E$8,IF(L93&lt;=leyenda!$D$5,leyenda!$E$7,leyenda!$E$6))</f>
        <v>VENCIDO</v>
      </c>
      <c r="R93" s="8" t="str">
        <f t="shared" ca="1" si="15"/>
        <v>VENCIDO</v>
      </c>
      <c r="S93" s="8" t="s">
        <v>38</v>
      </c>
      <c r="T93" s="15"/>
      <c r="U93" s="8" t="str" cm="1">
        <f t="array" aca="1" ref="U93" ca="1">_xlfn.IFS(L93&gt;=leyenda!$J$6,leyenda!$I$6,L93&gt;=leyenda!$J$7,leyenda!$I$7,L93&gt;=leyenda!$J$8,leyenda!$I$8,L93&gt;=leyenda!$J$9,leyenda!$I$9,L93&gt;=leyenda!$J$10,leyenda!$I$10,L93&lt;=leyenda!$J$11,leyenda!$I$11)</f>
        <v>A2 DE 1 A 15 DIAS</v>
      </c>
      <c r="V93" s="8" t="s">
        <v>308</v>
      </c>
      <c r="W93" s="8"/>
      <c r="X93" s="8" t="s">
        <v>53</v>
      </c>
      <c r="Y93" s="29" t="s">
        <v>429</v>
      </c>
      <c r="Z93" s="8" t="s">
        <v>445</v>
      </c>
    </row>
    <row r="94" spans="1:26" ht="15" x14ac:dyDescent="0.25">
      <c r="A94" s="28" t="s">
        <v>306</v>
      </c>
      <c r="B94" s="8" t="s">
        <v>304</v>
      </c>
      <c r="C94" s="8" t="s">
        <v>33</v>
      </c>
      <c r="D94" s="8" t="s">
        <v>362</v>
      </c>
      <c r="E94" s="8" t="s">
        <v>37</v>
      </c>
      <c r="F94" s="8" t="s">
        <v>309</v>
      </c>
      <c r="G94" s="9">
        <v>45503</v>
      </c>
      <c r="H94" s="9">
        <v>45503</v>
      </c>
      <c r="I94" s="9">
        <v>45503</v>
      </c>
      <c r="J94" s="54">
        <v>105.92591082946646</v>
      </c>
      <c r="K94" s="18" t="str">
        <f t="shared" ref="K94" si="16">IFERROR(IF(O94,"0.00",N94),"0.00")</f>
        <v>0.00</v>
      </c>
      <c r="L94" s="16">
        <f t="shared" ref="L94" ca="1" si="17">+I94-P94</f>
        <v>-3</v>
      </c>
      <c r="M94" s="17">
        <f t="shared" ref="M94" si="18">+J94+K94</f>
        <v>105.92591082946646</v>
      </c>
      <c r="N94" s="19" t="str">
        <f ca="1">IFERROR(IF(TODAY()-I94-8&lt;=0,"",TODAY()-I94-8)*leyenda!$A$8*J94,"0.00")</f>
        <v>0.00</v>
      </c>
      <c r="O94" s="13" t="s">
        <v>37</v>
      </c>
      <c r="P94" s="13">
        <f t="shared" ref="P94" ca="1" si="19">TODAY()</f>
        <v>45506</v>
      </c>
      <c r="Q94" s="8" t="str">
        <f ca="1">IF(L94&lt;=0,leyenda!$E$8,IF(L94&lt;=leyenda!$D$5,leyenda!$E$7,leyenda!$E$6))</f>
        <v>VENCIDO</v>
      </c>
      <c r="R94" s="8" t="str">
        <f t="shared" ref="R94" ca="1" si="20">+Q94</f>
        <v>VENCIDO</v>
      </c>
      <c r="S94" s="8" t="s">
        <v>38</v>
      </c>
      <c r="T94" s="15"/>
      <c r="U94" s="8" t="str" cm="1">
        <f t="array" aca="1" ref="U94" ca="1">_xlfn.IFS(L94&gt;=leyenda!$J$6,leyenda!$I$6,L94&gt;=leyenda!$J$7,leyenda!$I$7,L94&gt;=leyenda!$J$8,leyenda!$I$8,L94&gt;=leyenda!$J$9,leyenda!$I$9,L94&gt;=leyenda!$J$10,leyenda!$I$10,L94&lt;=leyenda!$J$11,leyenda!$I$11)</f>
        <v>A2 DE 1 A 15 DIAS</v>
      </c>
      <c r="V94" s="8" t="s">
        <v>308</v>
      </c>
      <c r="W94" s="8"/>
      <c r="X94" s="8" t="s">
        <v>53</v>
      </c>
      <c r="Y94" s="29" t="s">
        <v>429</v>
      </c>
      <c r="Z94" s="8" t="s">
        <v>445</v>
      </c>
    </row>
    <row r="95" spans="1:26" hidden="1" x14ac:dyDescent="0.25">
      <c r="A95" s="28" t="s">
        <v>315</v>
      </c>
      <c r="B95" s="8" t="s">
        <v>312</v>
      </c>
      <c r="C95" s="8" t="s">
        <v>43</v>
      </c>
      <c r="D95" s="8" t="s">
        <v>313</v>
      </c>
      <c r="E95" s="8" t="s">
        <v>314</v>
      </c>
      <c r="F95" s="8" t="s">
        <v>45</v>
      </c>
      <c r="G95" s="9">
        <v>44256</v>
      </c>
      <c r="H95" s="13">
        <v>44256</v>
      </c>
      <c r="I95" s="9">
        <v>44256</v>
      </c>
      <c r="J95" s="10">
        <v>1914.37</v>
      </c>
      <c r="K95" s="18" t="str">
        <f t="shared" ref="K95:K118" si="21">IFERROR(IF(O95,"0.00",N95),"0.00")</f>
        <v>0.00</v>
      </c>
      <c r="L95" s="16">
        <f t="shared" ref="L95:L118" ca="1" si="22">+I95-P95</f>
        <v>-1250</v>
      </c>
      <c r="M95" s="17">
        <f t="shared" ref="M95:M118" si="23">+J95+K95</f>
        <v>1914.37</v>
      </c>
      <c r="N95" s="19">
        <f ca="1">IFERROR(IF(TODAY()-I95-8&lt;=0,"",TODAY()-I95-8)*leyenda!$A$8*J95,"0.00")</f>
        <v>748.60579683720425</v>
      </c>
      <c r="O95" s="14" t="s">
        <v>43</v>
      </c>
      <c r="P95" s="13">
        <f t="shared" ref="P95:P118" ca="1" si="24">TODAY()</f>
        <v>45506</v>
      </c>
      <c r="Q95" s="8" t="str">
        <f ca="1">IF(L95&lt;=0,leyenda!$E$8,IF(L95&lt;=leyenda!$D$5,leyenda!$E$7,leyenda!$E$6))</f>
        <v>VENCIDO</v>
      </c>
      <c r="R95" s="8" t="str">
        <f t="shared" ref="R95:R118" ca="1" si="25">+Q95</f>
        <v>VENCIDO</v>
      </c>
      <c r="S95" s="8" t="s">
        <v>38</v>
      </c>
      <c r="T95" s="15"/>
      <c r="U95" s="8" t="str" cm="1">
        <f t="array" aca="1" ref="U95" ca="1">_xlfn.IFS(L95&gt;=leyenda!$J$6,leyenda!$I$6,L95&gt;=leyenda!$J$7,leyenda!$I$7,L95&gt;=leyenda!$J$8,leyenda!$I$8,L95&gt;=leyenda!$J$9,leyenda!$I$9,L95&gt;=leyenda!$J$10,leyenda!$I$10,L95&lt;=leyenda!$J$11,leyenda!$I$11)</f>
        <v>A6 DE 91 A MÁS DIAS</v>
      </c>
      <c r="V95" s="8" t="s">
        <v>316</v>
      </c>
      <c r="W95" s="8" t="s">
        <v>53</v>
      </c>
      <c r="X95" s="8" t="s">
        <v>53</v>
      </c>
      <c r="Y95" s="29" t="s">
        <v>317</v>
      </c>
      <c r="Z95" s="8"/>
    </row>
    <row r="96" spans="1:26" hidden="1" x14ac:dyDescent="0.25">
      <c r="A96" s="28" t="s">
        <v>320</v>
      </c>
      <c r="B96" s="8" t="s">
        <v>318</v>
      </c>
      <c r="C96" s="8" t="s">
        <v>43</v>
      </c>
      <c r="D96" s="8" t="s">
        <v>44</v>
      </c>
      <c r="E96" s="8" t="s">
        <v>319</v>
      </c>
      <c r="F96" s="8" t="s">
        <v>39</v>
      </c>
      <c r="G96" s="9">
        <v>45308</v>
      </c>
      <c r="H96" s="13">
        <v>45308</v>
      </c>
      <c r="I96" s="9">
        <v>45308</v>
      </c>
      <c r="J96" s="10">
        <v>-21000.32</v>
      </c>
      <c r="K96" s="18" t="str">
        <f t="shared" si="21"/>
        <v>0.00</v>
      </c>
      <c r="L96" s="16">
        <f t="shared" ca="1" si="22"/>
        <v>-198</v>
      </c>
      <c r="M96" s="17">
        <f t="shared" si="23"/>
        <v>-21000.32</v>
      </c>
      <c r="N96" s="19">
        <f ca="1">IFERROR(IF(TODAY()-I96-8&lt;=0,"",TODAY()-I96-8)*leyenda!$A$8*J96,"0.00")</f>
        <v>-1256.2764641780727</v>
      </c>
      <c r="O96" s="14" t="s">
        <v>43</v>
      </c>
      <c r="P96" s="13">
        <f t="shared" ca="1" si="24"/>
        <v>45506</v>
      </c>
      <c r="Q96" s="8" t="str">
        <f ca="1">IF(L96&lt;=0,leyenda!$E$8,IF(L96&lt;=leyenda!$D$5,leyenda!$E$7,leyenda!$E$6))</f>
        <v>VENCIDO</v>
      </c>
      <c r="R96" s="8" t="str">
        <f t="shared" ca="1" si="25"/>
        <v>VENCIDO</v>
      </c>
      <c r="S96" s="8" t="s">
        <v>38</v>
      </c>
      <c r="T96" s="15"/>
      <c r="U96" s="8" t="str" cm="1">
        <f t="array" aca="1" ref="U96" ca="1">_xlfn.IFS(L96&gt;=leyenda!$J$6,leyenda!$I$6,L96&gt;=leyenda!$J$7,leyenda!$I$7,L96&gt;=leyenda!$J$8,leyenda!$I$8,L96&gt;=leyenda!$J$9,leyenda!$I$9,L96&gt;=leyenda!$J$10,leyenda!$I$10,L96&lt;=leyenda!$J$11,leyenda!$I$11)</f>
        <v>A6 DE 91 A MÁS DIAS</v>
      </c>
      <c r="V96" s="8" t="s">
        <v>321</v>
      </c>
      <c r="W96" s="8" t="s">
        <v>53</v>
      </c>
      <c r="X96" s="8" t="s">
        <v>53</v>
      </c>
      <c r="Y96" s="29" t="s">
        <v>427</v>
      </c>
      <c r="Z96" s="8"/>
    </row>
    <row r="97" spans="1:26" x14ac:dyDescent="0.25">
      <c r="A97" s="28" t="s">
        <v>320</v>
      </c>
      <c r="B97" s="8" t="s">
        <v>318</v>
      </c>
      <c r="C97" s="8" t="s">
        <v>33</v>
      </c>
      <c r="D97" s="8" t="s">
        <v>396</v>
      </c>
      <c r="E97" s="8" t="s">
        <v>37</v>
      </c>
      <c r="F97" s="8" t="s">
        <v>39</v>
      </c>
      <c r="G97" s="9">
        <v>45476</v>
      </c>
      <c r="H97" s="13">
        <v>45476</v>
      </c>
      <c r="I97" s="9">
        <v>45476</v>
      </c>
      <c r="J97" s="10">
        <v>57.15</v>
      </c>
      <c r="K97" s="18" t="str">
        <f t="shared" si="21"/>
        <v>0.00</v>
      </c>
      <c r="L97" s="16">
        <f t="shared" ca="1" si="22"/>
        <v>-30</v>
      </c>
      <c r="M97" s="17">
        <f t="shared" si="23"/>
        <v>57.15</v>
      </c>
      <c r="N97" s="19">
        <f ca="1">IFERROR(IF(TODAY()-I97-8&lt;=0,"",TODAY()-I97-8)*leyenda!$A$8*J97,"0.00")</f>
        <v>0.39586273933747845</v>
      </c>
      <c r="O97" s="13" t="s">
        <v>37</v>
      </c>
      <c r="P97" s="13">
        <f t="shared" ca="1" si="24"/>
        <v>45506</v>
      </c>
      <c r="Q97" s="8" t="str">
        <f ca="1">IF(L97&lt;=0,leyenda!$E$8,IF(L97&lt;=leyenda!$D$5,leyenda!$E$7,leyenda!$E$6))</f>
        <v>VENCIDO</v>
      </c>
      <c r="R97" s="8" t="str">
        <f t="shared" ca="1" si="25"/>
        <v>VENCIDO</v>
      </c>
      <c r="S97" s="8" t="s">
        <v>38</v>
      </c>
      <c r="T97" s="15"/>
      <c r="U97" s="8" t="str" cm="1">
        <f t="array" aca="1" ref="U97" ca="1">_xlfn.IFS(L97&gt;=leyenda!$J$6,leyenda!$I$6,L97&gt;=leyenda!$J$7,leyenda!$I$7,L97&gt;=leyenda!$J$8,leyenda!$I$8,L97&gt;=leyenda!$J$9,leyenda!$I$9,L97&gt;=leyenda!$J$10,leyenda!$I$10,L97&lt;=leyenda!$J$11,leyenda!$I$11)</f>
        <v>A3 DE 16 A 30 DIAS</v>
      </c>
      <c r="V97" s="8" t="s">
        <v>321</v>
      </c>
      <c r="W97" s="8"/>
      <c r="X97" s="8"/>
      <c r="Y97" s="29" t="s">
        <v>427</v>
      </c>
      <c r="Z97" s="8" t="s">
        <v>446</v>
      </c>
    </row>
    <row r="98" spans="1:26" x14ac:dyDescent="0.25">
      <c r="A98" s="28" t="s">
        <v>320</v>
      </c>
      <c r="B98" s="8" t="s">
        <v>318</v>
      </c>
      <c r="C98" s="8" t="s">
        <v>33</v>
      </c>
      <c r="D98" s="8" t="s">
        <v>322</v>
      </c>
      <c r="E98" s="8" t="s">
        <v>37</v>
      </c>
      <c r="F98" s="8" t="s">
        <v>39</v>
      </c>
      <c r="G98" s="9">
        <v>45443</v>
      </c>
      <c r="H98" s="13">
        <v>45443</v>
      </c>
      <c r="I98" s="9">
        <v>45443</v>
      </c>
      <c r="J98" s="10">
        <v>11.46</v>
      </c>
      <c r="K98" s="18" t="str">
        <f t="shared" si="21"/>
        <v>0.00</v>
      </c>
      <c r="L98" s="16">
        <f t="shared" ca="1" si="22"/>
        <v>-63</v>
      </c>
      <c r="M98" s="17">
        <f t="shared" si="23"/>
        <v>11.46</v>
      </c>
      <c r="N98" s="19">
        <f ca="1">IFERROR(IF(TODAY()-I98-8&lt;=0,"",TODAY()-I98-8)*leyenda!$A$8*J98,"0.00")</f>
        <v>0.1984508745760063</v>
      </c>
      <c r="O98" s="13" t="s">
        <v>37</v>
      </c>
      <c r="P98" s="13">
        <f t="shared" ca="1" si="24"/>
        <v>45506</v>
      </c>
      <c r="Q98" s="8" t="str">
        <f ca="1">IF(L98&lt;=0,leyenda!$E$8,IF(L98&lt;=leyenda!$D$5,leyenda!$E$7,leyenda!$E$6))</f>
        <v>VENCIDO</v>
      </c>
      <c r="R98" s="8" t="str">
        <f t="shared" ca="1" si="25"/>
        <v>VENCIDO</v>
      </c>
      <c r="S98" s="8" t="s">
        <v>38</v>
      </c>
      <c r="T98" s="15"/>
      <c r="U98" s="8" t="str" cm="1">
        <f t="array" aca="1" ref="U98" ca="1">_xlfn.IFS(L98&gt;=leyenda!$J$6,leyenda!$I$6,L98&gt;=leyenda!$J$7,leyenda!$I$7,L98&gt;=leyenda!$J$8,leyenda!$I$8,L98&gt;=leyenda!$J$9,leyenda!$I$9,L98&gt;=leyenda!$J$10,leyenda!$I$10,L98&lt;=leyenda!$J$11,leyenda!$I$11)</f>
        <v>A5 DE 61 A 90 DIAS</v>
      </c>
      <c r="V98" s="8" t="s">
        <v>321</v>
      </c>
      <c r="W98" s="8"/>
      <c r="X98" s="8"/>
      <c r="Y98" s="29" t="s">
        <v>427</v>
      </c>
      <c r="Z98" s="8" t="s">
        <v>446</v>
      </c>
    </row>
    <row r="99" spans="1:26" x14ac:dyDescent="0.25">
      <c r="A99" s="28" t="s">
        <v>320</v>
      </c>
      <c r="B99" s="8" t="s">
        <v>318</v>
      </c>
      <c r="C99" s="8" t="s">
        <v>33</v>
      </c>
      <c r="D99" s="8" t="s">
        <v>323</v>
      </c>
      <c r="E99" s="8" t="s">
        <v>37</v>
      </c>
      <c r="F99" s="8" t="s">
        <v>39</v>
      </c>
      <c r="G99" s="9">
        <v>45448</v>
      </c>
      <c r="H99" s="9">
        <v>45448</v>
      </c>
      <c r="I99" s="9">
        <v>45448</v>
      </c>
      <c r="J99" s="10">
        <v>40.93</v>
      </c>
      <c r="K99" s="18" t="str">
        <f t="shared" si="21"/>
        <v>0.00</v>
      </c>
      <c r="L99" s="16">
        <f t="shared" ca="1" si="22"/>
        <v>-58</v>
      </c>
      <c r="M99" s="17">
        <f t="shared" si="23"/>
        <v>40.93</v>
      </c>
      <c r="N99" s="19">
        <f ca="1">IFERROR(IF(TODAY()-I99-8&lt;=0,"",TODAY()-I99-8)*leyenda!$A$8*J99,"0.00")</f>
        <v>0.6443435107405947</v>
      </c>
      <c r="O99" s="13" t="s">
        <v>37</v>
      </c>
      <c r="P99" s="13">
        <f t="shared" ca="1" si="24"/>
        <v>45506</v>
      </c>
      <c r="Q99" s="8" t="str">
        <f ca="1">IF(L99&lt;=0,leyenda!$E$8,IF(L99&lt;=leyenda!$D$5,leyenda!$E$7,leyenda!$E$6))</f>
        <v>VENCIDO</v>
      </c>
      <c r="R99" s="8" t="str">
        <f t="shared" ca="1" si="25"/>
        <v>VENCIDO</v>
      </c>
      <c r="S99" s="8" t="s">
        <v>38</v>
      </c>
      <c r="T99" s="15"/>
      <c r="U99" s="8" t="str" cm="1">
        <f t="array" aca="1" ref="U99" ca="1">_xlfn.IFS(L99&gt;=leyenda!$J$6,leyenda!$I$6,L99&gt;=leyenda!$J$7,leyenda!$I$7,L99&gt;=leyenda!$J$8,leyenda!$I$8,L99&gt;=leyenda!$J$9,leyenda!$I$9,L99&gt;=leyenda!$J$10,leyenda!$I$10,L99&lt;=leyenda!$J$11,leyenda!$I$11)</f>
        <v>A4 DE 31 A 60 DIAS</v>
      </c>
      <c r="V99" s="8" t="s">
        <v>321</v>
      </c>
      <c r="W99" s="8"/>
      <c r="X99" s="8"/>
      <c r="Y99" s="29" t="s">
        <v>427</v>
      </c>
      <c r="Z99" s="8" t="s">
        <v>446</v>
      </c>
    </row>
    <row r="100" spans="1:26" x14ac:dyDescent="0.25">
      <c r="A100" s="28" t="s">
        <v>320</v>
      </c>
      <c r="B100" s="8" t="s">
        <v>318</v>
      </c>
      <c r="C100" s="8" t="s">
        <v>33</v>
      </c>
      <c r="D100" s="8" t="s">
        <v>324</v>
      </c>
      <c r="E100" s="8" t="s">
        <v>37</v>
      </c>
      <c r="F100" s="8" t="s">
        <v>39</v>
      </c>
      <c r="G100" s="9">
        <v>45448</v>
      </c>
      <c r="H100" s="9">
        <v>45448</v>
      </c>
      <c r="I100" s="9">
        <v>45448</v>
      </c>
      <c r="J100" s="10">
        <v>44.08</v>
      </c>
      <c r="K100" s="18" t="str">
        <f t="shared" si="21"/>
        <v>0.00</v>
      </c>
      <c r="L100" s="16">
        <f t="shared" ca="1" si="22"/>
        <v>-58</v>
      </c>
      <c r="M100" s="17">
        <f t="shared" si="23"/>
        <v>44.08</v>
      </c>
      <c r="N100" s="19">
        <f ca="1">IFERROR(IF(TODAY()-I100-8&lt;=0,"",TODAY()-I100-8)*leyenda!$A$8*J100,"0.00")</f>
        <v>0.69393261552517504</v>
      </c>
      <c r="O100" s="13" t="s">
        <v>37</v>
      </c>
      <c r="P100" s="13">
        <f t="shared" ca="1" si="24"/>
        <v>45506</v>
      </c>
      <c r="Q100" s="8" t="str">
        <f ca="1">IF(L100&lt;=0,leyenda!$E$8,IF(L100&lt;=leyenda!$D$5,leyenda!$E$7,leyenda!$E$6))</f>
        <v>VENCIDO</v>
      </c>
      <c r="R100" s="8" t="str">
        <f t="shared" ca="1" si="25"/>
        <v>VENCIDO</v>
      </c>
      <c r="S100" s="8" t="s">
        <v>38</v>
      </c>
      <c r="T100" s="15"/>
      <c r="U100" s="8" t="str" cm="1">
        <f t="array" aca="1" ref="U100" ca="1">_xlfn.IFS(L100&gt;=leyenda!$J$6,leyenda!$I$6,L100&gt;=leyenda!$J$7,leyenda!$I$7,L100&gt;=leyenda!$J$8,leyenda!$I$8,L100&gt;=leyenda!$J$9,leyenda!$I$9,L100&gt;=leyenda!$J$10,leyenda!$I$10,L100&lt;=leyenda!$J$11,leyenda!$I$11)</f>
        <v>A4 DE 31 A 60 DIAS</v>
      </c>
      <c r="V100" s="8" t="s">
        <v>321</v>
      </c>
      <c r="W100" s="8"/>
      <c r="X100" s="8"/>
      <c r="Y100" s="29" t="s">
        <v>427</v>
      </c>
      <c r="Z100" s="8" t="s">
        <v>446</v>
      </c>
    </row>
    <row r="101" spans="1:26" x14ac:dyDescent="0.25">
      <c r="A101" s="28" t="s">
        <v>320</v>
      </c>
      <c r="B101" s="8" t="s">
        <v>318</v>
      </c>
      <c r="C101" s="8" t="s">
        <v>33</v>
      </c>
      <c r="D101" s="8" t="s">
        <v>361</v>
      </c>
      <c r="E101" s="8" t="s">
        <v>37</v>
      </c>
      <c r="F101" s="8" t="s">
        <v>39</v>
      </c>
      <c r="G101" s="9">
        <v>45449</v>
      </c>
      <c r="H101" s="9">
        <v>45449</v>
      </c>
      <c r="I101" s="9">
        <v>45449</v>
      </c>
      <c r="J101" s="10">
        <v>44.08</v>
      </c>
      <c r="K101" s="18" t="str">
        <f t="shared" si="21"/>
        <v>0.00</v>
      </c>
      <c r="L101" s="16">
        <f t="shared" ca="1" si="22"/>
        <v>-57</v>
      </c>
      <c r="M101" s="17">
        <f t="shared" si="23"/>
        <v>44.08</v>
      </c>
      <c r="N101" s="19">
        <f ca="1">IFERROR(IF(TODAY()-I101-8&lt;=0,"",TODAY()-I101-8)*leyenda!$A$8*J101,"0.00")</f>
        <v>0.68005396321467149</v>
      </c>
      <c r="O101" s="13" t="s">
        <v>37</v>
      </c>
      <c r="P101" s="13">
        <f t="shared" ca="1" si="24"/>
        <v>45506</v>
      </c>
      <c r="Q101" s="8" t="str">
        <f ca="1">IF(L101&lt;=0,leyenda!$E$8,IF(L101&lt;=leyenda!$D$5,leyenda!$E$7,leyenda!$E$6))</f>
        <v>VENCIDO</v>
      </c>
      <c r="R101" s="8" t="str">
        <f t="shared" ca="1" si="25"/>
        <v>VENCIDO</v>
      </c>
      <c r="S101" s="8" t="s">
        <v>38</v>
      </c>
      <c r="T101" s="15"/>
      <c r="U101" s="8" t="str" cm="1">
        <f t="array" aca="1" ref="U101" ca="1">_xlfn.IFS(L101&gt;=leyenda!$J$6,leyenda!$I$6,L101&gt;=leyenda!$J$7,leyenda!$I$7,L101&gt;=leyenda!$J$8,leyenda!$I$8,L101&gt;=leyenda!$J$9,leyenda!$I$9,L101&gt;=leyenda!$J$10,leyenda!$I$10,L101&lt;=leyenda!$J$11,leyenda!$I$11)</f>
        <v>A4 DE 31 A 60 DIAS</v>
      </c>
      <c r="V101" s="8" t="s">
        <v>321</v>
      </c>
      <c r="W101" s="8"/>
      <c r="X101" s="8"/>
      <c r="Y101" s="29" t="s">
        <v>427</v>
      </c>
      <c r="Z101" s="8" t="s">
        <v>446</v>
      </c>
    </row>
    <row r="102" spans="1:26" x14ac:dyDescent="0.25">
      <c r="A102" s="28" t="s">
        <v>320</v>
      </c>
      <c r="B102" s="8" t="s">
        <v>318</v>
      </c>
      <c r="C102" s="8" t="s">
        <v>33</v>
      </c>
      <c r="D102" s="8" t="s">
        <v>363</v>
      </c>
      <c r="E102" s="8" t="s">
        <v>37</v>
      </c>
      <c r="F102" s="8" t="s">
        <v>39</v>
      </c>
      <c r="G102" s="9">
        <v>45454</v>
      </c>
      <c r="H102" s="9">
        <v>45454</v>
      </c>
      <c r="I102" s="9">
        <v>45454</v>
      </c>
      <c r="J102" s="10">
        <v>47.23</v>
      </c>
      <c r="K102" s="18" t="str">
        <f t="shared" si="21"/>
        <v>0.00</v>
      </c>
      <c r="L102" s="16">
        <f t="shared" ca="1" si="22"/>
        <v>-52</v>
      </c>
      <c r="M102" s="17">
        <f t="shared" si="23"/>
        <v>47.23</v>
      </c>
      <c r="N102" s="19">
        <f ca="1">IFERROR(IF(TODAY()-I102-8&lt;=0,"",TODAY()-I102-8)*leyenda!$A$8*J102,"0.00")</f>
        <v>0.65429911387258466</v>
      </c>
      <c r="O102" s="13" t="s">
        <v>37</v>
      </c>
      <c r="P102" s="13">
        <f t="shared" ca="1" si="24"/>
        <v>45506</v>
      </c>
      <c r="Q102" s="8" t="str">
        <f ca="1">IF(L102&lt;=0,leyenda!$E$8,IF(L102&lt;=leyenda!$D$5,leyenda!$E$7,leyenda!$E$6))</f>
        <v>VENCIDO</v>
      </c>
      <c r="R102" s="8" t="str">
        <f t="shared" ca="1" si="25"/>
        <v>VENCIDO</v>
      </c>
      <c r="S102" s="8" t="s">
        <v>38</v>
      </c>
      <c r="T102" s="15"/>
      <c r="U102" s="8" t="str" cm="1">
        <f t="array" aca="1" ref="U102" ca="1">_xlfn.IFS(L102&gt;=leyenda!$J$6,leyenda!$I$6,L102&gt;=leyenda!$J$7,leyenda!$I$7,L102&gt;=leyenda!$J$8,leyenda!$I$8,L102&gt;=leyenda!$J$9,leyenda!$I$9,L102&gt;=leyenda!$J$10,leyenda!$I$10,L102&lt;=leyenda!$J$11,leyenda!$I$11)</f>
        <v>A4 DE 31 A 60 DIAS</v>
      </c>
      <c r="V102" s="8" t="s">
        <v>321</v>
      </c>
      <c r="W102" s="8"/>
      <c r="X102" s="8"/>
      <c r="Y102" s="29" t="s">
        <v>427</v>
      </c>
      <c r="Z102" s="8" t="s">
        <v>446</v>
      </c>
    </row>
    <row r="103" spans="1:26" x14ac:dyDescent="0.25">
      <c r="A103" s="28" t="s">
        <v>320</v>
      </c>
      <c r="B103" s="8" t="s">
        <v>318</v>
      </c>
      <c r="C103" s="8" t="s">
        <v>33</v>
      </c>
      <c r="D103" s="8" t="s">
        <v>364</v>
      </c>
      <c r="E103" s="8" t="s">
        <v>37</v>
      </c>
      <c r="F103" s="8" t="s">
        <v>39</v>
      </c>
      <c r="G103" s="9">
        <v>45454</v>
      </c>
      <c r="H103" s="9">
        <v>45454</v>
      </c>
      <c r="I103" s="9">
        <v>45454</v>
      </c>
      <c r="J103" s="10">
        <v>62.97</v>
      </c>
      <c r="K103" s="18" t="str">
        <f t="shared" si="21"/>
        <v>0.00</v>
      </c>
      <c r="L103" s="16">
        <f t="shared" ca="1" si="22"/>
        <v>-52</v>
      </c>
      <c r="M103" s="17">
        <f t="shared" si="23"/>
        <v>62.97</v>
      </c>
      <c r="N103" s="19">
        <f ca="1">IFERROR(IF(TODAY()-I103-8&lt;=0,"",TODAY()-I103-8)*leyenda!$A$8*J103,"0.00")</f>
        <v>0.87235264028280035</v>
      </c>
      <c r="O103" s="13" t="s">
        <v>37</v>
      </c>
      <c r="P103" s="13">
        <f t="shared" ca="1" si="24"/>
        <v>45506</v>
      </c>
      <c r="Q103" s="8" t="str">
        <f ca="1">IF(L103&lt;=0,leyenda!$E$8,IF(L103&lt;=leyenda!$D$5,leyenda!$E$7,leyenda!$E$6))</f>
        <v>VENCIDO</v>
      </c>
      <c r="R103" s="8" t="str">
        <f t="shared" ca="1" si="25"/>
        <v>VENCIDO</v>
      </c>
      <c r="S103" s="8" t="s">
        <v>38</v>
      </c>
      <c r="T103" s="15"/>
      <c r="U103" s="8" t="str" cm="1">
        <f t="array" aca="1" ref="U103" ca="1">_xlfn.IFS(L103&gt;=leyenda!$J$6,leyenda!$I$6,L103&gt;=leyenda!$J$7,leyenda!$I$7,L103&gt;=leyenda!$J$8,leyenda!$I$8,L103&gt;=leyenda!$J$9,leyenda!$I$9,L103&gt;=leyenda!$J$10,leyenda!$I$10,L103&lt;=leyenda!$J$11,leyenda!$I$11)</f>
        <v>A4 DE 31 A 60 DIAS</v>
      </c>
      <c r="V103" s="8" t="s">
        <v>321</v>
      </c>
      <c r="W103" s="8"/>
      <c r="X103" s="8"/>
      <c r="Y103" s="29" t="s">
        <v>427</v>
      </c>
      <c r="Z103" s="8" t="s">
        <v>446</v>
      </c>
    </row>
    <row r="104" spans="1:26" x14ac:dyDescent="0.25">
      <c r="A104" s="28" t="s">
        <v>320</v>
      </c>
      <c r="B104" s="8" t="s">
        <v>318</v>
      </c>
      <c r="C104" s="8" t="s">
        <v>33</v>
      </c>
      <c r="D104" s="8" t="s">
        <v>365</v>
      </c>
      <c r="E104" s="8" t="s">
        <v>37</v>
      </c>
      <c r="F104" s="8" t="s">
        <v>39</v>
      </c>
      <c r="G104" s="9">
        <v>45461</v>
      </c>
      <c r="H104" s="9">
        <v>45461</v>
      </c>
      <c r="I104" s="9">
        <v>45461</v>
      </c>
      <c r="J104" s="10">
        <v>66.12</v>
      </c>
      <c r="K104" s="18" t="str">
        <f t="shared" si="21"/>
        <v>0.00</v>
      </c>
      <c r="L104" s="16">
        <f t="shared" ca="1" si="22"/>
        <v>-45</v>
      </c>
      <c r="M104" s="17">
        <f t="shared" si="23"/>
        <v>66.12</v>
      </c>
      <c r="N104" s="19">
        <f ca="1">IFERROR(IF(TODAY()-I104-8&lt;=0,"",TODAY()-I104-8)*leyenda!$A$8*J104,"0.00")</f>
        <v>0.77026520323294434</v>
      </c>
      <c r="O104" s="13" t="s">
        <v>37</v>
      </c>
      <c r="P104" s="13">
        <f t="shared" ca="1" si="24"/>
        <v>45506</v>
      </c>
      <c r="Q104" s="8" t="str">
        <f ca="1">IF(L104&lt;=0,leyenda!$E$8,IF(L104&lt;=leyenda!$D$5,leyenda!$E$7,leyenda!$E$6))</f>
        <v>VENCIDO</v>
      </c>
      <c r="R104" s="8" t="str">
        <f t="shared" ca="1" si="25"/>
        <v>VENCIDO</v>
      </c>
      <c r="S104" s="8" t="s">
        <v>38</v>
      </c>
      <c r="T104" s="15"/>
      <c r="U104" s="8" t="str" cm="1">
        <f t="array" aca="1" ref="U104" ca="1">_xlfn.IFS(L104&gt;=leyenda!$J$6,leyenda!$I$6,L104&gt;=leyenda!$J$7,leyenda!$I$7,L104&gt;=leyenda!$J$8,leyenda!$I$8,L104&gt;=leyenda!$J$9,leyenda!$I$9,L104&gt;=leyenda!$J$10,leyenda!$I$10,L104&lt;=leyenda!$J$11,leyenda!$I$11)</f>
        <v>A4 DE 31 A 60 DIAS</v>
      </c>
      <c r="V104" s="8" t="s">
        <v>321</v>
      </c>
      <c r="W104" s="8"/>
      <c r="X104" s="8"/>
      <c r="Y104" s="29" t="s">
        <v>427</v>
      </c>
      <c r="Z104" s="8" t="s">
        <v>446</v>
      </c>
    </row>
    <row r="105" spans="1:26" x14ac:dyDescent="0.25">
      <c r="A105" s="28" t="s">
        <v>320</v>
      </c>
      <c r="B105" s="8" t="s">
        <v>318</v>
      </c>
      <c r="C105" s="8" t="s">
        <v>33</v>
      </c>
      <c r="D105" s="8" t="s">
        <v>390</v>
      </c>
      <c r="E105" s="8" t="s">
        <v>37</v>
      </c>
      <c r="F105" s="8" t="s">
        <v>39</v>
      </c>
      <c r="G105" s="9">
        <v>45463</v>
      </c>
      <c r="H105" s="9">
        <v>45463</v>
      </c>
      <c r="I105" s="9">
        <v>45463</v>
      </c>
      <c r="J105" s="10">
        <v>290.38</v>
      </c>
      <c r="K105" s="18" t="str">
        <f t="shared" si="21"/>
        <v>0.00</v>
      </c>
      <c r="L105" s="16">
        <f t="shared" ca="1" si="22"/>
        <v>-43</v>
      </c>
      <c r="M105" s="17">
        <f t="shared" si="23"/>
        <v>290.38</v>
      </c>
      <c r="N105" s="19">
        <f ca="1">IFERROR(IF(TODAY()-I105-8&lt;=0,"",TODAY()-I105-8)*leyenda!$A$8*J105,"0.00")</f>
        <v>3.1999298327436532</v>
      </c>
      <c r="O105" s="13" t="s">
        <v>37</v>
      </c>
      <c r="P105" s="13">
        <f t="shared" ca="1" si="24"/>
        <v>45506</v>
      </c>
      <c r="Q105" s="8" t="str">
        <f ca="1">IF(L105&lt;=0,leyenda!$E$8,IF(L105&lt;=leyenda!$D$5,leyenda!$E$7,leyenda!$E$6))</f>
        <v>VENCIDO</v>
      </c>
      <c r="R105" s="8" t="str">
        <f t="shared" ca="1" si="25"/>
        <v>VENCIDO</v>
      </c>
      <c r="S105" s="8" t="s">
        <v>38</v>
      </c>
      <c r="T105" s="15"/>
      <c r="U105" s="8" t="str" cm="1">
        <f t="array" aca="1" ref="U105" ca="1">_xlfn.IFS(L105&gt;=leyenda!$J$6,leyenda!$I$6,L105&gt;=leyenda!$J$7,leyenda!$I$7,L105&gt;=leyenda!$J$8,leyenda!$I$8,L105&gt;=leyenda!$J$9,leyenda!$I$9,L105&gt;=leyenda!$J$10,leyenda!$I$10,L105&lt;=leyenda!$J$11,leyenda!$I$11)</f>
        <v>A4 DE 31 A 60 DIAS</v>
      </c>
      <c r="V105" s="8" t="s">
        <v>321</v>
      </c>
      <c r="W105" s="8"/>
      <c r="X105" s="8"/>
      <c r="Y105" s="29" t="s">
        <v>427</v>
      </c>
      <c r="Z105" s="8" t="s">
        <v>446</v>
      </c>
    </row>
    <row r="106" spans="1:26" hidden="1" x14ac:dyDescent="0.25">
      <c r="A106" s="28" t="s">
        <v>320</v>
      </c>
      <c r="B106" s="8" t="s">
        <v>318</v>
      </c>
      <c r="C106" s="8" t="s">
        <v>33</v>
      </c>
      <c r="D106" s="8" t="s">
        <v>415</v>
      </c>
      <c r="E106" s="8" t="s">
        <v>416</v>
      </c>
      <c r="F106" s="8" t="s">
        <v>418</v>
      </c>
      <c r="G106" s="9">
        <v>45477</v>
      </c>
      <c r="H106" s="9">
        <v>45477</v>
      </c>
      <c r="I106" s="9">
        <f>+BB_CXC_IN[[#This Row],[F. Embarque]]+105</f>
        <v>45582</v>
      </c>
      <c r="J106" s="10">
        <v>188350.12</v>
      </c>
      <c r="K106" s="18" t="str">
        <f t="shared" si="21"/>
        <v>0.00</v>
      </c>
      <c r="L106" s="16">
        <f t="shared" ca="1" si="22"/>
        <v>76</v>
      </c>
      <c r="M106" s="17">
        <f t="shared" si="23"/>
        <v>188350.12</v>
      </c>
      <c r="N106" s="19" t="str">
        <f ca="1">IFERROR(IF(TODAY()-I106-8&lt;=0,"",TODAY()-I106-8)*leyenda!$A$8*J106,"0.00")</f>
        <v>0.00</v>
      </c>
      <c r="O106" s="13" t="s">
        <v>412</v>
      </c>
      <c r="P106" s="13">
        <f t="shared" ca="1" si="24"/>
        <v>45506</v>
      </c>
      <c r="Q106" s="8" t="str">
        <f ca="1">IF(L106&lt;=0,leyenda!$E$8,IF(L106&lt;=leyenda!$D$5,leyenda!$E$7,leyenda!$E$6))</f>
        <v>VIGENTE</v>
      </c>
      <c r="R106" s="8" t="str">
        <f t="shared" ca="1" si="25"/>
        <v>VIGENTE</v>
      </c>
      <c r="S106" s="8" t="s">
        <v>38</v>
      </c>
      <c r="T106" s="15"/>
      <c r="U106" s="8" t="str" cm="1">
        <f t="array" aca="1" ref="U106" ca="1">_xlfn.IFS(L106&gt;=leyenda!$J$6,leyenda!$I$6,L106&gt;=leyenda!$J$7,leyenda!$I$7,L106&gt;=leyenda!$J$8,leyenda!$I$8,L106&gt;=leyenda!$J$9,leyenda!$I$9,L106&gt;=leyenda!$J$10,leyenda!$I$10,L106&lt;=leyenda!$J$11,leyenda!$I$11)</f>
        <v>A1 VIGENTE</v>
      </c>
      <c r="V106" s="8" t="s">
        <v>321</v>
      </c>
      <c r="W106" s="8"/>
      <c r="X106" s="8"/>
      <c r="Y106" s="29" t="s">
        <v>427</v>
      </c>
      <c r="Z106" s="8"/>
    </row>
    <row r="107" spans="1:26" hidden="1" x14ac:dyDescent="0.25">
      <c r="A107" s="28" t="s">
        <v>320</v>
      </c>
      <c r="B107" s="8" t="s">
        <v>318</v>
      </c>
      <c r="C107" s="8" t="s">
        <v>33</v>
      </c>
      <c r="D107" s="8" t="s">
        <v>415</v>
      </c>
      <c r="E107" s="8" t="s">
        <v>416</v>
      </c>
      <c r="F107" s="8" t="s">
        <v>418</v>
      </c>
      <c r="G107" s="9">
        <v>45477</v>
      </c>
      <c r="H107" s="9">
        <v>45477</v>
      </c>
      <c r="I107" s="9">
        <f>+BB_CXC_IN[[#This Row],[F. Embarque]]+120</f>
        <v>45597</v>
      </c>
      <c r="J107" s="10">
        <v>188350.12</v>
      </c>
      <c r="K107" s="18" t="str">
        <f t="shared" si="21"/>
        <v>0.00</v>
      </c>
      <c r="L107" s="16">
        <f t="shared" ca="1" si="22"/>
        <v>91</v>
      </c>
      <c r="M107" s="17">
        <f t="shared" si="23"/>
        <v>188350.12</v>
      </c>
      <c r="N107" s="19" t="str">
        <f ca="1">IFERROR(IF(TODAY()-I107-8&lt;=0,"",TODAY()-I107-8)*leyenda!$A$8*J107,"0.00")</f>
        <v>0.00</v>
      </c>
      <c r="O107" s="13" t="s">
        <v>412</v>
      </c>
      <c r="P107" s="13">
        <f t="shared" ca="1" si="24"/>
        <v>45506</v>
      </c>
      <c r="Q107" s="8" t="str">
        <f ca="1">IF(L107&lt;=0,leyenda!$E$8,IF(L107&lt;=leyenda!$D$5,leyenda!$E$7,leyenda!$E$6))</f>
        <v>VIGENTE</v>
      </c>
      <c r="R107" s="8" t="str">
        <f t="shared" ca="1" si="25"/>
        <v>VIGENTE</v>
      </c>
      <c r="S107" s="8" t="s">
        <v>38</v>
      </c>
      <c r="T107" s="15"/>
      <c r="U107" s="8" t="str" cm="1">
        <f t="array" aca="1" ref="U107" ca="1">_xlfn.IFS(L107&gt;=leyenda!$J$6,leyenda!$I$6,L107&gt;=leyenda!$J$7,leyenda!$I$7,L107&gt;=leyenda!$J$8,leyenda!$I$8,L107&gt;=leyenda!$J$9,leyenda!$I$9,L107&gt;=leyenda!$J$10,leyenda!$I$10,L107&lt;=leyenda!$J$11,leyenda!$I$11)</f>
        <v>A1 VIGENTE</v>
      </c>
      <c r="V107" s="8" t="s">
        <v>321</v>
      </c>
      <c r="W107" s="8"/>
      <c r="X107" s="8"/>
      <c r="Y107" s="29" t="s">
        <v>427</v>
      </c>
      <c r="Z107" s="8"/>
    </row>
    <row r="108" spans="1:26" hidden="1" x14ac:dyDescent="0.25">
      <c r="A108" s="28" t="s">
        <v>320</v>
      </c>
      <c r="B108" s="8" t="s">
        <v>318</v>
      </c>
      <c r="C108" s="8" t="s">
        <v>43</v>
      </c>
      <c r="D108" s="8" t="s">
        <v>44</v>
      </c>
      <c r="E108" s="8" t="s">
        <v>417</v>
      </c>
      <c r="F108" s="8" t="s">
        <v>39</v>
      </c>
      <c r="G108" s="9">
        <v>45463</v>
      </c>
      <c r="H108" s="9">
        <v>45463</v>
      </c>
      <c r="I108" s="9">
        <v>45463</v>
      </c>
      <c r="J108" s="10">
        <v>-69494.880000000005</v>
      </c>
      <c r="K108" s="18" t="str">
        <f t="shared" si="21"/>
        <v>0.00</v>
      </c>
      <c r="L108" s="16">
        <f t="shared" ca="1" si="22"/>
        <v>-43</v>
      </c>
      <c r="M108" s="17">
        <f t="shared" si="23"/>
        <v>-69494.880000000005</v>
      </c>
      <c r="N108" s="19">
        <f ca="1">IFERROR(IF(TODAY()-I108-8&lt;=0,"",TODAY()-I108-8)*leyenda!$A$8*J108,"0.00")</f>
        <v>-765.81975251374149</v>
      </c>
      <c r="O108" s="13" t="s">
        <v>43</v>
      </c>
      <c r="P108" s="13">
        <f t="shared" ca="1" si="24"/>
        <v>45506</v>
      </c>
      <c r="Q108" s="8" t="str">
        <f ca="1">IF(L108&lt;=0,leyenda!$E$8,IF(L108&lt;=leyenda!$D$5,leyenda!$E$7,leyenda!$E$6))</f>
        <v>VENCIDO</v>
      </c>
      <c r="R108" s="8" t="str">
        <f t="shared" ca="1" si="25"/>
        <v>VENCIDO</v>
      </c>
      <c r="S108" s="8" t="s">
        <v>38</v>
      </c>
      <c r="T108" s="15"/>
      <c r="U108" s="8" t="str" cm="1">
        <f t="array" aca="1" ref="U108" ca="1">_xlfn.IFS(L108&gt;=leyenda!$J$6,leyenda!$I$6,L108&gt;=leyenda!$J$7,leyenda!$I$7,L108&gt;=leyenda!$J$8,leyenda!$I$8,L108&gt;=leyenda!$J$9,leyenda!$I$9,L108&gt;=leyenda!$J$10,leyenda!$I$10,L108&lt;=leyenda!$J$11,leyenda!$I$11)</f>
        <v>A4 DE 31 A 60 DIAS</v>
      </c>
      <c r="V108" s="8" t="s">
        <v>321</v>
      </c>
      <c r="W108" s="8"/>
      <c r="X108" s="8"/>
      <c r="Y108" s="29" t="s">
        <v>427</v>
      </c>
      <c r="Z108" s="8"/>
    </row>
    <row r="109" spans="1:26" x14ac:dyDescent="0.25">
      <c r="A109" s="28" t="s">
        <v>326</v>
      </c>
      <c r="B109" s="8" t="s">
        <v>325</v>
      </c>
      <c r="C109" s="8" t="s">
        <v>33</v>
      </c>
      <c r="D109" s="8" t="s">
        <v>329</v>
      </c>
      <c r="E109" s="8" t="s">
        <v>398</v>
      </c>
      <c r="F109" s="8" t="s">
        <v>330</v>
      </c>
      <c r="G109" s="9">
        <v>45254</v>
      </c>
      <c r="H109" s="13">
        <v>45265</v>
      </c>
      <c r="I109" s="9">
        <f>+H109+105</f>
        <v>45370</v>
      </c>
      <c r="J109" s="53">
        <v>6.65</v>
      </c>
      <c r="K109" s="18">
        <f t="shared" ca="1" si="21"/>
        <v>0.26800156185799867</v>
      </c>
      <c r="L109" s="16">
        <f t="shared" ca="1" si="22"/>
        <v>-136</v>
      </c>
      <c r="M109" s="17">
        <f t="shared" ca="1" si="23"/>
        <v>6.9180015618579986</v>
      </c>
      <c r="N109" s="19">
        <f ca="1">IFERROR(IF(TODAY()-I109-8&lt;=0,"",TODAY()-I109-8)*leyenda!$A$8*J109,"0.00")</f>
        <v>0.26800156185799867</v>
      </c>
      <c r="O109" s="13"/>
      <c r="P109" s="13">
        <f t="shared" ca="1" si="24"/>
        <v>45506</v>
      </c>
      <c r="Q109" s="8" t="str">
        <f ca="1">IF(L109&lt;=0,leyenda!$E$8,IF(L109&lt;=leyenda!$D$5,leyenda!$E$7,leyenda!$E$6))</f>
        <v>VENCIDO</v>
      </c>
      <c r="R109" s="8" t="str">
        <f t="shared" ca="1" si="25"/>
        <v>VENCIDO</v>
      </c>
      <c r="S109" s="8" t="s">
        <v>38</v>
      </c>
      <c r="T109" s="15"/>
      <c r="U109" s="8" t="str" cm="1">
        <f t="array" aca="1" ref="U109" ca="1">_xlfn.IFS(L109&gt;=leyenda!$J$6,leyenda!$I$6,L109&gt;=leyenda!$J$7,leyenda!$I$7,L109&gt;=leyenda!$J$8,leyenda!$I$8,L109&gt;=leyenda!$J$9,leyenda!$I$9,L109&gt;=leyenda!$J$10,leyenda!$I$10,L109&lt;=leyenda!$J$11,leyenda!$I$11)</f>
        <v>A6 DE 91 A MÁS DIAS</v>
      </c>
      <c r="V109" s="8" t="s">
        <v>327</v>
      </c>
      <c r="W109" s="8" t="s">
        <v>328</v>
      </c>
      <c r="X109" s="8" t="s">
        <v>328</v>
      </c>
      <c r="Y109" s="29" t="s">
        <v>450</v>
      </c>
      <c r="Z109" s="8" t="s">
        <v>447</v>
      </c>
    </row>
    <row r="110" spans="1:26" x14ac:dyDescent="0.25">
      <c r="A110" s="28" t="s">
        <v>326</v>
      </c>
      <c r="B110" s="8" t="s">
        <v>325</v>
      </c>
      <c r="C110" s="8" t="s">
        <v>33</v>
      </c>
      <c r="D110" s="8" t="s">
        <v>329</v>
      </c>
      <c r="E110" s="8" t="s">
        <v>398</v>
      </c>
      <c r="F110" s="8" t="s">
        <v>330</v>
      </c>
      <c r="G110" s="9">
        <v>45254</v>
      </c>
      <c r="H110" s="13">
        <v>45265</v>
      </c>
      <c r="I110" s="9">
        <f>+H110+120</f>
        <v>45385</v>
      </c>
      <c r="J110" s="53">
        <v>106133</v>
      </c>
      <c r="K110" s="18">
        <f t="shared" ca="1" si="21"/>
        <v>3776.022677876259</v>
      </c>
      <c r="L110" s="16">
        <f t="shared" ca="1" si="22"/>
        <v>-121</v>
      </c>
      <c r="M110" s="17">
        <f t="shared" ca="1" si="23"/>
        <v>109909.02267787626</v>
      </c>
      <c r="N110" s="19">
        <f ca="1">IFERROR(IF(TODAY()-I110-8&lt;=0,"",TODAY()-I110-8)*leyenda!$A$8*J110,"0.00")</f>
        <v>3776.022677876259</v>
      </c>
      <c r="O110" s="13"/>
      <c r="P110" s="13">
        <f t="shared" ca="1" si="24"/>
        <v>45506</v>
      </c>
      <c r="Q110" s="8" t="str">
        <f ca="1">IF(L110&lt;=0,leyenda!$E$8,IF(L110&lt;=leyenda!$D$5,leyenda!$E$7,leyenda!$E$6))</f>
        <v>VENCIDO</v>
      </c>
      <c r="R110" s="8" t="str">
        <f t="shared" ca="1" si="25"/>
        <v>VENCIDO</v>
      </c>
      <c r="S110" s="8" t="s">
        <v>38</v>
      </c>
      <c r="T110" s="15"/>
      <c r="U110" s="8" t="str" cm="1">
        <f t="array" aca="1" ref="U110" ca="1">_xlfn.IFS(L110&gt;=leyenda!$J$6,leyenda!$I$6,L110&gt;=leyenda!$J$7,leyenda!$I$7,L110&gt;=leyenda!$J$8,leyenda!$I$8,L110&gt;=leyenda!$J$9,leyenda!$I$9,L110&gt;=leyenda!$J$10,leyenda!$I$10,L110&lt;=leyenda!$J$11,leyenda!$I$11)</f>
        <v>A6 DE 91 A MÁS DIAS</v>
      </c>
      <c r="V110" s="8" t="s">
        <v>327</v>
      </c>
      <c r="W110" s="8" t="s">
        <v>328</v>
      </c>
      <c r="X110" s="8" t="s">
        <v>328</v>
      </c>
      <c r="Y110" s="29" t="s">
        <v>450</v>
      </c>
      <c r="Z110" s="8" t="s">
        <v>447</v>
      </c>
    </row>
    <row r="111" spans="1:26" x14ac:dyDescent="0.25">
      <c r="A111" s="28" t="s">
        <v>326</v>
      </c>
      <c r="B111" s="8" t="s">
        <v>325</v>
      </c>
      <c r="C111" s="8" t="s">
        <v>33</v>
      </c>
      <c r="D111" s="8" t="s">
        <v>331</v>
      </c>
      <c r="E111" s="8" t="s">
        <v>399</v>
      </c>
      <c r="F111" s="8" t="s">
        <v>332</v>
      </c>
      <c r="G111" s="9">
        <v>45279</v>
      </c>
      <c r="H111" s="13">
        <v>45286</v>
      </c>
      <c r="I111" s="9">
        <f>+H111+75</f>
        <v>45361</v>
      </c>
      <c r="J111" s="53">
        <v>70560</v>
      </c>
      <c r="K111" s="18">
        <f t="shared" ca="1" si="21"/>
        <v>3043.580895258403</v>
      </c>
      <c r="L111" s="16">
        <f t="shared" ca="1" si="22"/>
        <v>-145</v>
      </c>
      <c r="M111" s="17">
        <f t="shared" ca="1" si="23"/>
        <v>73603.580895258405</v>
      </c>
      <c r="N111" s="19">
        <f ca="1">IFERROR(IF(TODAY()-I111-8&lt;=0,"",TODAY()-I111-8)*leyenda!$A$8*J111,"0.00")</f>
        <v>3043.580895258403</v>
      </c>
      <c r="O111" s="13"/>
      <c r="P111" s="13">
        <f t="shared" ca="1" si="24"/>
        <v>45506</v>
      </c>
      <c r="Q111" s="8" t="str">
        <f ca="1">IF(L111&lt;=0,leyenda!$E$8,IF(L111&lt;=leyenda!$D$5,leyenda!$E$7,leyenda!$E$6))</f>
        <v>VENCIDO</v>
      </c>
      <c r="R111" s="8" t="str">
        <f t="shared" ca="1" si="25"/>
        <v>VENCIDO</v>
      </c>
      <c r="S111" s="8" t="s">
        <v>38</v>
      </c>
      <c r="T111" s="15"/>
      <c r="U111" s="8" t="str" cm="1">
        <f t="array" aca="1" ref="U111" ca="1">_xlfn.IFS(L111&gt;=leyenda!$J$6,leyenda!$I$6,L111&gt;=leyenda!$J$7,leyenda!$I$7,L111&gt;=leyenda!$J$8,leyenda!$I$8,L111&gt;=leyenda!$J$9,leyenda!$I$9,L111&gt;=leyenda!$J$10,leyenda!$I$10,L111&lt;=leyenda!$J$11,leyenda!$I$11)</f>
        <v>A6 DE 91 A MÁS DIAS</v>
      </c>
      <c r="V111" s="8" t="s">
        <v>327</v>
      </c>
      <c r="W111" s="8" t="s">
        <v>328</v>
      </c>
      <c r="X111" s="8" t="s">
        <v>328</v>
      </c>
      <c r="Y111" s="29" t="s">
        <v>450</v>
      </c>
      <c r="Z111" s="8" t="s">
        <v>447</v>
      </c>
    </row>
    <row r="112" spans="1:26" x14ac:dyDescent="0.25">
      <c r="A112" s="28" t="s">
        <v>326</v>
      </c>
      <c r="B112" s="8" t="s">
        <v>325</v>
      </c>
      <c r="C112" s="8" t="s">
        <v>33</v>
      </c>
      <c r="D112" s="8" t="s">
        <v>420</v>
      </c>
      <c r="E112" s="8" t="s">
        <v>37</v>
      </c>
      <c r="F112" s="8" t="s">
        <v>39</v>
      </c>
      <c r="G112" s="9">
        <v>45498</v>
      </c>
      <c r="H112" s="9">
        <v>45498</v>
      </c>
      <c r="I112" s="9">
        <v>45498</v>
      </c>
      <c r="J112" s="53">
        <v>102.83</v>
      </c>
      <c r="K112" s="18" t="str">
        <f t="shared" si="21"/>
        <v>0.00</v>
      </c>
      <c r="L112" s="16">
        <f t="shared" ca="1" si="22"/>
        <v>-8</v>
      </c>
      <c r="M112" s="17">
        <f t="shared" si="23"/>
        <v>102.83</v>
      </c>
      <c r="N112" s="19" t="str">
        <f ca="1">IFERROR(IF(TODAY()-I112-8&lt;=0,"",TODAY()-I112-8)*leyenda!$A$8*J112,"0.00")</f>
        <v>0.00</v>
      </c>
      <c r="O112" s="13" t="s">
        <v>37</v>
      </c>
      <c r="P112" s="13">
        <f t="shared" ca="1" si="24"/>
        <v>45506</v>
      </c>
      <c r="Q112" s="8" t="str">
        <f ca="1">IF(L112&lt;=0,leyenda!$E$8,IF(L112&lt;=leyenda!$D$5,leyenda!$E$7,leyenda!$E$6))</f>
        <v>VENCIDO</v>
      </c>
      <c r="R112" s="8" t="str">
        <f t="shared" ca="1" si="25"/>
        <v>VENCIDO</v>
      </c>
      <c r="S112" s="8" t="s">
        <v>38</v>
      </c>
      <c r="T112" s="15"/>
      <c r="U112" s="8" t="str" cm="1">
        <f t="array" aca="1" ref="U112" ca="1">_xlfn.IFS(L112&gt;=leyenda!$J$6,leyenda!$I$6,L112&gt;=leyenda!$J$7,leyenda!$I$7,L112&gt;=leyenda!$J$8,leyenda!$I$8,L112&gt;=leyenda!$J$9,leyenda!$I$9,L112&gt;=leyenda!$J$10,leyenda!$I$10,L112&lt;=leyenda!$J$11,leyenda!$I$11)</f>
        <v>A2 DE 1 A 15 DIAS</v>
      </c>
      <c r="V112" s="8" t="s">
        <v>327</v>
      </c>
      <c r="W112" s="8" t="s">
        <v>328</v>
      </c>
      <c r="X112" s="8" t="s">
        <v>328</v>
      </c>
      <c r="Y112" s="29" t="s">
        <v>450</v>
      </c>
      <c r="Z112" s="8" t="s">
        <v>447</v>
      </c>
    </row>
    <row r="113" spans="1:26" x14ac:dyDescent="0.25">
      <c r="A113" s="28" t="s">
        <v>326</v>
      </c>
      <c r="B113" s="8" t="s">
        <v>325</v>
      </c>
      <c r="C113" s="8" t="s">
        <v>33</v>
      </c>
      <c r="D113" s="8" t="s">
        <v>421</v>
      </c>
      <c r="E113" s="8" t="s">
        <v>37</v>
      </c>
      <c r="F113" s="8" t="s">
        <v>39</v>
      </c>
      <c r="G113" s="9">
        <v>45498</v>
      </c>
      <c r="H113" s="9">
        <v>45498</v>
      </c>
      <c r="I113" s="9">
        <v>45498</v>
      </c>
      <c r="J113" s="53">
        <v>3715.97</v>
      </c>
      <c r="K113" s="18" t="str">
        <f t="shared" si="21"/>
        <v>0.00</v>
      </c>
      <c r="L113" s="16">
        <f t="shared" ca="1" si="22"/>
        <v>-8</v>
      </c>
      <c r="M113" s="17">
        <f t="shared" si="23"/>
        <v>3715.97</v>
      </c>
      <c r="N113" s="19" t="str">
        <f ca="1">IFERROR(IF(TODAY()-I113-8&lt;=0,"",TODAY()-I113-8)*leyenda!$A$8*J113,"0.00")</f>
        <v>0.00</v>
      </c>
      <c r="O113" s="13" t="s">
        <v>37</v>
      </c>
      <c r="P113" s="13">
        <f t="shared" ca="1" si="24"/>
        <v>45506</v>
      </c>
      <c r="Q113" s="8" t="str">
        <f ca="1">IF(L113&lt;=0,leyenda!$E$8,IF(L113&lt;=leyenda!$D$5,leyenda!$E$7,leyenda!$E$6))</f>
        <v>VENCIDO</v>
      </c>
      <c r="R113" s="8" t="str">
        <f t="shared" ca="1" si="25"/>
        <v>VENCIDO</v>
      </c>
      <c r="S113" s="8" t="s">
        <v>38</v>
      </c>
      <c r="T113" s="15"/>
      <c r="U113" s="8" t="str" cm="1">
        <f t="array" aca="1" ref="U113" ca="1">_xlfn.IFS(L113&gt;=leyenda!$J$6,leyenda!$I$6,L113&gt;=leyenda!$J$7,leyenda!$I$7,L113&gt;=leyenda!$J$8,leyenda!$I$8,L113&gt;=leyenda!$J$9,leyenda!$I$9,L113&gt;=leyenda!$J$10,leyenda!$I$10,L113&lt;=leyenda!$J$11,leyenda!$I$11)</f>
        <v>A2 DE 1 A 15 DIAS</v>
      </c>
      <c r="V113" s="8" t="s">
        <v>327</v>
      </c>
      <c r="W113" s="8" t="s">
        <v>328</v>
      </c>
      <c r="X113" s="8" t="s">
        <v>328</v>
      </c>
      <c r="Y113" s="29" t="s">
        <v>450</v>
      </c>
      <c r="Z113" s="8" t="s">
        <v>447</v>
      </c>
    </row>
    <row r="114" spans="1:26" x14ac:dyDescent="0.25">
      <c r="A114" s="28" t="s">
        <v>336</v>
      </c>
      <c r="B114" s="8" t="s">
        <v>333</v>
      </c>
      <c r="C114" s="8" t="s">
        <v>33</v>
      </c>
      <c r="D114" s="8" t="s">
        <v>334</v>
      </c>
      <c r="E114" s="8" t="s">
        <v>335</v>
      </c>
      <c r="F114" s="8" t="s">
        <v>161</v>
      </c>
      <c r="G114" s="9">
        <v>45289</v>
      </c>
      <c r="H114" s="13">
        <v>45289</v>
      </c>
      <c r="I114" s="9">
        <v>45289</v>
      </c>
      <c r="J114" s="49">
        <v>35.4</v>
      </c>
      <c r="K114" s="18" t="str">
        <f t="shared" si="21"/>
        <v>0.00</v>
      </c>
      <c r="L114" s="16">
        <f t="shared" ca="1" si="22"/>
        <v>-217</v>
      </c>
      <c r="M114" s="17">
        <f t="shared" si="23"/>
        <v>35.4</v>
      </c>
      <c r="N114" s="19">
        <f ca="1">IFERROR(IF(TODAY()-I114-8&lt;=0,"",TODAY()-I114-8)*leyenda!$A$8*J114,"0.00")</f>
        <v>2.3294600041853721</v>
      </c>
      <c r="O114" s="14" t="s">
        <v>97</v>
      </c>
      <c r="P114" s="13">
        <f t="shared" ca="1" si="24"/>
        <v>45506</v>
      </c>
      <c r="Q114" s="8" t="str">
        <f ca="1">IF(L114&lt;=0,leyenda!$E$8,IF(L114&lt;=leyenda!$D$5,leyenda!$E$7,leyenda!$E$6))</f>
        <v>VENCIDO</v>
      </c>
      <c r="R114" s="8" t="str">
        <f t="shared" ca="1" si="25"/>
        <v>VENCIDO</v>
      </c>
      <c r="S114" s="8" t="s">
        <v>38</v>
      </c>
      <c r="T114" s="15"/>
      <c r="U114" s="8" t="str" cm="1">
        <f t="array" aca="1" ref="U114" ca="1">_xlfn.IFS(L114&gt;=leyenda!$J$6,leyenda!$I$6,L114&gt;=leyenda!$J$7,leyenda!$I$7,L114&gt;=leyenda!$J$8,leyenda!$I$8,L114&gt;=leyenda!$J$9,leyenda!$I$9,L114&gt;=leyenda!$J$10,leyenda!$I$10,L114&lt;=leyenda!$J$11,leyenda!$I$11)</f>
        <v>A6 DE 91 A MÁS DIAS</v>
      </c>
      <c r="V114" s="8" t="s">
        <v>337</v>
      </c>
      <c r="W114" s="8"/>
      <c r="X114" s="8"/>
      <c r="Y114" s="29" t="s">
        <v>451</v>
      </c>
      <c r="Z114" s="8"/>
    </row>
    <row r="115" spans="1:26" x14ac:dyDescent="0.25">
      <c r="A115" s="28" t="s">
        <v>336</v>
      </c>
      <c r="B115" s="8" t="s">
        <v>333</v>
      </c>
      <c r="C115" s="8" t="s">
        <v>71</v>
      </c>
      <c r="D115" s="8" t="s">
        <v>338</v>
      </c>
      <c r="E115" s="8" t="s">
        <v>168</v>
      </c>
      <c r="F115" s="8" t="s">
        <v>161</v>
      </c>
      <c r="G115" s="9">
        <v>45415</v>
      </c>
      <c r="H115" s="13">
        <v>45415</v>
      </c>
      <c r="I115" s="9">
        <v>45415</v>
      </c>
      <c r="J115" s="49">
        <v>136</v>
      </c>
      <c r="K115" s="18" t="str">
        <f t="shared" si="21"/>
        <v>0.00</v>
      </c>
      <c r="L115" s="16">
        <f t="shared" ca="1" si="22"/>
        <v>-91</v>
      </c>
      <c r="M115" s="17">
        <f t="shared" si="23"/>
        <v>136</v>
      </c>
      <c r="N115" s="19">
        <f ca="1">IFERROR(IF(TODAY()-I115-8&lt;=0,"",TODAY()-I115-8)*leyenda!$A$8*J115,"0.00")</f>
        <v>3.5540432686243992</v>
      </c>
      <c r="O115" s="14" t="s">
        <v>97</v>
      </c>
      <c r="P115" s="13">
        <f t="shared" ca="1" si="24"/>
        <v>45506</v>
      </c>
      <c r="Q115" s="8" t="str">
        <f ca="1">IF(L115&lt;=0,leyenda!$E$8,IF(L115&lt;=leyenda!$D$5,leyenda!$E$7,leyenda!$E$6))</f>
        <v>VENCIDO</v>
      </c>
      <c r="R115" s="8" t="str">
        <f t="shared" ca="1" si="25"/>
        <v>VENCIDO</v>
      </c>
      <c r="S115" s="8" t="s">
        <v>38</v>
      </c>
      <c r="T115" s="15"/>
      <c r="U115" s="8" t="str" cm="1">
        <f t="array" aca="1" ref="U115" ca="1">_xlfn.IFS(L115&gt;=leyenda!$J$6,leyenda!$I$6,L115&gt;=leyenda!$J$7,leyenda!$I$7,L115&gt;=leyenda!$J$8,leyenda!$I$8,L115&gt;=leyenda!$J$9,leyenda!$I$9,L115&gt;=leyenda!$J$10,leyenda!$I$10,L115&lt;=leyenda!$J$11,leyenda!$I$11)</f>
        <v>A6 DE 91 A MÁS DIAS</v>
      </c>
      <c r="V115" s="8" t="s">
        <v>337</v>
      </c>
      <c r="W115" s="8"/>
      <c r="X115" s="8"/>
      <c r="Y115" s="29" t="s">
        <v>451</v>
      </c>
      <c r="Z115" s="8"/>
    </row>
    <row r="116" spans="1:26" hidden="1" x14ac:dyDescent="0.25">
      <c r="A116" s="28" t="s">
        <v>341</v>
      </c>
      <c r="B116" s="8" t="s">
        <v>339</v>
      </c>
      <c r="C116" s="8" t="s">
        <v>43</v>
      </c>
      <c r="D116" s="8" t="s">
        <v>44</v>
      </c>
      <c r="E116" s="8" t="s">
        <v>340</v>
      </c>
      <c r="F116" s="8" t="s">
        <v>45</v>
      </c>
      <c r="G116" s="9">
        <v>45406</v>
      </c>
      <c r="H116" s="13">
        <v>45406</v>
      </c>
      <c r="I116" s="9">
        <v>45406</v>
      </c>
      <c r="J116" s="10">
        <v>-31711.3</v>
      </c>
      <c r="K116" s="18" t="str">
        <f t="shared" si="21"/>
        <v>0.00</v>
      </c>
      <c r="L116" s="16">
        <f t="shared" ca="1" si="22"/>
        <v>-100</v>
      </c>
      <c r="M116" s="17">
        <f t="shared" si="23"/>
        <v>-31711.3</v>
      </c>
      <c r="N116" s="19">
        <f ca="1">IFERROR(IF(TODAY()-I116-8&lt;=0,"",TODAY()-I116-8)*leyenda!$A$8*J116,"0.00")</f>
        <v>-918.56011445767717</v>
      </c>
      <c r="O116" s="14" t="s">
        <v>43</v>
      </c>
      <c r="P116" s="13">
        <f t="shared" ca="1" si="24"/>
        <v>45506</v>
      </c>
      <c r="Q116" s="8" t="str">
        <f ca="1">IF(L116&lt;=0,leyenda!$E$8,IF(L116&lt;=leyenda!$D$5,leyenda!$E$7,leyenda!$E$6))</f>
        <v>VENCIDO</v>
      </c>
      <c r="R116" s="8" t="str">
        <f t="shared" ca="1" si="25"/>
        <v>VENCIDO</v>
      </c>
      <c r="S116" s="8" t="s">
        <v>38</v>
      </c>
      <c r="T116" s="15"/>
      <c r="U116" s="8" t="str" cm="1">
        <f t="array" aca="1" ref="U116" ca="1">_xlfn.IFS(L116&gt;=leyenda!$J$6,leyenda!$I$6,L116&gt;=leyenda!$J$7,leyenda!$I$7,L116&gt;=leyenda!$J$8,leyenda!$I$8,L116&gt;=leyenda!$J$9,leyenda!$I$9,L116&gt;=leyenda!$J$10,leyenda!$I$10,L116&lt;=leyenda!$J$11,leyenda!$I$11)</f>
        <v>A6 DE 91 A MÁS DIAS</v>
      </c>
      <c r="V116" s="8" t="s">
        <v>342</v>
      </c>
      <c r="W116" s="8"/>
      <c r="X116" s="8"/>
      <c r="Y116" s="29" t="s">
        <v>427</v>
      </c>
      <c r="Z116" s="8"/>
    </row>
    <row r="117" spans="1:26" x14ac:dyDescent="0.25">
      <c r="A117" s="28" t="s">
        <v>344</v>
      </c>
      <c r="B117" s="8" t="s">
        <v>343</v>
      </c>
      <c r="C117" s="8" t="s">
        <v>33</v>
      </c>
      <c r="D117" s="8" t="s">
        <v>365</v>
      </c>
      <c r="E117" s="8" t="s">
        <v>37</v>
      </c>
      <c r="F117" s="8" t="s">
        <v>45</v>
      </c>
      <c r="G117" s="9">
        <v>45094</v>
      </c>
      <c r="H117" s="9">
        <v>45094</v>
      </c>
      <c r="I117" s="9">
        <v>45094</v>
      </c>
      <c r="J117" s="10">
        <v>168.84</v>
      </c>
      <c r="K117" s="18" t="str">
        <f t="shared" si="21"/>
        <v>0.00</v>
      </c>
      <c r="L117" s="16">
        <f t="shared" ca="1" si="22"/>
        <v>-412</v>
      </c>
      <c r="M117" s="17">
        <f t="shared" si="23"/>
        <v>168.84</v>
      </c>
      <c r="N117" s="19">
        <f ca="1">IFERROR(IF(TODAY()-I117-8&lt;=0,"",TODAY()-I117-8)*leyenda!$A$8*J117,"0.00")</f>
        <v>21.476446212944332</v>
      </c>
      <c r="O117" s="13" t="s">
        <v>37</v>
      </c>
      <c r="P117" s="13">
        <f t="shared" ca="1" si="24"/>
        <v>45506</v>
      </c>
      <c r="Q117" s="8" t="str">
        <f ca="1">IF(L117&lt;=0,leyenda!$E$8,IF(L117&lt;=leyenda!$D$5,leyenda!$E$7,leyenda!$E$6))</f>
        <v>VENCIDO</v>
      </c>
      <c r="R117" s="8" t="str">
        <f t="shared" ca="1" si="25"/>
        <v>VENCIDO</v>
      </c>
      <c r="S117" s="8" t="s">
        <v>38</v>
      </c>
      <c r="T117" s="15"/>
      <c r="U117" s="8" t="str" cm="1">
        <f t="array" aca="1" ref="U117" ca="1">_xlfn.IFS(L117&gt;=leyenda!$J$6,leyenda!$I$6,L117&gt;=leyenda!$J$7,leyenda!$I$7,L117&gt;=leyenda!$J$8,leyenda!$I$8,L117&gt;=leyenda!$J$9,leyenda!$I$9,L117&gt;=leyenda!$J$10,leyenda!$I$10,L117&lt;=leyenda!$J$11,leyenda!$I$11)</f>
        <v>A6 DE 91 A MÁS DIAS</v>
      </c>
      <c r="V117" s="8" t="s">
        <v>345</v>
      </c>
      <c r="W117" s="8" t="s">
        <v>346</v>
      </c>
      <c r="X117" s="8" t="s">
        <v>53</v>
      </c>
      <c r="Y117" s="29" t="s">
        <v>449</v>
      </c>
      <c r="Z117" s="8" t="s">
        <v>448</v>
      </c>
    </row>
    <row r="118" spans="1:26" x14ac:dyDescent="0.25">
      <c r="A118" s="38" t="s">
        <v>344</v>
      </c>
      <c r="B118" s="39" t="s">
        <v>343</v>
      </c>
      <c r="C118" s="39" t="s">
        <v>33</v>
      </c>
      <c r="D118" s="39" t="s">
        <v>347</v>
      </c>
      <c r="E118" s="39" t="s">
        <v>400</v>
      </c>
      <c r="F118" s="39" t="s">
        <v>332</v>
      </c>
      <c r="G118" s="40">
        <v>45289</v>
      </c>
      <c r="H118" s="41">
        <v>45319</v>
      </c>
      <c r="I118" s="40">
        <f>+H118+76</f>
        <v>45395</v>
      </c>
      <c r="J118" s="42">
        <v>46710.47</v>
      </c>
      <c r="K118" s="43">
        <f t="shared" ca="1" si="21"/>
        <v>1514.806541655877</v>
      </c>
      <c r="L118" s="44">
        <f t="shared" ca="1" si="22"/>
        <v>-111</v>
      </c>
      <c r="M118" s="45">
        <f t="shared" ca="1" si="23"/>
        <v>48225.276541655876</v>
      </c>
      <c r="N118" s="46">
        <f ca="1">IFERROR(IF(TODAY()-I118-8&lt;=0,"",TODAY()-I118-8)*leyenda!$A$8*J118,"0.00")</f>
        <v>1514.806541655877</v>
      </c>
      <c r="O118" s="47"/>
      <c r="P118" s="41">
        <f t="shared" ca="1" si="24"/>
        <v>45506</v>
      </c>
      <c r="Q118" s="39" t="str">
        <f ca="1">IF(L118&lt;=0,leyenda!$E$8,IF(L118&lt;=leyenda!$D$5,leyenda!$E$7,leyenda!$E$6))</f>
        <v>VENCIDO</v>
      </c>
      <c r="R118" s="39" t="str">
        <f t="shared" ca="1" si="25"/>
        <v>VENCIDO</v>
      </c>
      <c r="S118" s="39" t="s">
        <v>38</v>
      </c>
      <c r="T118" s="48"/>
      <c r="U118" s="39" t="str" cm="1">
        <f t="array" aca="1" ref="U118" ca="1">_xlfn.IFS(L118&gt;=leyenda!$J$6,leyenda!$I$6,L118&gt;=leyenda!$J$7,leyenda!$I$7,L118&gt;=leyenda!$J$8,leyenda!$I$8,L118&gt;=leyenda!$J$9,leyenda!$I$9,L118&gt;=leyenda!$J$10,leyenda!$I$10,L118&lt;=leyenda!$J$11,leyenda!$I$11)</f>
        <v>A6 DE 91 A MÁS DIAS</v>
      </c>
      <c r="V118" s="39" t="s">
        <v>345</v>
      </c>
      <c r="W118" s="39" t="s">
        <v>346</v>
      </c>
      <c r="X118" s="39" t="s">
        <v>53</v>
      </c>
      <c r="Y118" s="29" t="s">
        <v>449</v>
      </c>
      <c r="Z118" s="8" t="s">
        <v>448</v>
      </c>
    </row>
    <row r="121" spans="1:26" x14ac:dyDescent="0.25">
      <c r="M121" s="51"/>
    </row>
  </sheetData>
  <autoFilter ref="F120:F121" xr:uid="{5EB88EB0-59FF-4694-A0FE-58AC062CD3ED}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00000000-000E-0000-0100-000023000000}">
            <x14:iconSet>
              <x14:cfvo type="percent">
                <xm:f>0</xm:f>
              </x14:cfvo>
              <x14:cfvo type="num" gte="0">
                <xm:f>0</xm:f>
              </x14:cfvo>
              <x14:cfvo type="num" gte="0">
                <xm:f>leyenda!$S$6</xm:f>
              </x14:cfvo>
            </x14:iconSet>
          </x14:cfRule>
          <xm:sqref>L2:L118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F6B8-572D-4568-BD0C-6ED5DBAB7468}">
  <dimension ref="A1:Y14"/>
  <sheetViews>
    <sheetView workbookViewId="0">
      <selection activeCell="D17" sqref="D17"/>
    </sheetView>
  </sheetViews>
  <sheetFormatPr baseColWidth="10" defaultRowHeight="15" x14ac:dyDescent="0.25"/>
  <cols>
    <col min="1" max="1" width="15.5703125" customWidth="1"/>
    <col min="4" max="4" width="15.140625" customWidth="1"/>
  </cols>
  <sheetData>
    <row r="1" spans="1:25" s="1" customFormat="1" ht="13.5" x14ac:dyDescent="0.25"/>
    <row r="2" spans="1:25" s="1" customFormat="1" ht="13.5" x14ac:dyDescent="0.25">
      <c r="A2" s="22" t="s">
        <v>359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s="1" customFormat="1" ht="13.5" x14ac:dyDescent="0.25">
      <c r="A3" s="22" t="s">
        <v>360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s="1" customFormat="1" ht="13.5" x14ac:dyDescent="0.25"/>
    <row r="5" spans="1:25" s="1" customFormat="1" ht="13.5" x14ac:dyDescent="0.25">
      <c r="C5" s="22" t="s">
        <v>2</v>
      </c>
      <c r="D5" s="22">
        <v>0</v>
      </c>
      <c r="I5" s="27" t="s">
        <v>3</v>
      </c>
      <c r="M5" s="3"/>
      <c r="N5" s="4"/>
      <c r="W5" s="5"/>
      <c r="X5" s="5"/>
    </row>
    <row r="6" spans="1:25" s="1" customFormat="1" ht="13.5" x14ac:dyDescent="0.25">
      <c r="A6" s="23" t="s">
        <v>349</v>
      </c>
      <c r="C6" s="24" t="s">
        <v>0</v>
      </c>
      <c r="D6" s="24" t="s">
        <v>1</v>
      </c>
      <c r="E6" s="1" t="s">
        <v>4</v>
      </c>
      <c r="F6" s="4"/>
      <c r="I6" s="15" t="s">
        <v>5</v>
      </c>
      <c r="J6" s="8">
        <v>1</v>
      </c>
      <c r="M6" s="3"/>
      <c r="N6" s="4"/>
      <c r="W6" s="5"/>
    </row>
    <row r="7" spans="1:25" s="1" customFormat="1" ht="13.5" x14ac:dyDescent="0.25">
      <c r="A7" s="20">
        <v>0.12</v>
      </c>
      <c r="C7" s="8" t="s">
        <v>4</v>
      </c>
      <c r="D7" s="11">
        <f ca="1">SUMIFS('CXC IN'!J2:J69,'CXC IN'!C2:C69,"FACTURA",'CXC IN'!Q2:Q69,"VIGENTE")</f>
        <v>621769.80000000005</v>
      </c>
      <c r="E7" s="1" t="s">
        <v>7</v>
      </c>
      <c r="F7" s="4"/>
      <c r="I7" s="8" t="s">
        <v>8</v>
      </c>
      <c r="J7" s="8">
        <v>-15</v>
      </c>
      <c r="M7" s="3"/>
      <c r="N7" s="4"/>
      <c r="W7" s="5"/>
    </row>
    <row r="8" spans="1:25" s="1" customFormat="1" ht="13.5" x14ac:dyDescent="0.25">
      <c r="A8" s="21">
        <f>+(1+A7)^(1/360)-1</f>
        <v>3.1485145894971645E-4</v>
      </c>
      <c r="C8" s="8" t="s">
        <v>6</v>
      </c>
      <c r="D8" s="11">
        <f ca="1">SUMIFS('CXC IN'!J2:J69,'CXC IN'!C2:C69,"FACTURA",'CXC IN'!Q2:Q69,"FINANCIADO")</f>
        <v>0</v>
      </c>
      <c r="E8" s="1" t="s">
        <v>9</v>
      </c>
      <c r="F8" s="4"/>
      <c r="I8" s="12" t="s">
        <v>10</v>
      </c>
      <c r="J8" s="8">
        <v>-30</v>
      </c>
      <c r="M8" s="3"/>
      <c r="N8" s="4"/>
      <c r="W8" s="5"/>
    </row>
    <row r="9" spans="1:25" s="1" customFormat="1" ht="13.5" x14ac:dyDescent="0.25">
      <c r="C9" s="8" t="s">
        <v>9</v>
      </c>
      <c r="D9" s="11">
        <f ca="1">SUMIFS('CXC IN'!J2:J69,'CXC IN'!C2:C69,"FACTURA",'CXC IN'!Q2:Q69,"VENCIDO")</f>
        <v>1538848.9609678388</v>
      </c>
      <c r="E9" s="22" t="s">
        <v>358</v>
      </c>
      <c r="F9" s="4"/>
      <c r="I9" s="13" t="s">
        <v>11</v>
      </c>
      <c r="J9" s="8">
        <v>-60</v>
      </c>
      <c r="M9" s="3"/>
      <c r="N9" s="4"/>
      <c r="W9" s="5"/>
    </row>
    <row r="10" spans="1:25" s="1" customFormat="1" ht="13.5" x14ac:dyDescent="0.25">
      <c r="C10" s="8" t="s">
        <v>7</v>
      </c>
      <c r="D10" s="11">
        <f ca="1">SUMIFS('CXC IN'!J2:J69,'CXC IN'!C2:C69,"FACTURA",'CXC IN'!Q2:Q69,"POR VENCER")</f>
        <v>0</v>
      </c>
      <c r="I10" s="13" t="s">
        <v>13</v>
      </c>
      <c r="J10" s="8">
        <v>-90</v>
      </c>
      <c r="M10" s="3"/>
      <c r="N10" s="6"/>
      <c r="W10" s="5"/>
    </row>
    <row r="11" spans="1:25" s="1" customFormat="1" ht="13.5" x14ac:dyDescent="0.25">
      <c r="C11" s="25" t="s">
        <v>12</v>
      </c>
      <c r="D11" s="26">
        <f ca="1">SUM(D7:D10)</f>
        <v>2160618.7609678386</v>
      </c>
      <c r="I11" s="8" t="s">
        <v>14</v>
      </c>
      <c r="J11" s="8">
        <v>-91</v>
      </c>
      <c r="M11" s="3"/>
      <c r="N11" s="4"/>
      <c r="V11" s="4"/>
      <c r="W11" s="5"/>
    </row>
    <row r="12" spans="1:25" s="1" customFormat="1" ht="13.5" x14ac:dyDescent="0.25">
      <c r="J12" s="2"/>
      <c r="K12" s="3"/>
      <c r="L12" s="52"/>
      <c r="M12" s="51"/>
      <c r="Q12" s="7"/>
      <c r="V12" s="4"/>
      <c r="W12" s="5"/>
    </row>
    <row r="13" spans="1:25" s="1" customFormat="1" ht="13.5" x14ac:dyDescent="0.25">
      <c r="J13" s="2"/>
      <c r="L13" s="2"/>
      <c r="M13" s="51"/>
      <c r="N13" s="2"/>
      <c r="P13" s="4"/>
      <c r="Q13" s="7"/>
      <c r="V13" s="4"/>
      <c r="W13" s="5"/>
      <c r="X13" s="5"/>
    </row>
    <row r="14" spans="1:25" s="1" customFormat="1" ht="13.5" x14ac:dyDescent="0.25">
      <c r="H14" s="2"/>
      <c r="I14" s="51"/>
      <c r="J14" s="2"/>
      <c r="K14" s="3"/>
      <c r="L14" s="3"/>
      <c r="M14" s="3"/>
      <c r="N14" s="4"/>
      <c r="O14" s="2"/>
      <c r="P14" s="2"/>
      <c r="W14" s="5"/>
      <c r="X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CXC IN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Luis 2</dc:creator>
  <cp:lastModifiedBy>San Luis 2</cp:lastModifiedBy>
  <dcterms:created xsi:type="dcterms:W3CDTF">2024-06-11T01:21:46Z</dcterms:created>
  <dcterms:modified xsi:type="dcterms:W3CDTF">2024-08-03T02:36:49Z</dcterms:modified>
</cp:coreProperties>
</file>