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LEYENDO\QUIMICA\OpU\2. Destilación\Batch\"/>
    </mc:Choice>
  </mc:AlternateContent>
  <xr:revisionPtr revIDLastSave="0" documentId="13_ncr:1_{2A2C91B2-E343-4BF6-879F-F0781A0AB59E}" xr6:coauthVersionLast="47" xr6:coauthVersionMax="47" xr10:uidLastSave="{00000000-0000-0000-0000-000000000000}"/>
  <bookViews>
    <workbookView xWindow="810" yWindow="-120" windowWidth="19800" windowHeight="11760" activeTab="1" xr2:uid="{E54C91A0-F294-4737-B404-9F3FC0AD596D}"/>
  </bookViews>
  <sheets>
    <sheet name="Ejemplo 9.2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2" l="1"/>
  <c r="G36" i="2" s="1"/>
  <c r="H35" i="2"/>
  <c r="B152" i="2"/>
  <c r="B153" i="2" s="1"/>
  <c r="B141" i="2"/>
  <c r="B138" i="2"/>
  <c r="B143" i="2"/>
  <c r="A139" i="2" s="1"/>
  <c r="A140" i="2" s="1"/>
  <c r="B140" i="2" s="1"/>
  <c r="T30" i="2"/>
  <c r="G30" i="2"/>
  <c r="T72" i="2"/>
  <c r="T93" i="2"/>
  <c r="G93" i="2"/>
  <c r="T51" i="2"/>
  <c r="G51" i="2"/>
  <c r="G72" i="2"/>
  <c r="A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D16" i="2" s="1"/>
  <c r="C16" i="2"/>
  <c r="A17" i="2"/>
  <c r="B17" i="2"/>
  <c r="C17" i="2"/>
  <c r="A18" i="2"/>
  <c r="B18" i="2"/>
  <c r="C18" i="2"/>
  <c r="A19" i="2"/>
  <c r="B19" i="2"/>
  <c r="C19" i="2"/>
  <c r="A20" i="2"/>
  <c r="B20" i="2"/>
  <c r="D20" i="2" s="1"/>
  <c r="C20" i="2"/>
  <c r="A21" i="2"/>
  <c r="B21" i="2"/>
  <c r="C21" i="2"/>
  <c r="A22" i="2"/>
  <c r="B22" i="2"/>
  <c r="C22" i="2"/>
  <c r="A23" i="2"/>
  <c r="B23" i="2"/>
  <c r="C23" i="2"/>
  <c r="A24" i="2"/>
  <c r="B24" i="2"/>
  <c r="D24" i="2" s="1"/>
  <c r="C24" i="2"/>
  <c r="A25" i="2"/>
  <c r="B25" i="2"/>
  <c r="C25" i="2"/>
  <c r="A26" i="2"/>
  <c r="B26" i="2"/>
  <c r="C26" i="2"/>
  <c r="A27" i="2"/>
  <c r="B27" i="2"/>
  <c r="C27" i="2"/>
  <c r="A28" i="2"/>
  <c r="B28" i="2"/>
  <c r="D28" i="2" s="1"/>
  <c r="C28" i="2"/>
  <c r="A29" i="2"/>
  <c r="B29" i="2"/>
  <c r="C29" i="2"/>
  <c r="A30" i="2"/>
  <c r="B30" i="2"/>
  <c r="C30" i="2"/>
  <c r="A31" i="2"/>
  <c r="B31" i="2"/>
  <c r="C31" i="2"/>
  <c r="A32" i="2"/>
  <c r="B32" i="2"/>
  <c r="D32" i="2" s="1"/>
  <c r="C32" i="2"/>
  <c r="A33" i="2"/>
  <c r="B33" i="2"/>
  <c r="C33" i="2"/>
  <c r="A34" i="2"/>
  <c r="B34" i="2"/>
  <c r="C34" i="2"/>
  <c r="A35" i="2"/>
  <c r="B35" i="2"/>
  <c r="C35" i="2"/>
  <c r="A36" i="2"/>
  <c r="B36" i="2"/>
  <c r="D36" i="2" s="1"/>
  <c r="C36" i="2"/>
  <c r="A37" i="2"/>
  <c r="B37" i="2"/>
  <c r="C37" i="2"/>
  <c r="A38" i="2"/>
  <c r="B38" i="2"/>
  <c r="C38" i="2"/>
  <c r="A39" i="2"/>
  <c r="B39" i="2"/>
  <c r="C39" i="2"/>
  <c r="A40" i="2"/>
  <c r="B40" i="2"/>
  <c r="D40" i="2" s="1"/>
  <c r="C40" i="2"/>
  <c r="A41" i="2"/>
  <c r="B41" i="2"/>
  <c r="C41" i="2"/>
  <c r="A42" i="2"/>
  <c r="B42" i="2"/>
  <c r="C42" i="2"/>
  <c r="A43" i="2"/>
  <c r="B43" i="2"/>
  <c r="C43" i="2"/>
  <c r="A44" i="2"/>
  <c r="B44" i="2"/>
  <c r="D44" i="2" s="1"/>
  <c r="C44" i="2"/>
  <c r="A45" i="2"/>
  <c r="B45" i="2"/>
  <c r="C45" i="2"/>
  <c r="A46" i="2"/>
  <c r="B46" i="2"/>
  <c r="C46" i="2"/>
  <c r="A47" i="2"/>
  <c r="B47" i="2"/>
  <c r="C47" i="2"/>
  <c r="A48" i="2"/>
  <c r="B48" i="2"/>
  <c r="D48" i="2" s="1"/>
  <c r="C48" i="2"/>
  <c r="A49" i="2"/>
  <c r="B49" i="2"/>
  <c r="C49" i="2"/>
  <c r="A50" i="2"/>
  <c r="B50" i="2"/>
  <c r="C50" i="2"/>
  <c r="A51" i="2"/>
  <c r="B51" i="2"/>
  <c r="C51" i="2"/>
  <c r="A52" i="2"/>
  <c r="B52" i="2"/>
  <c r="D52" i="2" s="1"/>
  <c r="C52" i="2"/>
  <c r="A53" i="2"/>
  <c r="B53" i="2"/>
  <c r="C53" i="2"/>
  <c r="A54" i="2"/>
  <c r="B54" i="2"/>
  <c r="C54" i="2"/>
  <c r="A55" i="2"/>
  <c r="B55" i="2"/>
  <c r="C55" i="2"/>
  <c r="A56" i="2"/>
  <c r="B56" i="2"/>
  <c r="D56" i="2" s="1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B10" i="2"/>
  <c r="C10" i="2"/>
  <c r="B139" i="2" l="1"/>
  <c r="B145" i="2" s="1"/>
  <c r="B146" i="2" s="1"/>
  <c r="D11" i="2"/>
  <c r="B155" i="2"/>
  <c r="B154" i="2"/>
  <c r="D59" i="2"/>
  <c r="D55" i="2"/>
  <c r="D51" i="2"/>
  <c r="D47" i="2"/>
  <c r="D43" i="2"/>
  <c r="D39" i="2"/>
  <c r="D35" i="2"/>
  <c r="D31" i="2"/>
  <c r="D27" i="2"/>
  <c r="D23" i="2"/>
  <c r="D19" i="2"/>
  <c r="D15" i="2"/>
  <c r="D12" i="2"/>
  <c r="D58" i="2"/>
  <c r="D54" i="2"/>
  <c r="D42" i="2"/>
  <c r="D50" i="2"/>
  <c r="D46" i="2"/>
  <c r="D38" i="2"/>
  <c r="D34" i="2"/>
  <c r="D30" i="2"/>
  <c r="D26" i="2"/>
  <c r="D22" i="2"/>
  <c r="D18" i="2"/>
  <c r="D14" i="2"/>
  <c r="D57" i="2"/>
  <c r="D53" i="2"/>
  <c r="D49" i="2"/>
  <c r="D45" i="2"/>
  <c r="D41" i="2"/>
  <c r="D37" i="2"/>
  <c r="D33" i="2"/>
  <c r="D29" i="2"/>
  <c r="D25" i="2"/>
  <c r="D21" i="2"/>
  <c r="D17" i="2"/>
  <c r="D13" i="2"/>
  <c r="G73" i="2"/>
  <c r="G74" i="2" s="1"/>
  <c r="G52" i="2"/>
  <c r="B148" i="2" l="1"/>
  <c r="B147" i="2"/>
  <c r="G56" i="2"/>
  <c r="G54" i="2"/>
  <c r="T56" i="2"/>
  <c r="T54" i="2"/>
  <c r="T52" i="2"/>
  <c r="G33" i="2"/>
  <c r="G31" i="2"/>
  <c r="T35" i="2"/>
  <c r="T33" i="2"/>
  <c r="T31" i="2"/>
  <c r="T98" i="2"/>
  <c r="T96" i="2"/>
  <c r="T94" i="2"/>
  <c r="G98" i="2"/>
  <c r="G96" i="2"/>
  <c r="G94" i="2"/>
  <c r="T77" i="2"/>
  <c r="T75" i="2"/>
  <c r="T73" i="2"/>
  <c r="G77" i="2"/>
  <c r="G75" i="2"/>
  <c r="J11" i="2" l="1"/>
  <c r="T32" i="2" l="1"/>
  <c r="T34" i="2" s="1"/>
  <c r="G32" i="2"/>
  <c r="G34" i="2" s="1"/>
  <c r="T74" i="2"/>
  <c r="T76" i="2" s="1"/>
  <c r="T53" i="2"/>
  <c r="T55" i="2" s="1"/>
  <c r="G95" i="2"/>
  <c r="G97" i="2" s="1"/>
  <c r="T95" i="2"/>
  <c r="T97" i="2" s="1"/>
  <c r="H30" i="2"/>
  <c r="C110" i="2" s="1"/>
  <c r="U30" i="2"/>
  <c r="C111" i="2" s="1"/>
  <c r="U93" i="2"/>
  <c r="C117" i="2" s="1"/>
  <c r="H93" i="2"/>
  <c r="U72" i="2"/>
  <c r="U51" i="2"/>
  <c r="H51" i="2"/>
  <c r="H58" i="2"/>
  <c r="H31" i="2" l="1"/>
  <c r="U31" i="2"/>
  <c r="H94" i="2"/>
  <c r="C116" i="2"/>
  <c r="U73" i="2"/>
  <c r="C115" i="2"/>
  <c r="H52" i="2"/>
  <c r="C112" i="2"/>
  <c r="U94" i="2"/>
  <c r="U52" i="2"/>
  <c r="C113" i="2"/>
  <c r="U37" i="2"/>
  <c r="U32" i="2" s="1"/>
  <c r="H37" i="2"/>
  <c r="H32" i="2" s="1"/>
  <c r="H33" i="2" s="1"/>
  <c r="U100" i="2"/>
  <c r="U95" i="2" s="1"/>
  <c r="U96" i="2" s="1"/>
  <c r="H100" i="2"/>
  <c r="H95" i="2" s="1"/>
  <c r="H96" i="2" s="1"/>
  <c r="U58" i="2"/>
  <c r="U53" i="2" s="1"/>
  <c r="U54" i="2" s="1"/>
  <c r="U79" i="2"/>
  <c r="U74" i="2" s="1"/>
  <c r="U75" i="2" s="1"/>
  <c r="H79" i="2"/>
  <c r="H72" i="2"/>
  <c r="G76" i="2"/>
  <c r="U33" i="2" l="1"/>
  <c r="H73" i="2"/>
  <c r="C114" i="2"/>
  <c r="U97" i="2"/>
  <c r="U98" i="2" s="1"/>
  <c r="H34" i="2"/>
  <c r="U55" i="2"/>
  <c r="U56" i="2" s="1"/>
  <c r="U34" i="2"/>
  <c r="U76" i="2"/>
  <c r="U77" i="2" s="1"/>
  <c r="H97" i="2"/>
  <c r="H98" i="2" s="1"/>
  <c r="H76" i="2"/>
  <c r="H77" i="2" s="1"/>
  <c r="T57" i="2"/>
  <c r="B113" i="2" s="1"/>
  <c r="G99" i="2"/>
  <c r="B116" i="2" s="1"/>
  <c r="D116" i="2" s="1"/>
  <c r="E116" i="2" s="1"/>
  <c r="T78" i="2"/>
  <c r="B115" i="2" s="1"/>
  <c r="D115" i="2" s="1"/>
  <c r="E115" i="2" s="1"/>
  <c r="T36" i="2"/>
  <c r="B111" i="2" s="1"/>
  <c r="T99" i="2"/>
  <c r="B110" i="2"/>
  <c r="D110" i="2" s="1"/>
  <c r="E110" i="2" s="1"/>
  <c r="H74" i="2"/>
  <c r="H75" i="2" s="1"/>
  <c r="D113" i="2" l="1"/>
  <c r="E113" i="2" s="1"/>
  <c r="D111" i="2"/>
  <c r="E111" i="2" s="1"/>
  <c r="B117" i="2"/>
  <c r="D117" i="2" s="1"/>
  <c r="E117" i="2" s="1"/>
  <c r="U35" i="2"/>
  <c r="G78" i="2"/>
  <c r="B114" i="2" s="1"/>
  <c r="D114" i="2" l="1"/>
  <c r="E114" i="2" s="1"/>
  <c r="B126" i="2" s="1"/>
  <c r="G53" i="2"/>
  <c r="B127" i="2" l="1"/>
  <c r="H53" i="2"/>
  <c r="H54" i="2" s="1"/>
  <c r="G55" i="2"/>
  <c r="H55" i="2" s="1"/>
  <c r="H56" i="2" s="1"/>
  <c r="G57" i="2" l="1"/>
  <c r="B112" i="2" s="1"/>
  <c r="D112" i="2" l="1"/>
  <c r="E112" i="2" s="1"/>
  <c r="B125" i="2" s="1"/>
  <c r="B124" i="2"/>
  <c r="B128" i="2" l="1"/>
  <c r="B130" i="2" s="1"/>
  <c r="B132" i="2" l="1"/>
  <c r="B131" i="2"/>
</calcChain>
</file>

<file path=xl/sharedStrings.xml><?xml version="1.0" encoding="utf-8"?>
<sst xmlns="http://schemas.openxmlformats.org/spreadsheetml/2006/main" count="143" uniqueCount="74">
  <si>
    <t>xF</t>
  </si>
  <si>
    <t>x</t>
  </si>
  <si>
    <t>y</t>
  </si>
  <si>
    <t># Etapas</t>
  </si>
  <si>
    <t>D</t>
  </si>
  <si>
    <t>xD1</t>
  </si>
  <si>
    <t>xD2</t>
  </si>
  <si>
    <t>xD3</t>
  </si>
  <si>
    <t>xD4</t>
  </si>
  <si>
    <t>xD5</t>
  </si>
  <si>
    <t>xD6</t>
  </si>
  <si>
    <t>xD7</t>
  </si>
  <si>
    <t>xD8</t>
  </si>
  <si>
    <t>Rd</t>
  </si>
  <si>
    <t>m</t>
  </si>
  <si>
    <t>b1</t>
  </si>
  <si>
    <t>b2</t>
  </si>
  <si>
    <t>b4</t>
  </si>
  <si>
    <t>b5</t>
  </si>
  <si>
    <t>b6</t>
  </si>
  <si>
    <t>b7</t>
  </si>
  <si>
    <t>b8</t>
  </si>
  <si>
    <t>Eje y (x=0)</t>
  </si>
  <si>
    <t>Area</t>
  </si>
  <si>
    <t>W</t>
  </si>
  <si>
    <t>xDavg</t>
  </si>
  <si>
    <t>T</t>
  </si>
  <si>
    <t>Datos de equilibrio Etanol Agua</t>
  </si>
  <si>
    <t>---</t>
  </si>
  <si>
    <t>alfaAB</t>
  </si>
  <si>
    <t>Datos del problema</t>
  </si>
  <si>
    <t>F (kmol)</t>
  </si>
  <si>
    <t>xWf</t>
  </si>
  <si>
    <t>Puntos de las líneas de enrequecimiento</t>
  </si>
  <si>
    <t>y-x</t>
  </si>
  <si>
    <t>1/(y-x)</t>
  </si>
  <si>
    <t>N</t>
  </si>
  <si>
    <t>Pend. Enrequecimiento</t>
  </si>
  <si>
    <t>Línea E1</t>
  </si>
  <si>
    <t>Los puntos en el eje X de cada línea fueron tanteados de forma visual hasta que los vértices de las etapas tocaran la curva de equilibrio, también se puede tantear el alfa a utilizar en cada paso, o bien con Solver encontrar el valor de X en que intercepta la curva de equilibrio utilizando su línea de tendencia</t>
  </si>
  <si>
    <t>T (°C)</t>
  </si>
  <si>
    <t>tanteado</t>
  </si>
  <si>
    <t>intercepto</t>
  </si>
  <si>
    <t>Linea E2</t>
  </si>
  <si>
    <t>adasdas</t>
  </si>
  <si>
    <t>Linea E3</t>
  </si>
  <si>
    <t>Etapas</t>
  </si>
  <si>
    <t>Linea E4</t>
  </si>
  <si>
    <t>Línea E5</t>
  </si>
  <si>
    <t>Linea E6</t>
  </si>
  <si>
    <t>Linea E7</t>
  </si>
  <si>
    <t>Linea E8</t>
  </si>
  <si>
    <t>Generando puntos para las líneas de enrequecimiento</t>
  </si>
  <si>
    <t>Graficando cada línea y obteniendo los valores de xWf</t>
  </si>
  <si>
    <t>Graficando los puntos en la gráfica 1/(y-x) vs x</t>
  </si>
  <si>
    <t>Punto</t>
  </si>
  <si>
    <t>Como los límites de integración están entre 0,045 y 0,32 el polinomio de grado 4 aproxima bastante bien a los puntos generados</t>
  </si>
  <si>
    <t>Resolviendo la integral</t>
  </si>
  <si>
    <t>Método 1. Los puntos en x no estan equiespaciados, se debe usar trapecio</t>
  </si>
  <si>
    <t>Sección</t>
  </si>
  <si>
    <t>2--3</t>
  </si>
  <si>
    <t>3--4</t>
  </si>
  <si>
    <t>4--5</t>
  </si>
  <si>
    <t>5--6</t>
  </si>
  <si>
    <t>lím sup (casi)</t>
  </si>
  <si>
    <t>lím inferior</t>
  </si>
  <si>
    <t>A. Total</t>
  </si>
  <si>
    <t>Intervalo</t>
  </si>
  <si>
    <t>f(x)</t>
  </si>
  <si>
    <t>Método 2. Integrando por Simpson 3/8, generando primero 4 puntos equiespaciados y evaluados en el polinomio obtenido</t>
  </si>
  <si>
    <t>gran precisión respecto al libro</t>
  </si>
  <si>
    <t>Método 3. Integración definida del polinomio</t>
  </si>
  <si>
    <t>muy impreciso, no se integró con el límite superior por falta de puntos (se aconseja interporlar para obtener el límite superior)</t>
  </si>
  <si>
    <r>
      <t xml:space="preserve">We wish to batch distill 100 kmol of a 32 mol% ethanol, 68 mol% water feed. The system has a stillpot plus two equilibrium stages and a total condenser. Reflux is returned as a </t>
    </r>
    <r>
      <rPr>
        <b/>
        <sz val="16"/>
        <color rgb="FFFF0000"/>
        <rFont val="Calibri"/>
        <family val="2"/>
        <scheme val="minor"/>
      </rPr>
      <t>saturated liquid</t>
    </r>
    <r>
      <rPr>
        <b/>
        <sz val="16"/>
        <color theme="1"/>
        <rFont val="Calibri"/>
        <family val="2"/>
        <scheme val="minor"/>
      </rPr>
      <t>, and we use L/D = 1. We desire a final still pot composition of 4.5 mol% ethanol. Find the average distillate composition, the final charge in the still pot, and the amount of distillate collected.Pressure is 1 atm.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</si>
</sst>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  <font>
      <sz val="11"/>
      <color rgb="FF002060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Times New Roman"/>
      <family val="1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5" borderId="2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" fontId="0" fillId="2" borderId="5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0" fillId="0" borderId="0" xfId="0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Diagrama Txy Etanol-Agua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3616367325812"/>
          <c:y val="0.1224294411475591"/>
          <c:w val="0.80730858904417058"/>
          <c:h val="0.73525296109641847"/>
        </c:manualLayout>
      </c:layout>
      <c:scatterChart>
        <c:scatterStyle val="smoothMarker"/>
        <c:varyColors val="0"/>
        <c:ser>
          <c:idx val="0"/>
          <c:order val="0"/>
          <c:tx>
            <c:v>Temperatura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99.786010000000005</c:v>
                </c:pt>
                <c:pt idx="1">
                  <c:v>95.039000000000001</c:v>
                </c:pt>
                <c:pt idx="2">
                  <c:v>91.786010000000005</c:v>
                </c:pt>
                <c:pt idx="3">
                  <c:v>89.44699</c:v>
                </c:pt>
                <c:pt idx="4">
                  <c:v>87.703000000000003</c:v>
                </c:pt>
                <c:pt idx="5">
                  <c:v>86.367000000000004</c:v>
                </c:pt>
                <c:pt idx="6">
                  <c:v>85.319000000000003</c:v>
                </c:pt>
                <c:pt idx="7">
                  <c:v>84.480009999999993</c:v>
                </c:pt>
                <c:pt idx="8">
                  <c:v>83.796999999999997</c:v>
                </c:pt>
                <c:pt idx="9">
                  <c:v>83.231020000000001</c:v>
                </c:pt>
                <c:pt idx="10">
                  <c:v>82.754000000000005</c:v>
                </c:pt>
                <c:pt idx="11">
                  <c:v>82.346010000000007</c:v>
                </c:pt>
                <c:pt idx="12">
                  <c:v>81.992000000000004</c:v>
                </c:pt>
                <c:pt idx="13">
                  <c:v>81.679990000000004</c:v>
                </c:pt>
                <c:pt idx="14">
                  <c:v>81.402010000000004</c:v>
                </c:pt>
                <c:pt idx="15">
                  <c:v>81.150999999999996</c:v>
                </c:pt>
                <c:pt idx="16">
                  <c:v>80.920010000000005</c:v>
                </c:pt>
                <c:pt idx="17">
                  <c:v>80.708010000000002</c:v>
                </c:pt>
                <c:pt idx="18">
                  <c:v>80.509</c:v>
                </c:pt>
                <c:pt idx="19">
                  <c:v>80.322999999999993</c:v>
                </c:pt>
                <c:pt idx="20">
                  <c:v>80.147000000000006</c:v>
                </c:pt>
                <c:pt idx="21">
                  <c:v>79.978999999999999</c:v>
                </c:pt>
                <c:pt idx="22">
                  <c:v>79.819000000000003</c:v>
                </c:pt>
                <c:pt idx="23">
                  <c:v>79.665009999999995</c:v>
                </c:pt>
                <c:pt idx="24">
                  <c:v>79.516999999999996</c:v>
                </c:pt>
                <c:pt idx="25">
                  <c:v>79.376009999999994</c:v>
                </c:pt>
                <c:pt idx="26">
                  <c:v>79.240020000000001</c:v>
                </c:pt>
                <c:pt idx="27">
                  <c:v>79.109009999999998</c:v>
                </c:pt>
                <c:pt idx="28">
                  <c:v>78.983000000000004</c:v>
                </c:pt>
                <c:pt idx="29">
                  <c:v>78.863010000000003</c:v>
                </c:pt>
                <c:pt idx="30">
                  <c:v>78.748990000000006</c:v>
                </c:pt>
                <c:pt idx="31">
                  <c:v>78.640990000000002</c:v>
                </c:pt>
                <c:pt idx="32">
                  <c:v>78.537989999999994</c:v>
                </c:pt>
                <c:pt idx="33">
                  <c:v>78.442019999999999</c:v>
                </c:pt>
                <c:pt idx="34">
                  <c:v>78.352999999999994</c:v>
                </c:pt>
                <c:pt idx="35">
                  <c:v>78.271000000000001</c:v>
                </c:pt>
                <c:pt idx="36">
                  <c:v>78.19699</c:v>
                </c:pt>
                <c:pt idx="37">
                  <c:v>78.13</c:v>
                </c:pt>
                <c:pt idx="38">
                  <c:v>78.072999999999993</c:v>
                </c:pt>
                <c:pt idx="39">
                  <c:v>78.024019999999993</c:v>
                </c:pt>
                <c:pt idx="40">
                  <c:v>77.984009999999998</c:v>
                </c:pt>
                <c:pt idx="41">
                  <c:v>77.955020000000005</c:v>
                </c:pt>
                <c:pt idx="42">
                  <c:v>77.937010000000001</c:v>
                </c:pt>
                <c:pt idx="43">
                  <c:v>77.929990000000004</c:v>
                </c:pt>
                <c:pt idx="44">
                  <c:v>77.936000000000007</c:v>
                </c:pt>
                <c:pt idx="45">
                  <c:v>77.954009999999997</c:v>
                </c:pt>
                <c:pt idx="46">
                  <c:v>77.985990000000001</c:v>
                </c:pt>
                <c:pt idx="47">
                  <c:v>78.03201</c:v>
                </c:pt>
                <c:pt idx="48">
                  <c:v>78.093990000000005</c:v>
                </c:pt>
                <c:pt idx="49">
                  <c:v>78.171999999999997</c:v>
                </c:pt>
                <c:pt idx="50">
                  <c:v>78.268010000000004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1-4051-A3BA-D7550F3D04EB}"/>
            </c:ext>
          </c:extLst>
        </c:ser>
        <c:ser>
          <c:idx val="1"/>
          <c:order val="1"/>
          <c:tx>
            <c:v>Temperatura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99.786010000000005</c:v>
                </c:pt>
                <c:pt idx="1">
                  <c:v>95.039000000000001</c:v>
                </c:pt>
                <c:pt idx="2">
                  <c:v>91.786010000000005</c:v>
                </c:pt>
                <c:pt idx="3">
                  <c:v>89.44699</c:v>
                </c:pt>
                <c:pt idx="4">
                  <c:v>87.703000000000003</c:v>
                </c:pt>
                <c:pt idx="5">
                  <c:v>86.367000000000004</c:v>
                </c:pt>
                <c:pt idx="6">
                  <c:v>85.319000000000003</c:v>
                </c:pt>
                <c:pt idx="7">
                  <c:v>84.480009999999993</c:v>
                </c:pt>
                <c:pt idx="8">
                  <c:v>83.796999999999997</c:v>
                </c:pt>
                <c:pt idx="9">
                  <c:v>83.231020000000001</c:v>
                </c:pt>
                <c:pt idx="10">
                  <c:v>82.754000000000005</c:v>
                </c:pt>
                <c:pt idx="11">
                  <c:v>82.346010000000007</c:v>
                </c:pt>
                <c:pt idx="12">
                  <c:v>81.992000000000004</c:v>
                </c:pt>
                <c:pt idx="13">
                  <c:v>81.679990000000004</c:v>
                </c:pt>
                <c:pt idx="14">
                  <c:v>81.402010000000004</c:v>
                </c:pt>
                <c:pt idx="15">
                  <c:v>81.150999999999996</c:v>
                </c:pt>
                <c:pt idx="16">
                  <c:v>80.920010000000005</c:v>
                </c:pt>
                <c:pt idx="17">
                  <c:v>80.708010000000002</c:v>
                </c:pt>
                <c:pt idx="18">
                  <c:v>80.509</c:v>
                </c:pt>
                <c:pt idx="19">
                  <c:v>80.322999999999993</c:v>
                </c:pt>
                <c:pt idx="20">
                  <c:v>80.147000000000006</c:v>
                </c:pt>
                <c:pt idx="21">
                  <c:v>79.978999999999999</c:v>
                </c:pt>
                <c:pt idx="22">
                  <c:v>79.819000000000003</c:v>
                </c:pt>
                <c:pt idx="23">
                  <c:v>79.665009999999995</c:v>
                </c:pt>
                <c:pt idx="24">
                  <c:v>79.516999999999996</c:v>
                </c:pt>
                <c:pt idx="25">
                  <c:v>79.376009999999994</c:v>
                </c:pt>
                <c:pt idx="26">
                  <c:v>79.240020000000001</c:v>
                </c:pt>
                <c:pt idx="27">
                  <c:v>79.109009999999998</c:v>
                </c:pt>
                <c:pt idx="28">
                  <c:v>78.983000000000004</c:v>
                </c:pt>
                <c:pt idx="29">
                  <c:v>78.863010000000003</c:v>
                </c:pt>
                <c:pt idx="30">
                  <c:v>78.748990000000006</c:v>
                </c:pt>
                <c:pt idx="31">
                  <c:v>78.640990000000002</c:v>
                </c:pt>
                <c:pt idx="32">
                  <c:v>78.537989999999994</c:v>
                </c:pt>
                <c:pt idx="33">
                  <c:v>78.442019999999999</c:v>
                </c:pt>
                <c:pt idx="34">
                  <c:v>78.352999999999994</c:v>
                </c:pt>
                <c:pt idx="35">
                  <c:v>78.271000000000001</c:v>
                </c:pt>
                <c:pt idx="36">
                  <c:v>78.19699</c:v>
                </c:pt>
                <c:pt idx="37">
                  <c:v>78.13</c:v>
                </c:pt>
                <c:pt idx="38">
                  <c:v>78.072999999999993</c:v>
                </c:pt>
                <c:pt idx="39">
                  <c:v>78.024019999999993</c:v>
                </c:pt>
                <c:pt idx="40">
                  <c:v>77.984009999999998</c:v>
                </c:pt>
                <c:pt idx="41">
                  <c:v>77.955020000000005</c:v>
                </c:pt>
                <c:pt idx="42">
                  <c:v>77.937010000000001</c:v>
                </c:pt>
                <c:pt idx="43">
                  <c:v>77.929990000000004</c:v>
                </c:pt>
                <c:pt idx="44">
                  <c:v>77.936000000000007</c:v>
                </c:pt>
                <c:pt idx="45">
                  <c:v>77.954009999999997</c:v>
                </c:pt>
                <c:pt idx="46">
                  <c:v>77.985990000000001</c:v>
                </c:pt>
                <c:pt idx="47">
                  <c:v>78.03201</c:v>
                </c:pt>
                <c:pt idx="48">
                  <c:v>78.093990000000005</c:v>
                </c:pt>
                <c:pt idx="49">
                  <c:v>78.171999999999997</c:v>
                </c:pt>
                <c:pt idx="50">
                  <c:v>78.268010000000004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1-4051-A3BA-D7550F3D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Fracción 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  <c:max val="10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8B0-4FB0-BE75-7E2311BFCAD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0-4FB0-BE75-7E2311BFCAD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8B0-4FB0-BE75-7E2311BFCAD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B0-4FB0-BE75-7E2311BFCAD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0-4FB0-BE75-7E2311BFCAD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0-4FB0-BE75-7E2311BFCAD9}"/>
            </c:ext>
          </c:extLst>
        </c:ser>
        <c:ser>
          <c:idx val="3"/>
          <c:order val="4"/>
          <c:tx>
            <c:v>xD8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xVal>
          <c:y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B0-4FB0-BE75-7E2311BFCAD9}"/>
            </c:ext>
          </c:extLst>
        </c:ser>
        <c:ser>
          <c:idx val="4"/>
          <c:order val="5"/>
          <c:tx>
            <c:v>Línea Enreq. 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9.2'!$M$21)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('Ejemplo 9.2'!$U$100,'Ejemplo 9.2'!$M$21)</c:f>
              <c:numCache>
                <c:formatCode>0.000</c:formatCode>
                <c:ptCount val="2"/>
                <c:pt idx="0">
                  <c:v>0.17499999999999999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0-4FB0-BE75-7E2311BFCAD9}"/>
            </c:ext>
          </c:extLst>
        </c:ser>
        <c:ser>
          <c:idx val="5"/>
          <c:order val="6"/>
          <c:tx>
            <c:v>Etapas Enreq. 8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9.2'!$T$93:$T$99</c:f>
              <c:numCache>
                <c:formatCode>0.000</c:formatCode>
                <c:ptCount val="7"/>
                <c:pt idx="0">
                  <c:v>0.35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2.5999999999999999E-2</c:v>
                </c:pt>
                <c:pt idx="6">
                  <c:v>2.5999999999999999E-2</c:v>
                </c:pt>
              </c:numCache>
            </c:numRef>
          </c:xVal>
          <c:yVal>
            <c:numRef>
              <c:f>'Ejemplo 9.2'!$U$93:$U$99</c:f>
              <c:numCache>
                <c:formatCode>0.000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0.20549999999999999</c:v>
                </c:pt>
                <c:pt idx="3">
                  <c:v>0.20549999999999999</c:v>
                </c:pt>
                <c:pt idx="4">
                  <c:v>0.191</c:v>
                </c:pt>
                <c:pt idx="5">
                  <c:v>0.191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6-4EC8-90EF-3795375B7AC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C-436C-B104-11514541A3C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940-48DA-A6AE-9F54401546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0-48DA-A6AE-9F54401546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C-436C-B104-11514541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5C-436C-B104-11514541A3C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9D-43E7-8F61-EB23745AD212}"/>
            </c:ext>
          </c:extLst>
        </c:ser>
        <c:ser>
          <c:idx val="3"/>
          <c:order val="4"/>
          <c:tx>
            <c:v>xD1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xVal>
          <c:y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9D-43E7-8F61-EB23745AD212}"/>
            </c:ext>
          </c:extLst>
        </c:ser>
        <c:ser>
          <c:idx val="4"/>
          <c:order val="5"/>
          <c:tx>
            <c:v>Línea Enreq.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6-4EC8-90EF-3795375B7AC8}"/>
              </c:ext>
            </c:extLst>
          </c:dPt>
          <c:xVal>
            <c:numRef>
              <c:f>('Ejemplo 9.2'!$J$12,'Ejemplo 9.2'!$F$21)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('Ejemplo 9.2'!$H$37,'Ejemplo 9.2'!$F$21)</c:f>
              <c:numCache>
                <c:formatCode>0.000</c:formatCode>
                <c:ptCount val="2"/>
                <c:pt idx="0">
                  <c:v>0.375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9D-43E7-8F61-EB23745AD212}"/>
            </c:ext>
          </c:extLst>
        </c:ser>
        <c:ser>
          <c:idx val="5"/>
          <c:order val="6"/>
          <c:tx>
            <c:v>Etapas Enreq. 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CB6-4EC8-90EF-3795375B7AC8}"/>
              </c:ext>
            </c:extLst>
          </c:dPt>
          <c:xVal>
            <c:numRef>
              <c:f>'Ejemplo 9.2'!$G$30:$G$34</c:f>
              <c:numCache>
                <c:formatCode>0.000</c:formatCode>
                <c:ptCount val="5"/>
                <c:pt idx="0">
                  <c:v>0.75</c:v>
                </c:pt>
                <c:pt idx="1">
                  <c:v>0.70499999999999996</c:v>
                </c:pt>
                <c:pt idx="2">
                  <c:v>0.70499999999999996</c:v>
                </c:pt>
                <c:pt idx="3">
                  <c:v>0.66500000000000004</c:v>
                </c:pt>
                <c:pt idx="4">
                  <c:v>0.66500000000000004</c:v>
                </c:pt>
              </c:numCache>
            </c:numRef>
          </c:xVal>
          <c:yVal>
            <c:numRef>
              <c:f>'Ejemplo 9.2'!$H$30:$H$34</c:f>
              <c:numCache>
                <c:formatCode>0,000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0.72750000000000004</c:v>
                </c:pt>
                <c:pt idx="3">
                  <c:v>0.72750000000000004</c:v>
                </c:pt>
                <c:pt idx="4">
                  <c:v>0.70750000000000002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9D-43E7-8F61-EB23745A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Grafica 1/(y-x) vs x. sistema etanol 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C"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257161461601807"/>
          <c:y val="0.1224294411475591"/>
          <c:w val="0.73008206105558426"/>
          <c:h val="0.77900289390116573"/>
        </c:manualLayout>
      </c:layout>
      <c:scatterChart>
        <c:scatterStyle val="lineMarker"/>
        <c:varyColors val="0"/>
        <c:ser>
          <c:idx val="1"/>
          <c:order val="0"/>
          <c:tx>
            <c:v>1/(y-x)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196728849645671E-3"/>
                  <c:y val="0.607343145024753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y = 433,99x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4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- 529,58x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+ 232,01x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- 37,228x + 3,8194</a:t>
                    </a:r>
                    <a:br>
                      <a:rPr lang="en-US" sz="16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R² = 0,999</a:t>
                    </a:r>
                    <a:endParaRPr lang="en-US" sz="16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'Ejemplo 9.2'!$B$110:$B$117</c:f>
              <c:numCache>
                <c:formatCode>0.000</c:formatCode>
                <c:ptCount val="8"/>
                <c:pt idx="0">
                  <c:v>0.63500000000000001</c:v>
                </c:pt>
                <c:pt idx="1">
                  <c:v>0.39</c:v>
                </c:pt>
                <c:pt idx="2">
                  <c:v>0.23499999999999999</c:v>
                </c:pt>
                <c:pt idx="3">
                  <c:v>0.15</c:v>
                </c:pt>
                <c:pt idx="4">
                  <c:v>8.8999999999999996E-2</c:v>
                </c:pt>
                <c:pt idx="5">
                  <c:v>4.4999999999999998E-2</c:v>
                </c:pt>
                <c:pt idx="6">
                  <c:v>3.5999999999999997E-2</c:v>
                </c:pt>
                <c:pt idx="7">
                  <c:v>2.5999999999999999E-2</c:v>
                </c:pt>
              </c:numCache>
            </c:numRef>
          </c:xVal>
          <c:yVal>
            <c:numRef>
              <c:f>'Ejemplo 9.2'!$E$110:$E$117</c:f>
              <c:numCache>
                <c:formatCode>0.000</c:formatCode>
                <c:ptCount val="8"/>
                <c:pt idx="0">
                  <c:v>8.6956521739130448</c:v>
                </c:pt>
                <c:pt idx="1">
                  <c:v>3.2258064516129039</c:v>
                </c:pt>
                <c:pt idx="2">
                  <c:v>2.2727272727272725</c:v>
                </c:pt>
                <c:pt idx="3">
                  <c:v>2</c:v>
                </c:pt>
                <c:pt idx="4">
                  <c:v>1.9569471624266144</c:v>
                </c:pt>
                <c:pt idx="5">
                  <c:v>2.4691358024691357</c:v>
                </c:pt>
                <c:pt idx="6">
                  <c:v>2.7472527472527468</c:v>
                </c:pt>
                <c:pt idx="7">
                  <c:v>3.0864197530864201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6-406B-82E4-00823327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09868508315702"/>
          <c:y val="0.49648699572451255"/>
          <c:w val="0.12220154692205484"/>
          <c:h val="0.20443081476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EDD-471C-8498-BE10C71E066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D-471C-8498-BE10C71E066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EDD-471C-8498-BE10C71E0668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DD-471C-8498-BE10C71E0668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D-471C-8498-BE10C71E066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DD-471C-8498-BE10C71E0668}"/>
            </c:ext>
          </c:extLst>
        </c:ser>
        <c:ser>
          <c:idx val="3"/>
          <c:order val="4"/>
          <c:tx>
            <c:v>xD2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xVal>
          <c:y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DD-471C-8498-BE10C71E0668}"/>
            </c:ext>
          </c:extLst>
        </c:ser>
        <c:ser>
          <c:idx val="4"/>
          <c:order val="5"/>
          <c:tx>
            <c:v>Línea Enreq.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9.2'!$G$21)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('Ejemplo 9.2'!$U$37,'Ejemplo 9.2'!$G$21)</c:f>
              <c:numCache>
                <c:formatCode>0.000</c:formatCode>
                <c:ptCount val="2"/>
                <c:pt idx="0">
                  <c:v>0.35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DD-471C-8498-BE10C71E0668}"/>
            </c:ext>
          </c:extLst>
        </c:ser>
        <c:ser>
          <c:idx val="5"/>
          <c:order val="6"/>
          <c:tx>
            <c:v>Etapas Enreq. 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9.2'!$T$30:$T$36</c:f>
              <c:numCache>
                <c:formatCode>0.000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0.505</c:v>
                </c:pt>
                <c:pt idx="4">
                  <c:v>0.505</c:v>
                </c:pt>
                <c:pt idx="5">
                  <c:v>0.39</c:v>
                </c:pt>
                <c:pt idx="6">
                  <c:v>0.39</c:v>
                </c:pt>
              </c:numCache>
            </c:numRef>
          </c:xVal>
          <c:yVal>
            <c:numRef>
              <c:f>'Ejemplo 9.2'!$U$30:$U$36</c:f>
              <c:numCache>
                <c:formatCode>0.000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0.64999999999999991</c:v>
                </c:pt>
                <c:pt idx="3">
                  <c:v>0.64999999999999991</c:v>
                </c:pt>
                <c:pt idx="4">
                  <c:v>0.60250000000000004</c:v>
                </c:pt>
                <c:pt idx="5">
                  <c:v>0.60250000000000004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36C-4F36-B3D4-DBDD500BC6C2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C-4F36-B3D4-DBDD500BC6C2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36C-4F36-B3D4-DBDD500BC6C2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6C-4F36-B3D4-DBDD500BC6C2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C-4F36-B3D4-DBDD500BC6C2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C-4F36-B3D4-DBDD500BC6C2}"/>
            </c:ext>
          </c:extLst>
        </c:ser>
        <c:ser>
          <c:idx val="3"/>
          <c:order val="4"/>
          <c:tx>
            <c:v>xD3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6C-4F36-B3D4-DBDD500BC6C2}"/>
            </c:ext>
          </c:extLst>
        </c:ser>
        <c:ser>
          <c:idx val="4"/>
          <c:order val="5"/>
          <c:tx>
            <c:v>Línea Enreq.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9.2'!$H$21)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0.67500000000000004</c:v>
                </c:pt>
              </c:numCache>
            </c:numRef>
          </c:xVal>
          <c:yVal>
            <c:numRef>
              <c:f>('Ejemplo 9.2'!$H$58,'Ejemplo 9.2'!$H$21)</c:f>
              <c:numCache>
                <c:formatCode>0.000</c:formatCode>
                <c:ptCount val="2"/>
                <c:pt idx="0">
                  <c:v>0.33750000000000002</c:v>
                </c:pt>
                <c:pt idx="1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6C-4F36-B3D4-DBDD500BC6C2}"/>
            </c:ext>
          </c:extLst>
        </c:ser>
        <c:ser>
          <c:idx val="5"/>
          <c:order val="6"/>
          <c:tx>
            <c:v>Etapas Enreq. 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9.2'!$G$51:$G$57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0.53500000000000003</c:v>
                </c:pt>
                <c:pt idx="2">
                  <c:v>0.53500000000000003</c:v>
                </c:pt>
                <c:pt idx="3">
                  <c:v>0.38500000000000001</c:v>
                </c:pt>
                <c:pt idx="4">
                  <c:v>0.38500000000000001</c:v>
                </c:pt>
                <c:pt idx="5">
                  <c:v>0.23499999999999999</c:v>
                </c:pt>
                <c:pt idx="6">
                  <c:v>0.23499999999999999</c:v>
                </c:pt>
              </c:numCache>
            </c:numRef>
          </c:xVal>
          <c:yVal>
            <c:numRef>
              <c:f>'Ejemplo 9.2'!$H$51:$H$57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0.67500000000000004</c:v>
                </c:pt>
                <c:pt idx="2">
                  <c:v>0.60499999999999998</c:v>
                </c:pt>
                <c:pt idx="3">
                  <c:v>0.60499999999999998</c:v>
                </c:pt>
                <c:pt idx="4">
                  <c:v>0.53</c:v>
                </c:pt>
                <c:pt idx="5">
                  <c:v>0.53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4EE-4C75-B20F-8E63D3083143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E-4C75-B20F-8E63D3083143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4EE-4C75-B20F-8E63D3083143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EE-4C75-B20F-8E63D3083143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E-4C75-B20F-8E63D3083143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EE-4C75-B20F-8E63D3083143}"/>
            </c:ext>
          </c:extLst>
        </c:ser>
        <c:ser>
          <c:idx val="3"/>
          <c:order val="4"/>
          <c:tx>
            <c:v>xD4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xVal>
          <c:y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EE-4C75-B20F-8E63D3083143}"/>
            </c:ext>
          </c:extLst>
        </c:ser>
        <c:ser>
          <c:idx val="4"/>
          <c:order val="5"/>
          <c:tx>
            <c:v>Línea Enreq. 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9.2'!$I$21)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0.65</c:v>
                </c:pt>
              </c:numCache>
            </c:numRef>
          </c:xVal>
          <c:yVal>
            <c:numRef>
              <c:f>('Ejemplo 9.2'!$U$58,'Ejemplo 9.2'!$I$21)</c:f>
              <c:numCache>
                <c:formatCode>0.000</c:formatCode>
                <c:ptCount val="2"/>
                <c:pt idx="0">
                  <c:v>0.32500000000000001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EE-4C75-B20F-8E63D3083143}"/>
            </c:ext>
          </c:extLst>
        </c:ser>
        <c:ser>
          <c:idx val="5"/>
          <c:order val="6"/>
          <c:tx>
            <c:v>Etapas Enreq. 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9.2'!$T$51:$T$57</c:f>
              <c:numCache>
                <c:formatCode>0.000</c:formatCode>
                <c:ptCount val="7"/>
                <c:pt idx="0">
                  <c:v>0.65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0.15</c:v>
                </c:pt>
                <c:pt idx="6">
                  <c:v>0.15</c:v>
                </c:pt>
              </c:numCache>
            </c:numRef>
          </c:xVal>
          <c:yVal>
            <c:numRef>
              <c:f>'Ejemplo 9.2'!$U$51:$U$57</c:f>
              <c:numCache>
                <c:formatCode>0.000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0.5575</c:v>
                </c:pt>
                <c:pt idx="3">
                  <c:v>0.5575</c:v>
                </c:pt>
                <c:pt idx="4">
                  <c:v>0.46250000000000002</c:v>
                </c:pt>
                <c:pt idx="5">
                  <c:v>0.46250000000000002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B4B-4394-9A5A-96080E4E4BA1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B-4394-9A5A-96080E4E4BA1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B4B-4394-9A5A-96080E4E4BA1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4B-4394-9A5A-96080E4E4BA1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B-4394-9A5A-96080E4E4BA1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4B-4394-9A5A-96080E4E4BA1}"/>
            </c:ext>
          </c:extLst>
        </c:ser>
        <c:ser>
          <c:idx val="3"/>
          <c:order val="4"/>
          <c:tx>
            <c:v>xD5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xVal>
          <c:y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4B-4394-9A5A-96080E4E4BA1}"/>
            </c:ext>
          </c:extLst>
        </c:ser>
        <c:ser>
          <c:idx val="4"/>
          <c:order val="5"/>
          <c:tx>
            <c:v>Línea Enreq. 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9.2'!$J$21)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('Ejemplo 9.2'!$H$79,'Ejemplo 9.2'!$J$21)</c:f>
              <c:numCache>
                <c:formatCode>0.000</c:formatCode>
                <c:ptCount val="2"/>
                <c:pt idx="0">
                  <c:v>0.3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4B-4394-9A5A-96080E4E4BA1}"/>
            </c:ext>
          </c:extLst>
        </c:ser>
        <c:ser>
          <c:idx val="5"/>
          <c:order val="6"/>
          <c:tx>
            <c:v>Etapas Enreq. 5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9.2'!$G$72:$G$78</c:f>
              <c:numCache>
                <c:formatCode>0.000</c:formatCode>
                <c:ptCount val="7"/>
                <c:pt idx="0">
                  <c:v>0.6</c:v>
                </c:pt>
                <c:pt idx="1">
                  <c:v>0.33800000000000002</c:v>
                </c:pt>
                <c:pt idx="2">
                  <c:v>0.33800000000000002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8.8999999999999996E-2</c:v>
                </c:pt>
                <c:pt idx="6">
                  <c:v>8.8999999999999996E-2</c:v>
                </c:pt>
              </c:numCache>
            </c:numRef>
          </c:xVal>
          <c:yVal>
            <c:numRef>
              <c:f>'Ejemplo 9.2'!$H$72:$H$78</c:f>
              <c:numCache>
                <c:formatCode>0.000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0.46899999999999997</c:v>
                </c:pt>
                <c:pt idx="3">
                  <c:v>0.46899999999999997</c:v>
                </c:pt>
                <c:pt idx="4">
                  <c:v>0.374</c:v>
                </c:pt>
                <c:pt idx="5">
                  <c:v>0.374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C27-4A67-BA6E-9C05EB0E976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7-4A67-BA6E-9C05EB0E976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C27-4A67-BA6E-9C05EB0E976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7-4A67-BA6E-9C05EB0E976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7-4A67-BA6E-9C05EB0E976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27-4A67-BA6E-9C05EB0E9769}"/>
            </c:ext>
          </c:extLst>
        </c:ser>
        <c:ser>
          <c:idx val="3"/>
          <c:order val="4"/>
          <c:tx>
            <c:v>xD6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xVal>
          <c:y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7-4A67-BA6E-9C05EB0E9769}"/>
            </c:ext>
          </c:extLst>
        </c:ser>
        <c:ser>
          <c:idx val="4"/>
          <c:order val="5"/>
          <c:tx>
            <c:v>Línea Enreq. 6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9.2'!$K$21)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('Ejemplo 9.2'!$U$79,'Ejemplo 9.2'!$K$21)</c:f>
              <c:numCache>
                <c:formatCode>0.000</c:formatCode>
                <c:ptCount val="2"/>
                <c:pt idx="0">
                  <c:v>0.22500000000000001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27-4A67-BA6E-9C05EB0E9769}"/>
            </c:ext>
          </c:extLst>
        </c:ser>
        <c:ser>
          <c:idx val="5"/>
          <c:order val="6"/>
          <c:tx>
            <c:v>Etapas Enreq. 6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9.2'!$T$72:$T$78</c:f>
              <c:numCache>
                <c:formatCode>0.000</c:formatCode>
                <c:ptCount val="7"/>
                <c:pt idx="0">
                  <c:v>0.45</c:v>
                </c:pt>
                <c:pt idx="1">
                  <c:v>0.112</c:v>
                </c:pt>
                <c:pt idx="2">
                  <c:v>0.112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4.4999999999999998E-2</c:v>
                </c:pt>
                <c:pt idx="6">
                  <c:v>4.4999999999999998E-2</c:v>
                </c:pt>
              </c:numCache>
            </c:numRef>
          </c:xVal>
          <c:yVal>
            <c:numRef>
              <c:f>'Ejemplo 9.2'!$U$72:$U$78</c:f>
              <c:numCache>
                <c:formatCode>0.000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0.28100000000000003</c:v>
                </c:pt>
                <c:pt idx="3">
                  <c:v>0.28100000000000003</c:v>
                </c:pt>
                <c:pt idx="4">
                  <c:v>0.251</c:v>
                </c:pt>
                <c:pt idx="5">
                  <c:v>0.251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7A0-49D2-AD0D-2B8BC40F9EC6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0-49D2-AD0D-2B8BC40F9EC6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A0-49D2-AD0D-2B8BC40F9E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A0-49D2-AD0D-2B8BC40F9E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0-49D2-AD0D-2B8BC40F9EC6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0-49D2-AD0D-2B8BC40F9EC6}"/>
            </c:ext>
          </c:extLst>
        </c:ser>
        <c:ser>
          <c:idx val="3"/>
          <c:order val="4"/>
          <c:tx>
            <c:v>xD7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xVal>
          <c:y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0-49D2-AD0D-2B8BC40F9EC6}"/>
            </c:ext>
          </c:extLst>
        </c:ser>
        <c:ser>
          <c:idx val="4"/>
          <c:order val="5"/>
          <c:tx>
            <c:v>Línea Enreq. 7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9.2'!$L$21)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('Ejemplo 9.2'!$H$100,'Ejemplo 9.2'!$L$21)</c:f>
              <c:numCache>
                <c:formatCode>0.000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A0-49D2-AD0D-2B8BC40F9EC6}"/>
            </c:ext>
          </c:extLst>
        </c:ser>
        <c:ser>
          <c:idx val="5"/>
          <c:order val="6"/>
          <c:tx>
            <c:v>Etapas Enreq. 7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9.2'!$G$93:$G$99</c:f>
              <c:numCache>
                <c:formatCode>0.000</c:formatCode>
                <c:ptCount val="7"/>
                <c:pt idx="0">
                  <c:v>0.4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3.5999999999999997E-2</c:v>
                </c:pt>
                <c:pt idx="6">
                  <c:v>3.5999999999999997E-2</c:v>
                </c:pt>
              </c:numCache>
            </c:numRef>
          </c:xVal>
          <c:yVal>
            <c:numRef>
              <c:f>'Ejemplo 9.2'!$H$93:$H$99</c:f>
              <c:numCache>
                <c:formatCode>0.000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0.24050000000000002</c:v>
                </c:pt>
                <c:pt idx="3">
                  <c:v>0.24050000000000002</c:v>
                </c:pt>
                <c:pt idx="4">
                  <c:v>0.2205</c:v>
                </c:pt>
                <c:pt idx="5">
                  <c:v>0.2205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476251</xdr:colOff>
      <xdr:row>6</xdr:row>
      <xdr:rowOff>47926</xdr:rowOff>
    </xdr:from>
    <xdr:to>
      <xdr:col>20</xdr:col>
      <xdr:colOff>583407</xdr:colOff>
      <xdr:row>20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BA87B-290D-4E0B-B832-6B525E6CB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1585</xdr:colOff>
      <xdr:row>23</xdr:row>
      <xdr:rowOff>3969</xdr:rowOff>
    </xdr:from>
    <xdr:to>
      <xdr:col>16</xdr:col>
      <xdr:colOff>746125</xdr:colOff>
      <xdr:row>41</xdr:row>
      <xdr:rowOff>83345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7188A6-AF8E-43D0-9F90-05E0CB08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114867</xdr:colOff>
      <xdr:row>106</xdr:row>
      <xdr:rowOff>7253</xdr:rowOff>
    </xdr:from>
    <xdr:to>
      <xdr:col>18</xdr:col>
      <xdr:colOff>100693</xdr:colOff>
      <xdr:row>130</xdr:row>
      <xdr:rowOff>166007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DFA627-B249-46EA-AB73-5EE6D687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23</xdr:row>
      <xdr:rowOff>0</xdr:rowOff>
    </xdr:from>
    <xdr:to>
      <xdr:col>30</xdr:col>
      <xdr:colOff>252415</xdr:colOff>
      <xdr:row>41</xdr:row>
      <xdr:rowOff>79376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AE27CE-D414-49D3-8680-A907DF68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44</xdr:row>
      <xdr:rowOff>15875</xdr:rowOff>
    </xdr:from>
    <xdr:to>
      <xdr:col>16</xdr:col>
      <xdr:colOff>744540</xdr:colOff>
      <xdr:row>62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40B193-0148-45B5-BEA8-1BEE7AC13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30</xdr:col>
      <xdr:colOff>227469</xdr:colOff>
      <xdr:row>62</xdr:row>
      <xdr:rowOff>79376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6CB30B-808C-4D2E-98A1-E100C565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1585</xdr:colOff>
      <xdr:row>65</xdr:row>
      <xdr:rowOff>3969</xdr:rowOff>
    </xdr:from>
    <xdr:to>
      <xdr:col>16</xdr:col>
      <xdr:colOff>746125</xdr:colOff>
      <xdr:row>83</xdr:row>
      <xdr:rowOff>83345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06A4E1-46AF-452D-8552-3CADF3EA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15875</xdr:colOff>
      <xdr:row>65</xdr:row>
      <xdr:rowOff>0</xdr:rowOff>
    </xdr:from>
    <xdr:to>
      <xdr:col>30</xdr:col>
      <xdr:colOff>252415</xdr:colOff>
      <xdr:row>83</xdr:row>
      <xdr:rowOff>79376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A0BA4C4-D73B-4880-8DB1-DE6186B0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86</xdr:row>
      <xdr:rowOff>15875</xdr:rowOff>
    </xdr:from>
    <xdr:to>
      <xdr:col>16</xdr:col>
      <xdr:colOff>744540</xdr:colOff>
      <xdr:row>104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F2019B-8E22-4777-A995-923A9248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227469</xdr:colOff>
      <xdr:row>104</xdr:row>
      <xdr:rowOff>79376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EDFCBD-63F9-4F03-A6AB-09963995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0</xdr:col>
      <xdr:colOff>0</xdr:colOff>
      <xdr:row>85</xdr:row>
      <xdr:rowOff>119061</xdr:rowOff>
    </xdr:from>
    <xdr:ext cx="3214687" cy="1309688"/>
    <xdr:pic>
      <xdr:nvPicPr>
        <xdr:cNvPr id="14" name="Imagen 22">
          <a:extLst>
            <a:ext uri="{FF2B5EF4-FFF2-40B4-BE49-F238E27FC236}">
              <a16:creationId xmlns:a16="http://schemas.microsoft.com/office/drawing/2014/main" id="{BADB6BB0-8F3E-4466-9C88-DC1C2AB04EA3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454436"/>
          <a:ext cx="3214687" cy="13096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0</xdr:col>
      <xdr:colOff>0</xdr:colOff>
      <xdr:row>92</xdr:row>
      <xdr:rowOff>107157</xdr:rowOff>
    </xdr:from>
    <xdr:ext cx="3214687" cy="2352270"/>
    <xdr:pic>
      <xdr:nvPicPr>
        <xdr:cNvPr id="15" name="Imagen 24">
          <a:extLst>
            <a:ext uri="{FF2B5EF4-FFF2-40B4-BE49-F238E27FC236}">
              <a16:creationId xmlns:a16="http://schemas.microsoft.com/office/drawing/2014/main" id="{5F924A48-320E-40FA-BC64-CCABCFABE221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776032"/>
          <a:ext cx="3214687" cy="23522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992DD-53E5-4291-925E-2BFDD67EE516}" name="Tabla7" displayName="Tabla7" ref="A1:C52" totalsRowShown="0" headerRowDxfId="4" dataDxfId="3">
  <autoFilter ref="A1:C52" xr:uid="{A48A573E-F406-4185-987E-E5CBA58D7677}"/>
  <tableColumns count="3">
    <tableColumn id="1" xr3:uid="{9EDF599E-9E82-4246-AA41-BE58DF363623}" name="x" dataDxfId="2"/>
    <tableColumn id="2" xr3:uid="{1353E036-83E1-40BF-9A40-041BE0AD2206}" name="y" dataDxfId="1"/>
    <tableColumn id="3" xr3:uid="{D70E97AD-3ADC-444F-A3EC-FC4BC201A678}" name="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B1B-0E19-4198-B772-4B4645F68BFE}">
  <dimension ref="A1:AE180"/>
  <sheetViews>
    <sheetView topLeftCell="A91" zoomScale="80" zoomScaleNormal="80" zoomScaleSheetLayoutView="50" workbookViewId="0">
      <selection activeCell="H34" sqref="H34"/>
    </sheetView>
  </sheetViews>
  <sheetFormatPr defaultColWidth="11.42578125" defaultRowHeight="15" x14ac:dyDescent="0.25"/>
  <cols>
    <col min="2" max="2" width="12" customWidth="1"/>
    <col min="3" max="3" width="14" customWidth="1"/>
    <col min="10" max="10" width="15.140625" customWidth="1"/>
  </cols>
  <sheetData>
    <row r="1" spans="1:22" s="6" customFormat="1" ht="15" customHeight="1" x14ac:dyDescent="0.25">
      <c r="A1" s="36" t="s">
        <v>73</v>
      </c>
      <c r="B1" s="36"/>
      <c r="C1" s="36"/>
      <c r="D1" s="36"/>
      <c r="E1" s="36"/>
      <c r="F1" s="36"/>
      <c r="G1" s="36"/>
      <c r="H1" s="36"/>
      <c r="I1" s="36"/>
      <c r="J1" s="36"/>
      <c r="K1" s="36"/>
      <c r="M1" s="37" t="s">
        <v>39</v>
      </c>
      <c r="N1" s="37"/>
      <c r="O1" s="37"/>
      <c r="P1" s="37"/>
      <c r="Q1" s="37"/>
      <c r="R1" s="37"/>
      <c r="S1" s="37"/>
      <c r="T1" s="37"/>
      <c r="U1" s="37"/>
      <c r="V1" s="37"/>
    </row>
    <row r="2" spans="1:22" s="6" customFormat="1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s="6" customFormat="1" ht="1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s="6" customFormat="1" ht="1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s="6" customFormat="1" ht="1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 s="6" customFormat="1" ht="15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 x14ac:dyDescent="0.25">
      <c r="A7" s="1"/>
      <c r="B7" s="1"/>
      <c r="C7" s="1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2" x14ac:dyDescent="0.25">
      <c r="A8" s="35" t="s">
        <v>27</v>
      </c>
      <c r="B8" s="35"/>
      <c r="C8" s="35"/>
      <c r="D8" s="35"/>
      <c r="F8" s="38" t="s">
        <v>30</v>
      </c>
      <c r="G8" s="38"/>
      <c r="J8" s="2"/>
      <c r="K8" s="2"/>
      <c r="L8" s="2"/>
      <c r="M8" s="2"/>
      <c r="N8" s="2"/>
      <c r="O8" s="2"/>
      <c r="P8" s="2"/>
    </row>
    <row r="9" spans="1:22" x14ac:dyDescent="0.25">
      <c r="A9" s="8" t="s">
        <v>1</v>
      </c>
      <c r="B9" s="8" t="s">
        <v>2</v>
      </c>
      <c r="C9" s="8" t="s">
        <v>40</v>
      </c>
      <c r="D9" s="8" t="s">
        <v>29</v>
      </c>
      <c r="F9" s="8" t="s">
        <v>31</v>
      </c>
      <c r="G9" s="16">
        <v>100</v>
      </c>
      <c r="H9" s="5"/>
      <c r="I9" s="5"/>
      <c r="J9" s="2"/>
      <c r="K9" s="2"/>
      <c r="L9" s="2"/>
      <c r="M9" s="2"/>
      <c r="N9" s="2"/>
      <c r="O9" s="2"/>
      <c r="P9" s="2"/>
    </row>
    <row r="10" spans="1:22" x14ac:dyDescent="0.25">
      <c r="A10" s="11">
        <f>Data!A2</f>
        <v>0</v>
      </c>
      <c r="B10" s="11">
        <f>Data!B2</f>
        <v>0</v>
      </c>
      <c r="C10" s="12">
        <f>Data!C2</f>
        <v>99.786010000000005</v>
      </c>
      <c r="D10" s="13" t="s">
        <v>28</v>
      </c>
      <c r="F10" s="8" t="s">
        <v>32</v>
      </c>
      <c r="G10" s="18">
        <v>4.4999999999999998E-2</v>
      </c>
      <c r="I10" s="39" t="s">
        <v>37</v>
      </c>
      <c r="J10" s="39"/>
    </row>
    <row r="11" spans="1:22" x14ac:dyDescent="0.25">
      <c r="A11" s="14">
        <f>Data!A3</f>
        <v>0.02</v>
      </c>
      <c r="B11" s="14">
        <f>Data!B3</f>
        <v>0.17252799999999999</v>
      </c>
      <c r="C11" s="15">
        <f>Data!C3</f>
        <v>95.039000000000001</v>
      </c>
      <c r="D11" s="16">
        <f t="shared" ref="D11:D59" si="0">(B11/A11)/((1-B11)/(1-A11))</f>
        <v>10.216505211052457</v>
      </c>
      <c r="F11" s="8" t="s">
        <v>0</v>
      </c>
      <c r="G11" s="16">
        <v>0.32</v>
      </c>
      <c r="I11" s="10" t="s">
        <v>14</v>
      </c>
      <c r="J11" s="20">
        <f>(G12/(1+G12))</f>
        <v>0.5</v>
      </c>
    </row>
    <row r="12" spans="1:22" x14ac:dyDescent="0.25">
      <c r="A12" s="14">
        <f>Data!A4</f>
        <v>0.04</v>
      </c>
      <c r="B12" s="14">
        <f>Data!B4</f>
        <v>0.27841199999999999</v>
      </c>
      <c r="C12" s="15">
        <f>Data!C4</f>
        <v>91.786010000000005</v>
      </c>
      <c r="D12" s="16">
        <f t="shared" si="0"/>
        <v>9.2599766071497847</v>
      </c>
      <c r="F12" s="8" t="s">
        <v>13</v>
      </c>
      <c r="G12" s="16">
        <v>1</v>
      </c>
      <c r="I12" s="10" t="s">
        <v>22</v>
      </c>
      <c r="J12" s="20">
        <v>0</v>
      </c>
    </row>
    <row r="13" spans="1:22" x14ac:dyDescent="0.25">
      <c r="A13" s="14">
        <f>Data!A5</f>
        <v>0.06</v>
      </c>
      <c r="B13" s="14">
        <f>Data!B5</f>
        <v>0.34927000000000002</v>
      </c>
      <c r="C13" s="15">
        <f>Data!C5</f>
        <v>89.44699</v>
      </c>
      <c r="D13" s="16">
        <f t="shared" si="0"/>
        <v>8.4088587688698322</v>
      </c>
      <c r="E13" s="2"/>
      <c r="F13" s="8" t="s">
        <v>36</v>
      </c>
      <c r="G13" s="19">
        <v>2</v>
      </c>
    </row>
    <row r="14" spans="1:22" x14ac:dyDescent="0.25">
      <c r="A14" s="14">
        <f>Data!A6</f>
        <v>0.08</v>
      </c>
      <c r="B14" s="14">
        <f>Data!B6</f>
        <v>0.39963900000000002</v>
      </c>
      <c r="C14" s="15">
        <f>Data!C6</f>
        <v>87.703000000000003</v>
      </c>
      <c r="D14" s="16">
        <f t="shared" si="0"/>
        <v>7.6551416564367134</v>
      </c>
      <c r="E14" s="2"/>
      <c r="P14" s="2"/>
      <c r="Q14" s="2"/>
      <c r="R14" s="2"/>
    </row>
    <row r="15" spans="1:22" ht="15" customHeight="1" x14ac:dyDescent="0.25">
      <c r="A15" s="14">
        <f>Data!A7</f>
        <v>0.1</v>
      </c>
      <c r="B15" s="14">
        <f>Data!B7</f>
        <v>0.43717600000000001</v>
      </c>
      <c r="C15" s="15">
        <f>Data!C7</f>
        <v>86.367000000000004</v>
      </c>
      <c r="D15" s="16">
        <f t="shared" si="0"/>
        <v>6.9907893053601127</v>
      </c>
      <c r="E15" s="2"/>
    </row>
    <row r="16" spans="1:22" ht="15" customHeight="1" x14ac:dyDescent="0.25">
      <c r="A16" s="14">
        <f>Data!A8</f>
        <v>0.12</v>
      </c>
      <c r="B16" s="14">
        <f>Data!B8</f>
        <v>0.46616000000000002</v>
      </c>
      <c r="C16" s="15">
        <f>Data!C8</f>
        <v>85.319000000000003</v>
      </c>
      <c r="D16" s="16">
        <f t="shared" si="0"/>
        <v>6.4036165642639498</v>
      </c>
      <c r="E16" s="2"/>
      <c r="F16" s="40" t="s">
        <v>52</v>
      </c>
      <c r="G16" s="40"/>
      <c r="H16" s="40"/>
      <c r="I16" s="40"/>
      <c r="J16" s="40"/>
      <c r="K16" s="40"/>
      <c r="L16" s="40"/>
      <c r="M16" s="40"/>
    </row>
    <row r="17" spans="1:30" ht="15" customHeight="1" x14ac:dyDescent="0.25">
      <c r="A17" s="14">
        <f>Data!A9</f>
        <v>0.14000000000000001</v>
      </c>
      <c r="B17" s="14">
        <f>Data!B9</f>
        <v>0.48923100000000003</v>
      </c>
      <c r="C17" s="15">
        <f>Data!C9</f>
        <v>84.480009999999993</v>
      </c>
      <c r="D17" s="16">
        <f t="shared" si="0"/>
        <v>5.883826432021408</v>
      </c>
      <c r="E17" s="2"/>
      <c r="F17" s="40"/>
      <c r="G17" s="40"/>
      <c r="H17" s="40"/>
      <c r="I17" s="40"/>
      <c r="J17" s="40"/>
      <c r="K17" s="40"/>
      <c r="L17" s="40"/>
      <c r="M17" s="40"/>
    </row>
    <row r="18" spans="1:30" x14ac:dyDescent="0.25">
      <c r="A18" s="14">
        <f>Data!A10</f>
        <v>0.16</v>
      </c>
      <c r="B18" s="14">
        <f>Data!B10</f>
        <v>0.50808399999999998</v>
      </c>
      <c r="C18" s="15">
        <f>Data!C10</f>
        <v>83.796999999999997</v>
      </c>
      <c r="D18" s="16">
        <f t="shared" si="0"/>
        <v>5.4225538506574287</v>
      </c>
      <c r="E18" s="2"/>
      <c r="F18" s="2"/>
      <c r="G18" s="2"/>
      <c r="H18" s="6"/>
      <c r="I18" s="6"/>
      <c r="J18" s="6"/>
      <c r="K18" s="6"/>
      <c r="L18" s="6"/>
      <c r="M18" s="6"/>
      <c r="N18" s="6"/>
      <c r="O18" s="6"/>
      <c r="P18" s="2"/>
    </row>
    <row r="19" spans="1:30" x14ac:dyDescent="0.25">
      <c r="A19" s="14">
        <f>Data!A11</f>
        <v>0.18</v>
      </c>
      <c r="B19" s="14">
        <f>Data!B11</f>
        <v>0.52385899999999996</v>
      </c>
      <c r="C19" s="15">
        <f>Data!C11</f>
        <v>83.231020000000001</v>
      </c>
      <c r="D19" s="16">
        <f t="shared" si="0"/>
        <v>5.0121051910626848</v>
      </c>
      <c r="E19" s="2"/>
      <c r="F19" s="34" t="s">
        <v>33</v>
      </c>
      <c r="G19" s="34"/>
      <c r="H19" s="34"/>
      <c r="I19" s="34"/>
      <c r="J19" s="34"/>
      <c r="K19" s="34"/>
      <c r="L19" s="34"/>
      <c r="M19" s="34"/>
    </row>
    <row r="20" spans="1:30" x14ac:dyDescent="0.25">
      <c r="A20" s="14">
        <f>Data!A12</f>
        <v>0.2</v>
      </c>
      <c r="B20" s="14">
        <f>Data!B12</f>
        <v>0.53734800000000005</v>
      </c>
      <c r="C20" s="15">
        <f>Data!C12</f>
        <v>82.754000000000005</v>
      </c>
      <c r="D20" s="16">
        <f t="shared" si="0"/>
        <v>4.6458072157907031</v>
      </c>
      <c r="E20" s="2"/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0" t="s">
        <v>10</v>
      </c>
      <c r="L20" s="10" t="s">
        <v>11</v>
      </c>
      <c r="M20" s="10" t="s">
        <v>12</v>
      </c>
    </row>
    <row r="21" spans="1:30" x14ac:dyDescent="0.25">
      <c r="A21" s="14">
        <f>Data!A13</f>
        <v>0.22</v>
      </c>
      <c r="B21" s="14">
        <f>Data!B13</f>
        <v>0.54911799999999999</v>
      </c>
      <c r="C21" s="15">
        <f>Data!C13</f>
        <v>82.346010000000007</v>
      </c>
      <c r="D21" s="16">
        <f t="shared" si="0"/>
        <v>4.3179211170348539</v>
      </c>
      <c r="E21" s="2"/>
      <c r="F21" s="9">
        <v>0.75</v>
      </c>
      <c r="G21" s="9">
        <v>0.7</v>
      </c>
      <c r="H21" s="9">
        <v>0.67500000000000004</v>
      </c>
      <c r="I21" s="9">
        <v>0.65</v>
      </c>
      <c r="J21" s="9">
        <v>0.6</v>
      </c>
      <c r="K21" s="9">
        <v>0.45</v>
      </c>
      <c r="L21" s="9">
        <v>0.4</v>
      </c>
      <c r="M21" s="9">
        <v>0.35</v>
      </c>
    </row>
    <row r="22" spans="1:30" x14ac:dyDescent="0.25">
      <c r="A22" s="14">
        <f>Data!A14</f>
        <v>0.24</v>
      </c>
      <c r="B22" s="14">
        <f>Data!B14</f>
        <v>0.559585</v>
      </c>
      <c r="C22" s="15">
        <f>Data!C14</f>
        <v>81.992000000000004</v>
      </c>
      <c r="D22" s="16">
        <f t="shared" si="0"/>
        <v>4.0235213756721881</v>
      </c>
      <c r="E22" s="2"/>
    </row>
    <row r="23" spans="1:30" ht="26.25" x14ac:dyDescent="0.25">
      <c r="A23" s="14">
        <f>Data!A15</f>
        <v>0.26</v>
      </c>
      <c r="B23" s="14">
        <f>Data!B15</f>
        <v>0.56906400000000001</v>
      </c>
      <c r="C23" s="15">
        <f>Data!C15</f>
        <v>81.679990000000004</v>
      </c>
      <c r="D23" s="16">
        <f t="shared" si="0"/>
        <v>3.7584320927183912</v>
      </c>
      <c r="E23" s="2"/>
      <c r="F23" s="40" t="s">
        <v>53</v>
      </c>
      <c r="G23" s="40"/>
      <c r="H23" s="40"/>
      <c r="I23" s="40"/>
      <c r="J23" s="40"/>
      <c r="K23" s="40"/>
      <c r="L23" s="40"/>
      <c r="M23" s="40"/>
    </row>
    <row r="24" spans="1:30" x14ac:dyDescent="0.25">
      <c r="A24" s="14">
        <f>Data!A16</f>
        <v>0.28000000000000003</v>
      </c>
      <c r="B24" s="14">
        <f>Data!B16</f>
        <v>0.577793</v>
      </c>
      <c r="C24" s="15">
        <f>Data!C16</f>
        <v>81.402010000000004</v>
      </c>
      <c r="D24" s="16">
        <f t="shared" si="0"/>
        <v>3.5190165690560038</v>
      </c>
      <c r="E24" s="2"/>
    </row>
    <row r="25" spans="1:30" x14ac:dyDescent="0.25">
      <c r="A25" s="14">
        <f>Data!A17</f>
        <v>0.3</v>
      </c>
      <c r="B25" s="14">
        <f>Data!B17</f>
        <v>0.58596000000000004</v>
      </c>
      <c r="C25" s="15">
        <f>Data!C17</f>
        <v>81.150999999999996</v>
      </c>
      <c r="D25" s="16">
        <f t="shared" si="0"/>
        <v>3.3021930248285196</v>
      </c>
      <c r="E25" s="2"/>
      <c r="AD25" t="s">
        <v>44</v>
      </c>
    </row>
    <row r="26" spans="1:30" x14ac:dyDescent="0.25">
      <c r="A26" s="14">
        <f>Data!A18</f>
        <v>0.32</v>
      </c>
      <c r="B26" s="14">
        <f>Data!B18</f>
        <v>0.59371300000000005</v>
      </c>
      <c r="C26" s="15">
        <f>Data!C18</f>
        <v>80.920010000000005</v>
      </c>
      <c r="D26" s="16">
        <f t="shared" si="0"/>
        <v>3.1052928717876775</v>
      </c>
      <c r="E26" s="2"/>
    </row>
    <row r="27" spans="1:30" x14ac:dyDescent="0.25">
      <c r="A27" s="14">
        <f>Data!A19</f>
        <v>0.34</v>
      </c>
      <c r="B27" s="14">
        <f>Data!B19</f>
        <v>0.60116999999999998</v>
      </c>
      <c r="C27" s="15">
        <f>Data!C19</f>
        <v>80.708010000000002</v>
      </c>
      <c r="D27" s="16">
        <f t="shared" si="0"/>
        <v>2.9260012005704912</v>
      </c>
      <c r="E27" s="2"/>
    </row>
    <row r="28" spans="1:30" x14ac:dyDescent="0.25">
      <c r="A28" s="14">
        <f>Data!A20</f>
        <v>0.36</v>
      </c>
      <c r="B28" s="14">
        <f>Data!B20</f>
        <v>0.60843100000000006</v>
      </c>
      <c r="C28" s="15">
        <f>Data!C20</f>
        <v>80.509</v>
      </c>
      <c r="D28" s="16">
        <f t="shared" si="0"/>
        <v>2.7623614512668557</v>
      </c>
      <c r="E28" s="2"/>
      <c r="G28" s="34" t="s">
        <v>38</v>
      </c>
      <c r="H28" s="34"/>
      <c r="I28" s="2"/>
      <c r="S28" s="6"/>
      <c r="T28" s="34" t="s">
        <v>43</v>
      </c>
      <c r="U28" s="34"/>
      <c r="V28" s="5"/>
    </row>
    <row r="29" spans="1:30" x14ac:dyDescent="0.25">
      <c r="A29" s="14">
        <f>Data!A21</f>
        <v>0.38</v>
      </c>
      <c r="B29" s="14">
        <f>Data!B21</f>
        <v>0.61557399999999995</v>
      </c>
      <c r="C29" s="15">
        <f>Data!C21</f>
        <v>80.322999999999993</v>
      </c>
      <c r="D29" s="16">
        <f t="shared" si="0"/>
        <v>2.6126161574590898</v>
      </c>
      <c r="E29" s="2"/>
      <c r="G29" s="10" t="s">
        <v>1</v>
      </c>
      <c r="H29" s="10" t="s">
        <v>2</v>
      </c>
      <c r="I29" s="2"/>
      <c r="S29" s="6"/>
      <c r="T29" s="10" t="s">
        <v>1</v>
      </c>
      <c r="U29" s="10" t="s">
        <v>2</v>
      </c>
      <c r="V29" s="5"/>
    </row>
    <row r="30" spans="1:30" x14ac:dyDescent="0.25">
      <c r="A30" s="14">
        <f>Data!A22</f>
        <v>0.4</v>
      </c>
      <c r="B30" s="14">
        <f>Data!B22</f>
        <v>0.622668</v>
      </c>
      <c r="C30" s="15">
        <f>Data!C22</f>
        <v>80.147000000000006</v>
      </c>
      <c r="D30" s="16">
        <f t="shared" si="0"/>
        <v>2.475279064590334</v>
      </c>
      <c r="E30" s="2"/>
      <c r="G30" s="9">
        <f>F21</f>
        <v>0.75</v>
      </c>
      <c r="H30" s="21">
        <f>G30</f>
        <v>0.75</v>
      </c>
      <c r="I30" s="10" t="s">
        <v>46</v>
      </c>
      <c r="J30" s="6"/>
      <c r="S30" s="6"/>
      <c r="T30" s="9">
        <f>G21</f>
        <v>0.7</v>
      </c>
      <c r="U30" s="21">
        <f>T30</f>
        <v>0.7</v>
      </c>
      <c r="V30" s="10" t="s">
        <v>46</v>
      </c>
    </row>
    <row r="31" spans="1:30" x14ac:dyDescent="0.25">
      <c r="A31" s="14">
        <f>Data!A23</f>
        <v>0.42</v>
      </c>
      <c r="B31" s="14">
        <f>Data!B23</f>
        <v>0.62977099999999997</v>
      </c>
      <c r="C31" s="15">
        <f>Data!C23</f>
        <v>79.978999999999999</v>
      </c>
      <c r="D31" s="16">
        <f t="shared" si="0"/>
        <v>2.3490427867745689</v>
      </c>
      <c r="E31" s="2"/>
      <c r="F31" t="s">
        <v>41</v>
      </c>
      <c r="G31" s="9">
        <f>0.705</f>
        <v>0.70499999999999996</v>
      </c>
      <c r="H31" s="9">
        <f>H30</f>
        <v>0.75</v>
      </c>
      <c r="I31" s="31">
        <v>1</v>
      </c>
      <c r="S31" s="6" t="s">
        <v>41</v>
      </c>
      <c r="T31" s="9">
        <f>0.6</f>
        <v>0.6</v>
      </c>
      <c r="U31" s="9">
        <f>U30</f>
        <v>0.7</v>
      </c>
      <c r="V31" s="31">
        <v>1</v>
      </c>
    </row>
    <row r="32" spans="1:30" x14ac:dyDescent="0.25">
      <c r="A32" s="14">
        <f>Data!A24</f>
        <v>0.44</v>
      </c>
      <c r="B32" s="14">
        <f>Data!B24</f>
        <v>0.63693100000000002</v>
      </c>
      <c r="C32" s="15">
        <f>Data!C24</f>
        <v>79.819000000000003</v>
      </c>
      <c r="D32" s="16">
        <f t="shared" si="0"/>
        <v>2.2327421359175657</v>
      </c>
      <c r="E32" s="2"/>
      <c r="G32" s="9">
        <f>G31</f>
        <v>0.70499999999999996</v>
      </c>
      <c r="H32" s="9">
        <f>$J$11*G32+$H$37</f>
        <v>0.72750000000000004</v>
      </c>
      <c r="I32" s="32"/>
      <c r="S32" s="6"/>
      <c r="T32" s="9">
        <f>T31</f>
        <v>0.6</v>
      </c>
      <c r="U32" s="9">
        <f>$J$11*T32+$U$37</f>
        <v>0.64999999999999991</v>
      </c>
      <c r="V32" s="32"/>
    </row>
    <row r="33" spans="1:22" x14ac:dyDescent="0.25">
      <c r="A33" s="14">
        <f>Data!A25</f>
        <v>0.46</v>
      </c>
      <c r="B33" s="14">
        <f>Data!B25</f>
        <v>0.64419499999999996</v>
      </c>
      <c r="C33" s="15">
        <f>Data!C25</f>
        <v>79.665009999999995</v>
      </c>
      <c r="D33" s="16">
        <f t="shared" si="0"/>
        <v>2.1254027150924752</v>
      </c>
      <c r="E33" s="2"/>
      <c r="F33" s="6" t="s">
        <v>41</v>
      </c>
      <c r="G33" s="9">
        <f>0.665</f>
        <v>0.66500000000000004</v>
      </c>
      <c r="H33" s="9">
        <f t="shared" ref="H33" si="1">H32</f>
        <v>0.72750000000000004</v>
      </c>
      <c r="I33" s="31">
        <v>2</v>
      </c>
      <c r="J33" s="6"/>
      <c r="S33" s="6" t="s">
        <v>41</v>
      </c>
      <c r="T33" s="9">
        <f>0.505</f>
        <v>0.505</v>
      </c>
      <c r="U33" s="9">
        <f t="shared" ref="U33" si="2">U32</f>
        <v>0.64999999999999991</v>
      </c>
      <c r="V33" s="31">
        <v>2</v>
      </c>
    </row>
    <row r="34" spans="1:22" x14ac:dyDescent="0.25">
      <c r="A34" s="14">
        <f>Data!A26</f>
        <v>0.48</v>
      </c>
      <c r="B34" s="14">
        <f>Data!B26</f>
        <v>0.65159900000000004</v>
      </c>
      <c r="C34" s="15">
        <f>Data!C26</f>
        <v>79.516999999999996</v>
      </c>
      <c r="D34" s="16">
        <f t="shared" si="0"/>
        <v>2.0261104780602435</v>
      </c>
      <c r="E34" s="2"/>
      <c r="F34" s="6"/>
      <c r="G34" s="9">
        <f t="shared" ref="G34" si="3">G33</f>
        <v>0.66500000000000004</v>
      </c>
      <c r="H34" s="9">
        <f>$J$11*G34+$H$37</f>
        <v>0.70750000000000002</v>
      </c>
      <c r="I34" s="32"/>
      <c r="J34" s="6"/>
      <c r="S34" s="6"/>
      <c r="T34" s="9">
        <f t="shared" ref="T34" si="4">T33</f>
        <v>0.505</v>
      </c>
      <c r="U34" s="9">
        <f>$J$11*T34+$U$37</f>
        <v>0.60250000000000004</v>
      </c>
      <c r="V34" s="32"/>
    </row>
    <row r="35" spans="1:22" x14ac:dyDescent="0.25">
      <c r="A35" s="14">
        <f>Data!A27</f>
        <v>0.5</v>
      </c>
      <c r="B35" s="14">
        <f>Data!B27</f>
        <v>0.65918100000000002</v>
      </c>
      <c r="C35" s="15">
        <f>Data!C27</f>
        <v>79.376009999999994</v>
      </c>
      <c r="D35" s="16">
        <f t="shared" si="0"/>
        <v>1.9341087204645282</v>
      </c>
      <c r="E35" s="2"/>
      <c r="F35" s="6" t="s">
        <v>41</v>
      </c>
      <c r="G35" s="9">
        <f>0.635</f>
        <v>0.63500000000000001</v>
      </c>
      <c r="H35" s="9">
        <f t="shared" ref="H35" si="5">H34</f>
        <v>0.70750000000000002</v>
      </c>
      <c r="I35" s="31">
        <v>3</v>
      </c>
      <c r="J35" s="6"/>
      <c r="S35" s="6" t="s">
        <v>41</v>
      </c>
      <c r="T35" s="9">
        <f>0.39</f>
        <v>0.39</v>
      </c>
      <c r="U35" s="9">
        <f t="shared" ref="U35" si="6">U34</f>
        <v>0.60250000000000004</v>
      </c>
      <c r="V35" s="31">
        <v>3</v>
      </c>
    </row>
    <row r="36" spans="1:22" x14ac:dyDescent="0.25">
      <c r="A36" s="14">
        <f>Data!A28</f>
        <v>0.52</v>
      </c>
      <c r="B36" s="14">
        <f>Data!B28</f>
        <v>0.66697200000000001</v>
      </c>
      <c r="C36" s="15">
        <f>Data!C28</f>
        <v>79.240020000000001</v>
      </c>
      <c r="D36" s="16">
        <f t="shared" si="0"/>
        <v>1.8486927872084675</v>
      </c>
      <c r="E36" s="2"/>
      <c r="F36" s="6"/>
      <c r="G36" s="21">
        <f t="shared" ref="G36" si="7">G35</f>
        <v>0.63500000000000001</v>
      </c>
      <c r="H36" s="9">
        <v>0</v>
      </c>
      <c r="I36" s="32"/>
      <c r="J36" s="6"/>
      <c r="S36" s="6"/>
      <c r="T36" s="21">
        <f t="shared" ref="T36" si="8">T35</f>
        <v>0.39</v>
      </c>
      <c r="U36" s="9">
        <v>0</v>
      </c>
      <c r="V36" s="32"/>
    </row>
    <row r="37" spans="1:22" x14ac:dyDescent="0.25">
      <c r="A37" s="14">
        <f>Data!A29</f>
        <v>0.54</v>
      </c>
      <c r="B37" s="14">
        <f>Data!B29</f>
        <v>0.67500400000000005</v>
      </c>
      <c r="C37" s="15">
        <f>Data!C29</f>
        <v>79.109009999999998</v>
      </c>
      <c r="D37" s="16">
        <f t="shared" si="0"/>
        <v>1.7692630291062275</v>
      </c>
      <c r="E37" s="2"/>
      <c r="F37" s="6" t="s">
        <v>42</v>
      </c>
      <c r="G37" s="10" t="s">
        <v>15</v>
      </c>
      <c r="H37" s="9">
        <f>(G30/(1+$G$12))</f>
        <v>0.375</v>
      </c>
      <c r="I37" s="6"/>
      <c r="J37" s="6"/>
      <c r="S37" s="6" t="s">
        <v>42</v>
      </c>
      <c r="T37" s="10" t="s">
        <v>16</v>
      </c>
      <c r="U37" s="9">
        <f>(T30/(1+$G$12))</f>
        <v>0.35</v>
      </c>
      <c r="V37" s="6"/>
    </row>
    <row r="38" spans="1:22" x14ac:dyDescent="0.25">
      <c r="A38" s="14">
        <f>Data!A30</f>
        <v>0.56000000000000005</v>
      </c>
      <c r="B38" s="14">
        <f>Data!B30</f>
        <v>0.68330500000000005</v>
      </c>
      <c r="C38" s="15">
        <f>Data!C30</f>
        <v>78.983000000000004</v>
      </c>
      <c r="D38" s="16">
        <f t="shared" si="0"/>
        <v>1.6952667392917478</v>
      </c>
      <c r="E38" s="2"/>
    </row>
    <row r="39" spans="1:22" x14ac:dyDescent="0.25">
      <c r="A39" s="14">
        <f>Data!A31</f>
        <v>0.57999999999999996</v>
      </c>
      <c r="B39" s="14">
        <f>Data!B31</f>
        <v>0.69190399999999996</v>
      </c>
      <c r="C39" s="15">
        <f>Data!C31</f>
        <v>78.863010000000003</v>
      </c>
      <c r="D39" s="16">
        <f t="shared" si="0"/>
        <v>1.6262266664756528</v>
      </c>
      <c r="E39" s="2"/>
    </row>
    <row r="40" spans="1:22" x14ac:dyDescent="0.25">
      <c r="A40" s="14">
        <f>Data!A32</f>
        <v>0.6</v>
      </c>
      <c r="B40" s="14">
        <f>Data!B32</f>
        <v>0.70082900000000004</v>
      </c>
      <c r="C40" s="15">
        <f>Data!C32</f>
        <v>78.748990000000006</v>
      </c>
      <c r="D40" s="16">
        <f t="shared" si="0"/>
        <v>1.5617133122305753</v>
      </c>
      <c r="E40" s="3"/>
    </row>
    <row r="41" spans="1:22" x14ac:dyDescent="0.25">
      <c r="A41" s="14">
        <f>Data!A33</f>
        <v>0.62</v>
      </c>
      <c r="B41" s="14">
        <f>Data!B33</f>
        <v>0.71010700000000004</v>
      </c>
      <c r="C41" s="15">
        <f>Data!C33</f>
        <v>78.640990000000002</v>
      </c>
      <c r="D41" s="16">
        <f t="shared" si="0"/>
        <v>1.5013362549897447</v>
      </c>
      <c r="E41" s="2"/>
    </row>
    <row r="42" spans="1:22" x14ac:dyDescent="0.25">
      <c r="A42" s="14">
        <f>Data!A34</f>
        <v>0.64</v>
      </c>
      <c r="B42" s="14">
        <f>Data!B34</f>
        <v>0.71976600000000002</v>
      </c>
      <c r="C42" s="15">
        <f>Data!C34</f>
        <v>78.537989999999994</v>
      </c>
      <c r="D42" s="16">
        <f t="shared" si="0"/>
        <v>1.4447510830234735</v>
      </c>
      <c r="E42" s="2"/>
      <c r="S42" s="6"/>
      <c r="T42" s="6"/>
      <c r="U42" s="6"/>
    </row>
    <row r="43" spans="1:22" x14ac:dyDescent="0.25">
      <c r="A43" s="14">
        <f>Data!A35</f>
        <v>0.66</v>
      </c>
      <c r="B43" s="14">
        <f>Data!B35</f>
        <v>0.72983399999999998</v>
      </c>
      <c r="C43" s="15">
        <f>Data!C35</f>
        <v>78.442019999999999</v>
      </c>
      <c r="D43" s="16">
        <f t="shared" si="0"/>
        <v>1.3916447329015895</v>
      </c>
      <c r="E43" s="2"/>
      <c r="F43" s="6"/>
      <c r="G43" s="6"/>
      <c r="H43" s="6"/>
      <c r="I43" s="6"/>
      <c r="S43" s="6"/>
      <c r="T43" s="6"/>
      <c r="U43" s="6"/>
    </row>
    <row r="44" spans="1:22" x14ac:dyDescent="0.25">
      <c r="A44" s="14">
        <f>Data!A36</f>
        <v>0.68</v>
      </c>
      <c r="B44" s="14">
        <f>Data!B36</f>
        <v>0.74034100000000003</v>
      </c>
      <c r="C44" s="15">
        <f>Data!C36</f>
        <v>78.352999999999994</v>
      </c>
      <c r="D44" s="16">
        <f t="shared" si="0"/>
        <v>1.341743458558657</v>
      </c>
      <c r="E44" s="2"/>
      <c r="F44" s="6"/>
      <c r="G44" s="6"/>
      <c r="H44" s="6"/>
      <c r="I44" s="6"/>
      <c r="L44" s="33"/>
      <c r="P44" s="33"/>
      <c r="S44" s="6"/>
      <c r="T44" s="6"/>
      <c r="U44" s="6"/>
    </row>
    <row r="45" spans="1:22" x14ac:dyDescent="0.25">
      <c r="A45" s="14">
        <f>Data!A37</f>
        <v>0.7</v>
      </c>
      <c r="B45" s="14">
        <f>Data!B37</f>
        <v>0.75131700000000001</v>
      </c>
      <c r="C45" s="15">
        <f>Data!C37</f>
        <v>78.271000000000001</v>
      </c>
      <c r="D45" s="16">
        <f t="shared" si="0"/>
        <v>1.2947929693626026</v>
      </c>
      <c r="E45" s="2"/>
      <c r="F45" s="6"/>
      <c r="G45" s="6"/>
      <c r="H45" s="6"/>
      <c r="I45" s="6"/>
      <c r="L45" s="33"/>
      <c r="P45" s="33"/>
      <c r="S45" s="6"/>
      <c r="T45" s="6"/>
      <c r="U45" s="6"/>
    </row>
    <row r="46" spans="1:22" x14ac:dyDescent="0.25">
      <c r="A46" s="14">
        <f>Data!A38</f>
        <v>0.72</v>
      </c>
      <c r="B46" s="14">
        <f>Data!B38</f>
        <v>0.76279300000000005</v>
      </c>
      <c r="C46" s="15">
        <f>Data!C38</f>
        <v>78.19699</v>
      </c>
      <c r="D46" s="16">
        <f t="shared" si="0"/>
        <v>1.2505605746129849</v>
      </c>
      <c r="E46" s="2"/>
      <c r="F46" s="6"/>
      <c r="G46" s="6"/>
      <c r="H46" s="6"/>
      <c r="I46" s="6"/>
      <c r="L46" s="33"/>
      <c r="P46" s="33"/>
      <c r="S46" s="6"/>
      <c r="T46" s="6"/>
      <c r="U46" s="6"/>
    </row>
    <row r="47" spans="1:22" x14ac:dyDescent="0.25">
      <c r="A47" s="14">
        <f>Data!A39</f>
        <v>0.74</v>
      </c>
      <c r="B47" s="14">
        <f>Data!B39</f>
        <v>0.77480300000000002</v>
      </c>
      <c r="C47" s="15">
        <f>Data!C39</f>
        <v>78.13</v>
      </c>
      <c r="D47" s="16">
        <f t="shared" si="0"/>
        <v>1.2088441723516794</v>
      </c>
      <c r="E47" s="2"/>
      <c r="F47" s="6"/>
      <c r="G47" s="6"/>
      <c r="H47" s="6"/>
      <c r="I47" s="6"/>
      <c r="L47" s="33"/>
      <c r="P47" s="33"/>
      <c r="S47" s="6"/>
      <c r="T47" s="6"/>
      <c r="U47" s="6"/>
    </row>
    <row r="48" spans="1:22" x14ac:dyDescent="0.25">
      <c r="A48" s="14">
        <f>Data!A40</f>
        <v>0.76</v>
      </c>
      <c r="B48" s="14">
        <f>Data!B40</f>
        <v>0.78738200000000003</v>
      </c>
      <c r="C48" s="15">
        <f>Data!C40</f>
        <v>78.072999999999993</v>
      </c>
      <c r="D48" s="16">
        <f t="shared" si="0"/>
        <v>1.169453890867288</v>
      </c>
      <c r="E48" s="2"/>
      <c r="I48" s="6"/>
      <c r="L48" s="33"/>
      <c r="P48" s="33"/>
      <c r="S48" s="6"/>
      <c r="T48" s="6"/>
      <c r="U48" s="6"/>
    </row>
    <row r="49" spans="1:22" x14ac:dyDescent="0.25">
      <c r="A49" s="14">
        <f>Data!A41</f>
        <v>0.78</v>
      </c>
      <c r="B49" s="14">
        <f>Data!B41</f>
        <v>0.80056899999999998</v>
      </c>
      <c r="C49" s="15">
        <f>Data!C41</f>
        <v>78.024019999999993</v>
      </c>
      <c r="D49" s="16">
        <f t="shared" si="0"/>
        <v>1.1322287549102834</v>
      </c>
      <c r="E49" s="2"/>
      <c r="F49" s="6"/>
      <c r="G49" s="34" t="s">
        <v>45</v>
      </c>
      <c r="H49" s="34"/>
      <c r="I49" s="5"/>
      <c r="L49" s="33"/>
      <c r="P49" s="33"/>
      <c r="S49" s="6"/>
      <c r="T49" s="34" t="s">
        <v>47</v>
      </c>
      <c r="U49" s="34"/>
      <c r="V49" s="5"/>
    </row>
    <row r="50" spans="1:22" x14ac:dyDescent="0.25">
      <c r="A50" s="14">
        <f>Data!A42</f>
        <v>0.8</v>
      </c>
      <c r="B50" s="14">
        <f>Data!B42</f>
        <v>0.81440299999999999</v>
      </c>
      <c r="C50" s="15">
        <f>Data!C42</f>
        <v>77.984009999999998</v>
      </c>
      <c r="D50" s="16">
        <f t="shared" si="0"/>
        <v>1.0970045313232428</v>
      </c>
      <c r="F50" s="6"/>
      <c r="G50" s="10" t="s">
        <v>1</v>
      </c>
      <c r="H50" s="10" t="s">
        <v>2</v>
      </c>
      <c r="I50" s="5"/>
      <c r="S50" s="6"/>
      <c r="T50" s="10" t="s">
        <v>1</v>
      </c>
      <c r="U50" s="10" t="s">
        <v>2</v>
      </c>
      <c r="V50" s="5"/>
    </row>
    <row r="51" spans="1:22" x14ac:dyDescent="0.25">
      <c r="A51" s="14">
        <f>Data!A43</f>
        <v>0.82</v>
      </c>
      <c r="B51" s="14">
        <f>Data!B43</f>
        <v>0.82892699999999997</v>
      </c>
      <c r="C51" s="15">
        <f>Data!C43</f>
        <v>77.955020000000005</v>
      </c>
      <c r="D51" s="16">
        <f t="shared" si="0"/>
        <v>1.0636370752009592</v>
      </c>
      <c r="F51" s="6"/>
      <c r="G51" s="9">
        <f>0.675</f>
        <v>0.67500000000000004</v>
      </c>
      <c r="H51" s="21">
        <f>G51</f>
        <v>0.67500000000000004</v>
      </c>
      <c r="I51" s="10" t="s">
        <v>46</v>
      </c>
      <c r="S51" s="6"/>
      <c r="T51" s="9">
        <f>0.65</f>
        <v>0.65</v>
      </c>
      <c r="U51" s="21">
        <f>T51</f>
        <v>0.65</v>
      </c>
      <c r="V51" s="10" t="s">
        <v>3</v>
      </c>
    </row>
    <row r="52" spans="1:22" x14ac:dyDescent="0.25">
      <c r="A52" s="14">
        <f>Data!A44</f>
        <v>0.84</v>
      </c>
      <c r="B52" s="14">
        <f>Data!B44</f>
        <v>0.84418899999999997</v>
      </c>
      <c r="C52" s="15">
        <f>Data!C44</f>
        <v>77.937010000000001</v>
      </c>
      <c r="D52" s="16">
        <f t="shared" si="0"/>
        <v>1.0320061148564912</v>
      </c>
      <c r="F52" s="6" t="s">
        <v>41</v>
      </c>
      <c r="G52" s="9">
        <f>0.535</f>
        <v>0.53500000000000003</v>
      </c>
      <c r="H52" s="9">
        <f>H51</f>
        <v>0.67500000000000004</v>
      </c>
      <c r="I52" s="31">
        <v>1</v>
      </c>
      <c r="S52" s="6" t="s">
        <v>41</v>
      </c>
      <c r="T52" s="9">
        <f>0.465</f>
        <v>0.46500000000000002</v>
      </c>
      <c r="U52" s="9">
        <f>U51</f>
        <v>0.65</v>
      </c>
      <c r="V52" s="31">
        <v>1</v>
      </c>
    </row>
    <row r="53" spans="1:22" x14ac:dyDescent="0.25">
      <c r="A53" s="14">
        <f>Data!A45</f>
        <v>0.86</v>
      </c>
      <c r="B53" s="14">
        <f>Data!B45</f>
        <v>0.86023899999999998</v>
      </c>
      <c r="C53" s="15">
        <f>Data!C45</f>
        <v>77.929990000000004</v>
      </c>
      <c r="D53" s="16">
        <f t="shared" si="0"/>
        <v>1.0019884443925287</v>
      </c>
      <c r="F53" s="6"/>
      <c r="G53" s="9">
        <f>G52</f>
        <v>0.53500000000000003</v>
      </c>
      <c r="H53" s="9">
        <f>$J$11*G53+$H$58</f>
        <v>0.60499999999999998</v>
      </c>
      <c r="I53" s="32"/>
      <c r="S53" s="6"/>
      <c r="T53" s="9">
        <f>T52</f>
        <v>0.46500000000000002</v>
      </c>
      <c r="U53" s="9">
        <f>$J$11*T53+$U$58</f>
        <v>0.5575</v>
      </c>
      <c r="V53" s="32"/>
    </row>
    <row r="54" spans="1:22" x14ac:dyDescent="0.25">
      <c r="A54" s="14">
        <f>Data!A46</f>
        <v>0.88</v>
      </c>
      <c r="B54" s="14">
        <f>Data!B46</f>
        <v>0.87713200000000002</v>
      </c>
      <c r="C54" s="15">
        <f>Data!C46</f>
        <v>77.936000000000007</v>
      </c>
      <c r="D54" s="16">
        <f t="shared" si="0"/>
        <v>0.9734748599383819</v>
      </c>
      <c r="F54" s="6" t="s">
        <v>41</v>
      </c>
      <c r="G54" s="9">
        <f>0.385</f>
        <v>0.38500000000000001</v>
      </c>
      <c r="H54" s="9">
        <f t="shared" ref="H54" si="9">H53</f>
        <v>0.60499999999999998</v>
      </c>
      <c r="I54" s="31">
        <v>2</v>
      </c>
      <c r="S54" s="6" t="s">
        <v>41</v>
      </c>
      <c r="T54" s="9">
        <f>0.275</f>
        <v>0.27500000000000002</v>
      </c>
      <c r="U54" s="9">
        <f t="shared" ref="U54" si="10">U53</f>
        <v>0.5575</v>
      </c>
      <c r="V54" s="31">
        <v>2</v>
      </c>
    </row>
    <row r="55" spans="1:22" x14ac:dyDescent="0.25">
      <c r="A55" s="14">
        <f>Data!A47</f>
        <v>0.9</v>
      </c>
      <c r="B55" s="14">
        <f>Data!B47</f>
        <v>0.89492899999999997</v>
      </c>
      <c r="C55" s="15">
        <f>Data!C47</f>
        <v>77.954009999999997</v>
      </c>
      <c r="D55" s="16">
        <f t="shared" si="0"/>
        <v>0.94637488513058321</v>
      </c>
      <c r="F55" s="6"/>
      <c r="G55" s="9">
        <f t="shared" ref="G55" si="11">G54</f>
        <v>0.38500000000000001</v>
      </c>
      <c r="H55" s="9">
        <f>$J$11*G55+$H$58</f>
        <v>0.53</v>
      </c>
      <c r="I55" s="32"/>
      <c r="S55" s="6"/>
      <c r="T55" s="9">
        <f t="shared" ref="T55" si="12">T54</f>
        <v>0.27500000000000002</v>
      </c>
      <c r="U55" s="9">
        <f>$J$11*T55+$U$58</f>
        <v>0.46250000000000002</v>
      </c>
      <c r="V55" s="32"/>
    </row>
    <row r="56" spans="1:22" x14ac:dyDescent="0.25">
      <c r="A56" s="14">
        <f>Data!A48</f>
        <v>0.92</v>
      </c>
      <c r="B56" s="14">
        <f>Data!B48</f>
        <v>0.91369599999999995</v>
      </c>
      <c r="C56" s="15">
        <f>Data!C48</f>
        <v>77.985990000000001</v>
      </c>
      <c r="D56" s="16">
        <f t="shared" si="0"/>
        <v>0.9206042140220202</v>
      </c>
      <c r="F56" s="6" t="s">
        <v>41</v>
      </c>
      <c r="G56" s="9">
        <f>0.235</f>
        <v>0.23499999999999999</v>
      </c>
      <c r="H56" s="9">
        <f t="shared" ref="H56" si="13">H55</f>
        <v>0.53</v>
      </c>
      <c r="I56" s="31">
        <v>3</v>
      </c>
      <c r="S56" s="6" t="s">
        <v>41</v>
      </c>
      <c r="T56" s="9">
        <f>0.15</f>
        <v>0.15</v>
      </c>
      <c r="U56" s="9">
        <f t="shared" ref="U56" si="14">U55</f>
        <v>0.46250000000000002</v>
      </c>
      <c r="V56" s="31">
        <v>3</v>
      </c>
    </row>
    <row r="57" spans="1:22" x14ac:dyDescent="0.25">
      <c r="A57" s="14">
        <f>Data!A49</f>
        <v>0.94</v>
      </c>
      <c r="B57" s="14">
        <f>Data!B49</f>
        <v>0.93350299999999997</v>
      </c>
      <c r="C57" s="15">
        <f>Data!C49</f>
        <v>78.03201</v>
      </c>
      <c r="D57" s="16">
        <f t="shared" si="0"/>
        <v>0.89605994063402039</v>
      </c>
      <c r="F57" s="6"/>
      <c r="G57" s="21">
        <f t="shared" ref="G57" si="15">G56</f>
        <v>0.23499999999999999</v>
      </c>
      <c r="H57" s="9">
        <v>0</v>
      </c>
      <c r="I57" s="32"/>
      <c r="S57" s="6"/>
      <c r="T57" s="21">
        <f t="shared" ref="T57" si="16">T56</f>
        <v>0.15</v>
      </c>
      <c r="U57" s="9">
        <v>0</v>
      </c>
      <c r="V57" s="32"/>
    </row>
    <row r="58" spans="1:22" x14ac:dyDescent="0.25">
      <c r="A58" s="14">
        <f>Data!A50</f>
        <v>0.96</v>
      </c>
      <c r="B58" s="14">
        <f>Data!B50</f>
        <v>0.95443</v>
      </c>
      <c r="C58" s="15">
        <f>Data!C50</f>
        <v>78.093990000000005</v>
      </c>
      <c r="D58" s="16">
        <f t="shared" si="0"/>
        <v>0.87267756564991672</v>
      </c>
      <c r="F58" s="6" t="s">
        <v>42</v>
      </c>
      <c r="G58" s="10" t="s">
        <v>16</v>
      </c>
      <c r="H58" s="9">
        <f>(G51/(1+$G$12))</f>
        <v>0.33750000000000002</v>
      </c>
      <c r="I58" s="6"/>
      <c r="S58" s="6" t="s">
        <v>42</v>
      </c>
      <c r="T58" s="10" t="s">
        <v>17</v>
      </c>
      <c r="U58" s="9">
        <f>(T51/(1+$G$12))</f>
        <v>0.32500000000000001</v>
      </c>
      <c r="V58" s="6"/>
    </row>
    <row r="59" spans="1:22" x14ac:dyDescent="0.25">
      <c r="A59" s="14">
        <f>Data!A51</f>
        <v>0.98</v>
      </c>
      <c r="B59" s="14">
        <f>Data!B51</f>
        <v>0.97656399999999999</v>
      </c>
      <c r="C59" s="15">
        <f>Data!C51</f>
        <v>78.171999999999997</v>
      </c>
      <c r="D59" s="16">
        <f t="shared" si="0"/>
        <v>0.85039586751239182</v>
      </c>
      <c r="S59" s="6"/>
      <c r="T59" s="6"/>
      <c r="U59" s="6"/>
      <c r="V59" s="6"/>
    </row>
    <row r="60" spans="1:22" x14ac:dyDescent="0.25">
      <c r="A60" s="14">
        <f>Data!A52</f>
        <v>1</v>
      </c>
      <c r="B60" s="14">
        <f>Data!B52</f>
        <v>1</v>
      </c>
      <c r="C60" s="15">
        <f>Data!C52</f>
        <v>78.268010000000004</v>
      </c>
      <c r="D60" s="17" t="s">
        <v>28</v>
      </c>
    </row>
    <row r="64" spans="1:22" s="6" customFormat="1" x14ac:dyDescent="0.25"/>
    <row r="65" spans="6:30" s="6" customFormat="1" x14ac:dyDescent="0.25">
      <c r="G65" s="7"/>
      <c r="H65" s="7"/>
      <c r="I65" s="7"/>
    </row>
    <row r="66" spans="6:30" s="6" customFormat="1" x14ac:dyDescent="0.25">
      <c r="G66" s="7"/>
      <c r="H66" s="7"/>
      <c r="I66" s="7"/>
    </row>
    <row r="67" spans="6:30" s="6" customFormat="1" x14ac:dyDescent="0.25">
      <c r="G67" s="7"/>
      <c r="H67" s="7"/>
      <c r="I67" s="7"/>
      <c r="AD67" s="6" t="s">
        <v>44</v>
      </c>
    </row>
    <row r="68" spans="6:30" s="6" customFormat="1" x14ac:dyDescent="0.25">
      <c r="G68" s="7"/>
      <c r="H68" s="7"/>
      <c r="I68" s="7"/>
    </row>
    <row r="69" spans="6:30" s="6" customFormat="1" x14ac:dyDescent="0.25">
      <c r="G69" s="7"/>
      <c r="H69" s="7"/>
      <c r="I69" s="7"/>
    </row>
    <row r="70" spans="6:30" s="6" customFormat="1" x14ac:dyDescent="0.25">
      <c r="G70" s="34" t="s">
        <v>48</v>
      </c>
      <c r="H70" s="34"/>
      <c r="I70" s="5"/>
      <c r="T70" s="34" t="s">
        <v>49</v>
      </c>
      <c r="U70" s="34"/>
      <c r="V70" s="5"/>
    </row>
    <row r="71" spans="6:30" s="6" customFormat="1" x14ac:dyDescent="0.25">
      <c r="G71" s="10" t="s">
        <v>1</v>
      </c>
      <c r="H71" s="10" t="s">
        <v>2</v>
      </c>
      <c r="I71" s="5"/>
      <c r="T71" s="10" t="s">
        <v>1</v>
      </c>
      <c r="U71" s="10" t="s">
        <v>2</v>
      </c>
      <c r="V71" s="5"/>
    </row>
    <row r="72" spans="6:30" s="6" customFormat="1" x14ac:dyDescent="0.25">
      <c r="G72" s="9">
        <f>0.6</f>
        <v>0.6</v>
      </c>
      <c r="H72" s="21">
        <f>G72</f>
        <v>0.6</v>
      </c>
      <c r="I72" s="10" t="s">
        <v>46</v>
      </c>
      <c r="T72" s="9">
        <f>0.45</f>
        <v>0.45</v>
      </c>
      <c r="U72" s="21">
        <f>T72</f>
        <v>0.45</v>
      </c>
      <c r="V72" s="10" t="s">
        <v>46</v>
      </c>
    </row>
    <row r="73" spans="6:30" s="6" customFormat="1" x14ac:dyDescent="0.25">
      <c r="F73" s="6" t="s">
        <v>41</v>
      </c>
      <c r="G73" s="9">
        <f>0.338</f>
        <v>0.33800000000000002</v>
      </c>
      <c r="H73" s="9">
        <f>H72</f>
        <v>0.6</v>
      </c>
      <c r="I73" s="31">
        <v>1</v>
      </c>
      <c r="S73" s="6" t="s">
        <v>41</v>
      </c>
      <c r="T73" s="9">
        <f>0.112</f>
        <v>0.112</v>
      </c>
      <c r="U73" s="9">
        <f>U72</f>
        <v>0.45</v>
      </c>
      <c r="V73" s="31">
        <v>1</v>
      </c>
    </row>
    <row r="74" spans="6:30" s="6" customFormat="1" x14ac:dyDescent="0.25">
      <c r="G74" s="9">
        <f>G73</f>
        <v>0.33800000000000002</v>
      </c>
      <c r="H74" s="9">
        <f>$J$11*G74+$H$79</f>
        <v>0.46899999999999997</v>
      </c>
      <c r="I74" s="32"/>
      <c r="T74" s="9">
        <f>T73</f>
        <v>0.112</v>
      </c>
      <c r="U74" s="9">
        <f>$J$11*T74+$U$79</f>
        <v>0.28100000000000003</v>
      </c>
      <c r="V74" s="32"/>
    </row>
    <row r="75" spans="6:30" s="6" customFormat="1" x14ac:dyDescent="0.25">
      <c r="F75" s="6" t="s">
        <v>41</v>
      </c>
      <c r="G75" s="9">
        <f>0.148</f>
        <v>0.14799999999999999</v>
      </c>
      <c r="H75" s="9">
        <f t="shared" ref="H75" si="17">H74</f>
        <v>0.46899999999999997</v>
      </c>
      <c r="I75" s="31">
        <v>2</v>
      </c>
      <c r="S75" s="6" t="s">
        <v>41</v>
      </c>
      <c r="T75" s="9">
        <f>0.052</f>
        <v>5.1999999999999998E-2</v>
      </c>
      <c r="U75" s="9">
        <f t="shared" ref="U75" si="18">U74</f>
        <v>0.28100000000000003</v>
      </c>
      <c r="V75" s="31">
        <v>2</v>
      </c>
    </row>
    <row r="76" spans="6:30" s="6" customFormat="1" x14ac:dyDescent="0.25">
      <c r="G76" s="9">
        <f t="shared" ref="G76" si="19">G75</f>
        <v>0.14799999999999999</v>
      </c>
      <c r="H76" s="9">
        <f>$J$11*G76+$H$79</f>
        <v>0.374</v>
      </c>
      <c r="I76" s="32"/>
      <c r="T76" s="9">
        <f t="shared" ref="T76" si="20">T75</f>
        <v>5.1999999999999998E-2</v>
      </c>
      <c r="U76" s="9">
        <f>$J$11*T76+$U$79</f>
        <v>0.251</v>
      </c>
      <c r="V76" s="32"/>
    </row>
    <row r="77" spans="6:30" s="6" customFormat="1" x14ac:dyDescent="0.25">
      <c r="F77" s="6" t="s">
        <v>41</v>
      </c>
      <c r="G77" s="9">
        <f>0.089</f>
        <v>8.8999999999999996E-2</v>
      </c>
      <c r="H77" s="9">
        <f t="shared" ref="H77" si="21">H76</f>
        <v>0.374</v>
      </c>
      <c r="I77" s="31">
        <v>3</v>
      </c>
      <c r="S77" s="6" t="s">
        <v>41</v>
      </c>
      <c r="T77" s="9">
        <f>0.045</f>
        <v>4.4999999999999998E-2</v>
      </c>
      <c r="U77" s="9">
        <f t="shared" ref="U77" si="22">U76</f>
        <v>0.251</v>
      </c>
      <c r="V77" s="31">
        <v>3</v>
      </c>
    </row>
    <row r="78" spans="6:30" s="6" customFormat="1" x14ac:dyDescent="0.25">
      <c r="G78" s="21">
        <f t="shared" ref="G78" si="23">G77</f>
        <v>8.8999999999999996E-2</v>
      </c>
      <c r="H78" s="9">
        <v>0</v>
      </c>
      <c r="I78" s="32"/>
      <c r="T78" s="21">
        <f t="shared" ref="T78" si="24">T77</f>
        <v>4.4999999999999998E-2</v>
      </c>
      <c r="U78" s="9">
        <v>0</v>
      </c>
      <c r="V78" s="32"/>
    </row>
    <row r="79" spans="6:30" s="6" customFormat="1" x14ac:dyDescent="0.25">
      <c r="F79" s="6" t="s">
        <v>42</v>
      </c>
      <c r="G79" s="10" t="s">
        <v>18</v>
      </c>
      <c r="H79" s="9">
        <f>(G72/(1+$G$12))</f>
        <v>0.3</v>
      </c>
      <c r="S79" s="6" t="s">
        <v>42</v>
      </c>
      <c r="T79" s="10" t="s">
        <v>19</v>
      </c>
      <c r="U79" s="9">
        <f>(T72/(1+$G$12))</f>
        <v>0.22500000000000001</v>
      </c>
    </row>
    <row r="80" spans="6:30" s="6" customFormat="1" x14ac:dyDescent="0.25"/>
    <row r="81" spans="6:22" s="6" customFormat="1" x14ac:dyDescent="0.25"/>
    <row r="82" spans="6:22" s="6" customFormat="1" x14ac:dyDescent="0.25"/>
    <row r="83" spans="6:22" s="6" customFormat="1" x14ac:dyDescent="0.25"/>
    <row r="84" spans="6:22" s="6" customFormat="1" x14ac:dyDescent="0.25"/>
    <row r="85" spans="6:22" s="6" customFormat="1" x14ac:dyDescent="0.25"/>
    <row r="86" spans="6:22" s="6" customFormat="1" x14ac:dyDescent="0.25">
      <c r="L86" s="33"/>
      <c r="P86" s="33"/>
    </row>
    <row r="87" spans="6:22" s="6" customFormat="1" x14ac:dyDescent="0.25">
      <c r="L87" s="33"/>
      <c r="P87" s="33"/>
    </row>
    <row r="88" spans="6:22" s="6" customFormat="1" x14ac:dyDescent="0.25">
      <c r="L88" s="33"/>
      <c r="P88" s="33"/>
    </row>
    <row r="89" spans="6:22" s="6" customFormat="1" x14ac:dyDescent="0.25">
      <c r="L89" s="33"/>
      <c r="P89" s="33"/>
    </row>
    <row r="90" spans="6:22" s="6" customFormat="1" x14ac:dyDescent="0.25">
      <c r="L90" s="33"/>
      <c r="P90" s="33"/>
    </row>
    <row r="91" spans="6:22" s="6" customFormat="1" x14ac:dyDescent="0.25">
      <c r="G91" s="34" t="s">
        <v>50</v>
      </c>
      <c r="H91" s="34"/>
      <c r="I91" s="5"/>
      <c r="L91" s="33"/>
      <c r="P91" s="33"/>
      <c r="T91" s="34" t="s">
        <v>51</v>
      </c>
      <c r="U91" s="34"/>
      <c r="V91" s="5"/>
    </row>
    <row r="92" spans="6:22" s="6" customFormat="1" x14ac:dyDescent="0.25">
      <c r="G92" s="10" t="s">
        <v>1</v>
      </c>
      <c r="H92" s="10" t="s">
        <v>2</v>
      </c>
      <c r="I92" s="5"/>
      <c r="T92" s="10" t="s">
        <v>1</v>
      </c>
      <c r="U92" s="10" t="s">
        <v>2</v>
      </c>
      <c r="V92" s="5"/>
    </row>
    <row r="93" spans="6:22" s="6" customFormat="1" x14ac:dyDescent="0.25">
      <c r="G93" s="9">
        <f>0.4</f>
        <v>0.4</v>
      </c>
      <c r="H93" s="21">
        <f>G93</f>
        <v>0.4</v>
      </c>
      <c r="I93" s="10" t="s">
        <v>46</v>
      </c>
      <c r="T93" s="9">
        <f>0.35</f>
        <v>0.35</v>
      </c>
      <c r="U93" s="21">
        <f>T93</f>
        <v>0.35</v>
      </c>
      <c r="V93" s="10" t="s">
        <v>46</v>
      </c>
    </row>
    <row r="94" spans="6:22" s="6" customFormat="1" x14ac:dyDescent="0.25">
      <c r="F94" s="6" t="s">
        <v>41</v>
      </c>
      <c r="G94" s="9">
        <f>0.081</f>
        <v>8.1000000000000003E-2</v>
      </c>
      <c r="H94" s="9">
        <f>H93</f>
        <v>0.4</v>
      </c>
      <c r="I94" s="31">
        <v>1</v>
      </c>
      <c r="S94" s="6" t="s">
        <v>41</v>
      </c>
      <c r="T94" s="9">
        <f>0.061</f>
        <v>6.0999999999999999E-2</v>
      </c>
      <c r="U94" s="9">
        <f>U93</f>
        <v>0.35</v>
      </c>
      <c r="V94" s="31">
        <v>1</v>
      </c>
    </row>
    <row r="95" spans="6:22" s="6" customFormat="1" x14ac:dyDescent="0.25">
      <c r="G95" s="9">
        <f>G94</f>
        <v>8.1000000000000003E-2</v>
      </c>
      <c r="H95" s="9">
        <f>$J$11*G95+$H$100</f>
        <v>0.24050000000000002</v>
      </c>
      <c r="I95" s="32"/>
      <c r="T95" s="9">
        <f>T94</f>
        <v>6.0999999999999999E-2</v>
      </c>
      <c r="U95" s="9">
        <f>$J$11*T95+$U$100</f>
        <v>0.20549999999999999</v>
      </c>
      <c r="V95" s="32"/>
    </row>
    <row r="96" spans="6:22" s="6" customFormat="1" x14ac:dyDescent="0.25">
      <c r="F96" s="6" t="s">
        <v>41</v>
      </c>
      <c r="G96" s="9">
        <f>0.041</f>
        <v>4.1000000000000002E-2</v>
      </c>
      <c r="H96" s="9">
        <f t="shared" ref="H96" si="25">H95</f>
        <v>0.24050000000000002</v>
      </c>
      <c r="I96" s="31">
        <v>2</v>
      </c>
      <c r="S96" s="6" t="s">
        <v>41</v>
      </c>
      <c r="T96" s="9">
        <f>0.032</f>
        <v>3.2000000000000001E-2</v>
      </c>
      <c r="U96" s="9">
        <f t="shared" ref="U96" si="26">U95</f>
        <v>0.20549999999999999</v>
      </c>
      <c r="V96" s="31">
        <v>2</v>
      </c>
    </row>
    <row r="97" spans="1:31" s="6" customFormat="1" x14ac:dyDescent="0.25">
      <c r="G97" s="9">
        <f t="shared" ref="G97" si="27">G96</f>
        <v>4.1000000000000002E-2</v>
      </c>
      <c r="H97" s="9">
        <f>$J$11*G97+$H$100</f>
        <v>0.2205</v>
      </c>
      <c r="I97" s="32"/>
      <c r="T97" s="9">
        <f t="shared" ref="T97" si="28">T96</f>
        <v>3.2000000000000001E-2</v>
      </c>
      <c r="U97" s="9">
        <f>$J$11*T97+$U$100</f>
        <v>0.191</v>
      </c>
      <c r="V97" s="32"/>
    </row>
    <row r="98" spans="1:31" s="6" customFormat="1" x14ac:dyDescent="0.25">
      <c r="F98" s="6" t="s">
        <v>41</v>
      </c>
      <c r="G98" s="9">
        <f>0.036</f>
        <v>3.5999999999999997E-2</v>
      </c>
      <c r="H98" s="9">
        <f t="shared" ref="H98" si="29">H97</f>
        <v>0.2205</v>
      </c>
      <c r="I98" s="31">
        <v>3</v>
      </c>
      <c r="S98" s="6" t="s">
        <v>41</v>
      </c>
      <c r="T98" s="9">
        <f>0.026</f>
        <v>2.5999999999999999E-2</v>
      </c>
      <c r="U98" s="9">
        <f t="shared" ref="U98" si="30">U97</f>
        <v>0.191</v>
      </c>
      <c r="V98" s="31">
        <v>3</v>
      </c>
    </row>
    <row r="99" spans="1:31" s="6" customFormat="1" x14ac:dyDescent="0.25">
      <c r="G99" s="21">
        <f t="shared" ref="G99" si="31">G98</f>
        <v>3.5999999999999997E-2</v>
      </c>
      <c r="H99" s="9">
        <v>0</v>
      </c>
      <c r="I99" s="32"/>
      <c r="T99" s="21">
        <f t="shared" ref="T99" si="32">T98</f>
        <v>2.5999999999999999E-2</v>
      </c>
      <c r="U99" s="9">
        <v>0</v>
      </c>
      <c r="V99" s="32"/>
    </row>
    <row r="100" spans="1:31" s="6" customFormat="1" x14ac:dyDescent="0.25">
      <c r="F100" s="6" t="s">
        <v>42</v>
      </c>
      <c r="G100" s="10" t="s">
        <v>20</v>
      </c>
      <c r="H100" s="9">
        <f>(G93/(1+$G$12))</f>
        <v>0.2</v>
      </c>
      <c r="S100" s="6" t="s">
        <v>42</v>
      </c>
      <c r="T100" s="10" t="s">
        <v>21</v>
      </c>
      <c r="U100" s="9">
        <f>(T93/(1+$G$12))</f>
        <v>0.17499999999999999</v>
      </c>
    </row>
    <row r="101" spans="1:31" s="6" customFormat="1" x14ac:dyDescent="0.25"/>
    <row r="102" spans="1:31" s="6" customFormat="1" x14ac:dyDescent="0.25"/>
    <row r="103" spans="1:31" s="6" customFormat="1" x14ac:dyDescent="0.25"/>
    <row r="104" spans="1:31" x14ac:dyDescent="0.25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7" spans="1:31" ht="26.25" x14ac:dyDescent="0.25">
      <c r="A107" s="40" t="s">
        <v>54</v>
      </c>
      <c r="B107" s="40"/>
      <c r="C107" s="40"/>
      <c r="D107" s="40"/>
      <c r="E107" s="40"/>
      <c r="F107" s="40"/>
      <c r="G107" s="40"/>
      <c r="H107" s="40"/>
    </row>
    <row r="109" spans="1:31" x14ac:dyDescent="0.25">
      <c r="A109" s="10" t="s">
        <v>55</v>
      </c>
      <c r="B109" s="10" t="s">
        <v>1</v>
      </c>
      <c r="C109" s="10" t="s">
        <v>2</v>
      </c>
      <c r="D109" s="23" t="s">
        <v>34</v>
      </c>
      <c r="E109" s="23" t="s">
        <v>35</v>
      </c>
    </row>
    <row r="110" spans="1:31" x14ac:dyDescent="0.25">
      <c r="A110" s="22">
        <v>1</v>
      </c>
      <c r="B110" s="9">
        <f>G36</f>
        <v>0.63500000000000001</v>
      </c>
      <c r="C110" s="9">
        <f>H30</f>
        <v>0.75</v>
      </c>
      <c r="D110" s="24">
        <f>C110-B110</f>
        <v>0.11499999999999999</v>
      </c>
      <c r="E110" s="24">
        <f>1/D110</f>
        <v>8.6956521739130448</v>
      </c>
    </row>
    <row r="111" spans="1:31" x14ac:dyDescent="0.25">
      <c r="A111" s="22">
        <v>2</v>
      </c>
      <c r="B111" s="9">
        <f>T36</f>
        <v>0.39</v>
      </c>
      <c r="C111" s="9">
        <f>U30</f>
        <v>0.7</v>
      </c>
      <c r="D111" s="24">
        <f t="shared" ref="D111:D117" si="33">C111-B111</f>
        <v>0.30999999999999994</v>
      </c>
      <c r="E111" s="24">
        <f t="shared" ref="E111:E117" si="34">1/D111</f>
        <v>3.2258064516129039</v>
      </c>
      <c r="F111" t="s">
        <v>64</v>
      </c>
    </row>
    <row r="112" spans="1:31" x14ac:dyDescent="0.25">
      <c r="A112" s="22">
        <v>3</v>
      </c>
      <c r="B112" s="9">
        <f>G57</f>
        <v>0.23499999999999999</v>
      </c>
      <c r="C112" s="9">
        <f>H51</f>
        <v>0.67500000000000004</v>
      </c>
      <c r="D112" s="24">
        <f t="shared" si="33"/>
        <v>0.44000000000000006</v>
      </c>
      <c r="E112" s="24">
        <f t="shared" si="34"/>
        <v>2.2727272727272725</v>
      </c>
    </row>
    <row r="113" spans="1:21" x14ac:dyDescent="0.25">
      <c r="A113" s="22">
        <v>4</v>
      </c>
      <c r="B113" s="9">
        <f>T57</f>
        <v>0.15</v>
      </c>
      <c r="C113" s="9">
        <f>U51</f>
        <v>0.65</v>
      </c>
      <c r="D113" s="24">
        <f t="shared" si="33"/>
        <v>0.5</v>
      </c>
      <c r="E113" s="24">
        <f t="shared" si="34"/>
        <v>2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x14ac:dyDescent="0.25">
      <c r="A114" s="22">
        <v>5</v>
      </c>
      <c r="B114" s="9">
        <f>G78</f>
        <v>8.8999999999999996E-2</v>
      </c>
      <c r="C114" s="9">
        <f>H72</f>
        <v>0.6</v>
      </c>
      <c r="D114" s="24">
        <f t="shared" si="33"/>
        <v>0.51100000000000001</v>
      </c>
      <c r="E114" s="24">
        <f t="shared" si="34"/>
        <v>1.9569471624266144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x14ac:dyDescent="0.25">
      <c r="A115" s="22">
        <v>6</v>
      </c>
      <c r="B115" s="9">
        <f>T78</f>
        <v>4.4999999999999998E-2</v>
      </c>
      <c r="C115" s="9">
        <f>U72</f>
        <v>0.45</v>
      </c>
      <c r="D115" s="24">
        <f t="shared" si="33"/>
        <v>0.40500000000000003</v>
      </c>
      <c r="E115" s="24">
        <f t="shared" si="34"/>
        <v>2.4691358024691357</v>
      </c>
      <c r="F115" t="s">
        <v>65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x14ac:dyDescent="0.25">
      <c r="A116" s="22">
        <v>7</v>
      </c>
      <c r="B116" s="9">
        <f>G99</f>
        <v>3.5999999999999997E-2</v>
      </c>
      <c r="C116" s="9">
        <f>H93</f>
        <v>0.4</v>
      </c>
      <c r="D116" s="24">
        <f t="shared" si="33"/>
        <v>0.36400000000000005</v>
      </c>
      <c r="E116" s="24">
        <f t="shared" si="34"/>
        <v>2.7472527472527468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x14ac:dyDescent="0.25">
      <c r="A117" s="22">
        <v>8</v>
      </c>
      <c r="B117" s="9">
        <f>T99</f>
        <v>2.5999999999999999E-2</v>
      </c>
      <c r="C117" s="9">
        <f>U93</f>
        <v>0.35</v>
      </c>
      <c r="D117" s="24">
        <f t="shared" si="33"/>
        <v>0.32399999999999995</v>
      </c>
      <c r="E117" s="24">
        <f t="shared" si="34"/>
        <v>3.0864197530864201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x14ac:dyDescent="0.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6.25" x14ac:dyDescent="0.25">
      <c r="A119" s="40" t="s">
        <v>57</v>
      </c>
      <c r="B119" s="40"/>
      <c r="C119" s="40"/>
      <c r="D119" s="40"/>
      <c r="E119" s="40"/>
      <c r="F119" s="40"/>
      <c r="G119" s="40"/>
      <c r="H119" s="4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x14ac:dyDescent="0.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x14ac:dyDescent="0.25">
      <c r="A121" s="46" t="s">
        <v>58</v>
      </c>
      <c r="B121" s="46"/>
      <c r="C121" s="46"/>
      <c r="D121" s="46"/>
      <c r="E121" s="46"/>
      <c r="F121" s="46"/>
      <c r="G121" s="46"/>
      <c r="H121" s="4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x14ac:dyDescent="0.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x14ac:dyDescent="0.25">
      <c r="A123" s="23" t="s">
        <v>59</v>
      </c>
      <c r="B123" s="23" t="s">
        <v>23</v>
      </c>
      <c r="C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x14ac:dyDescent="0.25">
      <c r="A124" s="25" t="s">
        <v>60</v>
      </c>
      <c r="B124" s="24">
        <f>((B111-B112)/2)*(E111+E112)</f>
        <v>0.42613636363636376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x14ac:dyDescent="0.25">
      <c r="A125" s="25" t="s">
        <v>61</v>
      </c>
      <c r="B125" s="24">
        <f t="shared" ref="B125:B127" si="35">((B112-B113)/2)*(E112+E113)</f>
        <v>0.18159090909090905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x14ac:dyDescent="0.25">
      <c r="A126" s="25" t="s">
        <v>62</v>
      </c>
      <c r="B126" s="24">
        <f t="shared" si="35"/>
        <v>0.12068688845401174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x14ac:dyDescent="0.25">
      <c r="A127" s="25" t="s">
        <v>63</v>
      </c>
      <c r="B127" s="24">
        <f t="shared" si="35"/>
        <v>9.737382522770649E-2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x14ac:dyDescent="0.25">
      <c r="A128" s="23" t="s">
        <v>66</v>
      </c>
      <c r="B128" s="24">
        <f>SUM(B124:B127)</f>
        <v>0.82578798640899098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x14ac:dyDescent="0.25">
      <c r="A129" s="7"/>
      <c r="B129" s="7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x14ac:dyDescent="0.25">
      <c r="A130" s="23" t="s">
        <v>24</v>
      </c>
      <c r="B130" s="28">
        <f>G9*EXP(-B128)</f>
        <v>43.788980526621444</v>
      </c>
      <c r="C130" s="43" t="s">
        <v>72</v>
      </c>
      <c r="D130" s="44"/>
      <c r="E130" s="44"/>
      <c r="F130" s="44"/>
      <c r="G130" s="4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x14ac:dyDescent="0.25">
      <c r="A131" s="23" t="s">
        <v>4</v>
      </c>
      <c r="B131" s="28">
        <f>G9-B130</f>
        <v>56.211019473378556</v>
      </c>
      <c r="C131" s="43"/>
      <c r="D131" s="44"/>
      <c r="E131" s="44"/>
      <c r="F131" s="44"/>
      <c r="G131" s="4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x14ac:dyDescent="0.25">
      <c r="A132" s="23" t="s">
        <v>25</v>
      </c>
      <c r="B132" s="27">
        <f>(G9*G11-B130*G10)/(G9-B130)</f>
        <v>0.53422791754424515</v>
      </c>
      <c r="C132" s="43"/>
      <c r="D132" s="44"/>
      <c r="E132" s="44"/>
      <c r="F132" s="44"/>
      <c r="G132" s="4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x14ac:dyDescent="0.25">
      <c r="H133" s="7"/>
      <c r="I133" s="45" t="s">
        <v>56</v>
      </c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7"/>
      <c r="U133" s="7"/>
    </row>
    <row r="134" spans="1:21" ht="15" customHeight="1" x14ac:dyDescent="0.25">
      <c r="A134" s="42" t="s">
        <v>69</v>
      </c>
      <c r="B134" s="42"/>
      <c r="C134" s="42"/>
      <c r="D134" s="42"/>
      <c r="E134" s="42"/>
      <c r="F134" s="42"/>
      <c r="G134" s="42"/>
      <c r="H134" s="42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7"/>
      <c r="U134" s="7"/>
    </row>
    <row r="135" spans="1:21" s="7" customFormat="1" ht="15.75" x14ac:dyDescent="0.25">
      <c r="A135" s="42"/>
      <c r="B135" s="42"/>
      <c r="C135" s="42"/>
      <c r="D135" s="42"/>
      <c r="E135" s="42"/>
      <c r="F135" s="42"/>
      <c r="G135" s="42"/>
      <c r="H135" s="42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21" x14ac:dyDescent="0.25">
      <c r="A136" s="30"/>
      <c r="B136" s="30"/>
      <c r="C136" s="30"/>
      <c r="D136" s="30"/>
      <c r="E136" s="30"/>
      <c r="F136" s="30"/>
      <c r="G136" s="30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x14ac:dyDescent="0.25">
      <c r="A137" s="23" t="s">
        <v>1</v>
      </c>
      <c r="B137" s="23" t="s">
        <v>68</v>
      </c>
      <c r="K137" s="3"/>
      <c r="L137" s="3"/>
      <c r="M137" s="3"/>
      <c r="N137" s="3"/>
    </row>
    <row r="138" spans="1:21" x14ac:dyDescent="0.25">
      <c r="A138" s="24">
        <v>4.4999999999999998E-2</v>
      </c>
      <c r="B138" s="24">
        <f>433.99*(A138)^4 - 529.58*(A138)^3 + 232.01*(A138)^2 - 37.228*A138 + 3.8194</f>
        <v>2.5674819027437499</v>
      </c>
    </row>
    <row r="139" spans="1:21" x14ac:dyDescent="0.25">
      <c r="A139" s="24">
        <f>A138+$B$143</f>
        <v>0.13624999999999998</v>
      </c>
      <c r="B139" s="24">
        <f t="shared" ref="B139:B141" si="36">433.99*(A139)^4 - 529.58*(A139)^3 + 232.01*(A139)^2 - 37.228*A139 + 3.8194</f>
        <v>1.8642016563388419</v>
      </c>
    </row>
    <row r="140" spans="1:21" x14ac:dyDescent="0.25">
      <c r="A140" s="24">
        <f>A139+$B$143</f>
        <v>0.22749999999999998</v>
      </c>
      <c r="B140" s="24">
        <f t="shared" si="36"/>
        <v>2.2849661270464834</v>
      </c>
      <c r="G140" s="4"/>
    </row>
    <row r="141" spans="1:21" x14ac:dyDescent="0.25">
      <c r="A141" s="24">
        <v>0.32</v>
      </c>
      <c r="B141" s="24">
        <f t="shared" si="36"/>
        <v>2.861701542399997</v>
      </c>
    </row>
    <row r="143" spans="1:21" x14ac:dyDescent="0.25">
      <c r="A143" s="23" t="s">
        <v>67</v>
      </c>
      <c r="B143" s="24">
        <f>(A141+A138)/4</f>
        <v>9.1249999999999998E-2</v>
      </c>
    </row>
    <row r="145" spans="1:18" x14ac:dyDescent="0.25">
      <c r="A145" s="23" t="s">
        <v>23</v>
      </c>
      <c r="B145" s="24">
        <f>((A141-A138)/8)*(B141+3*B140+3*B139+B138)</f>
        <v>0.61451110858842806</v>
      </c>
    </row>
    <row r="146" spans="1:18" x14ac:dyDescent="0.25">
      <c r="A146" s="23" t="s">
        <v>24</v>
      </c>
      <c r="B146" s="28">
        <f>G9*EXP(-B145)</f>
        <v>54.090527462089945</v>
      </c>
    </row>
    <row r="147" spans="1:18" x14ac:dyDescent="0.25">
      <c r="A147" s="23" t="s">
        <v>4</v>
      </c>
      <c r="B147" s="28">
        <f>G9-B146</f>
        <v>45.909472537910055</v>
      </c>
    </row>
    <row r="148" spans="1:18" x14ac:dyDescent="0.25">
      <c r="A148" s="23" t="s">
        <v>25</v>
      </c>
      <c r="B148" s="27">
        <f>(G9*G11-B146*G10)/(G9-B146)</f>
        <v>0.64400492163772283</v>
      </c>
      <c r="C148" t="s">
        <v>70</v>
      </c>
    </row>
    <row r="150" spans="1:18" x14ac:dyDescent="0.25">
      <c r="A150" s="41" t="s">
        <v>71</v>
      </c>
      <c r="B150" s="41"/>
      <c r="C150" s="41"/>
      <c r="D150" s="41"/>
      <c r="E150" s="41"/>
      <c r="F150" s="41"/>
      <c r="G150" s="41"/>
      <c r="H150" s="41"/>
    </row>
    <row r="151" spans="1:18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x14ac:dyDescent="0.25">
      <c r="A152" s="23" t="s">
        <v>23</v>
      </c>
      <c r="B152" s="26">
        <f>(433.99*(G11^5)/5 - 529.58*(G11^4)/4 + 232.01*(G11^3)/3- 37.228*(G11^2)/2 + 3.8194*G11) - (433.99*(G10^5)/5 - 529.58*(G10^4)/4 + 232.01*(G10^3)/3- 37.228*(G10^2)/2 + 3.8194*G10)</f>
        <v>0.61258578883161463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x14ac:dyDescent="0.25">
      <c r="A153" s="23" t="s">
        <v>24</v>
      </c>
      <c r="B153" s="28">
        <f>G9*EXP(-B152)</f>
        <v>54.194769340542393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25">
      <c r="A154" s="23" t="s">
        <v>4</v>
      </c>
      <c r="B154" s="28">
        <f>G9-B153</f>
        <v>45.805230659457607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x14ac:dyDescent="0.25">
      <c r="A155" s="23" t="s">
        <v>25</v>
      </c>
      <c r="B155" s="27">
        <f>(G9*G11-B153*G10)/(G9-B153)</f>
        <v>0.64536811525851268</v>
      </c>
      <c r="C155" s="7" t="s">
        <v>70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x14ac:dyDescent="0.25">
      <c r="C156" s="7"/>
      <c r="D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x14ac:dyDescent="0.25">
      <c r="M158" s="7"/>
      <c r="N158" s="7"/>
      <c r="O158" s="7"/>
      <c r="P158" s="7"/>
    </row>
    <row r="159" spans="1:18" x14ac:dyDescent="0.25">
      <c r="M159" s="7"/>
      <c r="N159" s="7"/>
      <c r="O159" s="7"/>
      <c r="P159" s="7"/>
    </row>
    <row r="160" spans="1:18" x14ac:dyDescent="0.25">
      <c r="M160" s="7"/>
      <c r="N160" s="7"/>
      <c r="O160" s="7"/>
      <c r="P160" s="7"/>
    </row>
    <row r="161" spans="13:16" x14ac:dyDescent="0.25">
      <c r="M161" s="7"/>
      <c r="N161" s="7"/>
      <c r="O161" s="7"/>
      <c r="P161" s="7"/>
    </row>
    <row r="162" spans="13:16" x14ac:dyDescent="0.25">
      <c r="M162" s="7"/>
      <c r="N162" s="7"/>
      <c r="O162" s="7"/>
      <c r="P162" s="7"/>
    </row>
    <row r="163" spans="13:16" x14ac:dyDescent="0.25">
      <c r="M163" s="7"/>
      <c r="N163" s="7"/>
      <c r="O163" s="7"/>
      <c r="P163" s="7"/>
    </row>
    <row r="164" spans="13:16" x14ac:dyDescent="0.25">
      <c r="M164" s="7"/>
      <c r="N164" s="7"/>
      <c r="O164" s="7"/>
      <c r="P164" s="7"/>
    </row>
    <row r="165" spans="13:16" x14ac:dyDescent="0.25">
      <c r="M165" s="7"/>
      <c r="N165" s="7"/>
      <c r="O165" s="7"/>
      <c r="P165" s="7"/>
    </row>
    <row r="166" spans="13:16" x14ac:dyDescent="0.25">
      <c r="M166" s="7"/>
      <c r="N166" s="7"/>
      <c r="O166" s="7"/>
      <c r="P166" s="7"/>
    </row>
    <row r="167" spans="13:16" x14ac:dyDescent="0.25">
      <c r="M167" s="7"/>
      <c r="N167" s="7"/>
      <c r="O167" s="7"/>
      <c r="P167" s="7"/>
    </row>
    <row r="168" spans="13:16" x14ac:dyDescent="0.25">
      <c r="M168" s="7"/>
      <c r="N168" s="7"/>
      <c r="O168" s="7"/>
      <c r="P168" s="7"/>
    </row>
    <row r="169" spans="13:16" x14ac:dyDescent="0.25">
      <c r="M169" s="7"/>
      <c r="N169" s="7"/>
      <c r="O169" s="7"/>
      <c r="P169" s="7"/>
    </row>
    <row r="170" spans="13:16" x14ac:dyDescent="0.25">
      <c r="M170" s="7"/>
      <c r="N170" s="7"/>
      <c r="O170" s="7"/>
      <c r="P170" s="7"/>
    </row>
    <row r="171" spans="13:16" x14ac:dyDescent="0.25">
      <c r="M171" s="7"/>
      <c r="N171" s="7"/>
      <c r="O171" s="7"/>
      <c r="P171" s="7"/>
    </row>
    <row r="172" spans="13:16" x14ac:dyDescent="0.25">
      <c r="M172" s="7"/>
      <c r="N172" s="7"/>
      <c r="O172" s="7"/>
      <c r="P172" s="7"/>
    </row>
    <row r="173" spans="13:16" x14ac:dyDescent="0.25">
      <c r="M173" s="7"/>
      <c r="N173" s="7"/>
      <c r="O173" s="7"/>
      <c r="P173" s="7"/>
    </row>
    <row r="174" spans="13:16" x14ac:dyDescent="0.25">
      <c r="M174" s="7"/>
      <c r="N174" s="7"/>
      <c r="O174" s="7"/>
      <c r="P174" s="7"/>
    </row>
    <row r="175" spans="13:16" x14ac:dyDescent="0.25">
      <c r="M175" s="7"/>
      <c r="N175" s="7"/>
      <c r="O175" s="7"/>
      <c r="P175" s="7"/>
    </row>
    <row r="176" spans="13:16" x14ac:dyDescent="0.25">
      <c r="M176" s="7"/>
      <c r="N176" s="7"/>
      <c r="O176" s="7"/>
      <c r="P176" s="7"/>
    </row>
    <row r="177" spans="13:16" x14ac:dyDescent="0.25">
      <c r="M177" s="7"/>
      <c r="N177" s="7"/>
      <c r="O177" s="7"/>
      <c r="P177" s="7"/>
    </row>
    <row r="178" spans="13:16" x14ac:dyDescent="0.25">
      <c r="M178" s="7"/>
      <c r="N178" s="7"/>
      <c r="O178" s="7"/>
      <c r="P178" s="7"/>
    </row>
    <row r="179" spans="13:16" x14ac:dyDescent="0.25">
      <c r="M179" s="7"/>
      <c r="N179" s="7"/>
      <c r="O179" s="7"/>
      <c r="P179" s="7"/>
    </row>
    <row r="180" spans="13:16" x14ac:dyDescent="0.25">
      <c r="M180" s="7"/>
      <c r="N180" s="7"/>
      <c r="O180" s="7"/>
      <c r="P180" s="7"/>
    </row>
  </sheetData>
  <mergeCells count="59">
    <mergeCell ref="A150:H150"/>
    <mergeCell ref="A134:H135"/>
    <mergeCell ref="C130:G132"/>
    <mergeCell ref="A107:H107"/>
    <mergeCell ref="I133:S134"/>
    <mergeCell ref="A119:H119"/>
    <mergeCell ref="A121:H121"/>
    <mergeCell ref="I73:I74"/>
    <mergeCell ref="I75:I76"/>
    <mergeCell ref="I94:I95"/>
    <mergeCell ref="I96:I97"/>
    <mergeCell ref="I98:I99"/>
    <mergeCell ref="V73:V74"/>
    <mergeCell ref="V75:V76"/>
    <mergeCell ref="V52:V53"/>
    <mergeCell ref="V54:V55"/>
    <mergeCell ref="V56:V57"/>
    <mergeCell ref="G28:H28"/>
    <mergeCell ref="I33:I34"/>
    <mergeCell ref="I35:I36"/>
    <mergeCell ref="A8:D8"/>
    <mergeCell ref="A1:K6"/>
    <mergeCell ref="F19:M19"/>
    <mergeCell ref="M1:V6"/>
    <mergeCell ref="F8:G8"/>
    <mergeCell ref="I10:J10"/>
    <mergeCell ref="V33:V34"/>
    <mergeCell ref="F16:M17"/>
    <mergeCell ref="F23:M23"/>
    <mergeCell ref="T28:U28"/>
    <mergeCell ref="V31:V32"/>
    <mergeCell ref="V35:V36"/>
    <mergeCell ref="I31:I32"/>
    <mergeCell ref="P44:P45"/>
    <mergeCell ref="P46:P47"/>
    <mergeCell ref="L44:L45"/>
    <mergeCell ref="L46:L47"/>
    <mergeCell ref="G70:H70"/>
    <mergeCell ref="T70:U70"/>
    <mergeCell ref="G49:H49"/>
    <mergeCell ref="I52:I53"/>
    <mergeCell ref="I54:I55"/>
    <mergeCell ref="I56:I57"/>
    <mergeCell ref="T49:U49"/>
    <mergeCell ref="P48:P49"/>
    <mergeCell ref="L48:L49"/>
    <mergeCell ref="G91:H91"/>
    <mergeCell ref="T91:U91"/>
    <mergeCell ref="I77:I78"/>
    <mergeCell ref="V77:V78"/>
    <mergeCell ref="L86:L87"/>
    <mergeCell ref="P86:P87"/>
    <mergeCell ref="L88:L89"/>
    <mergeCell ref="P88:P89"/>
    <mergeCell ref="V94:V95"/>
    <mergeCell ref="V96:V97"/>
    <mergeCell ref="V98:V99"/>
    <mergeCell ref="L90:L91"/>
    <mergeCell ref="P90:P91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D40B-9EB3-47F6-83B9-9A4358A4C1AE}">
  <dimension ref="A1:C52"/>
  <sheetViews>
    <sheetView tabSelected="1" workbookViewId="0">
      <selection activeCell="A11" sqref="A11"/>
    </sheetView>
  </sheetViews>
  <sheetFormatPr defaultColWidth="11.42578125" defaultRowHeight="15" x14ac:dyDescent="0.25"/>
  <cols>
    <col min="1" max="1" width="15.7109375" customWidth="1"/>
    <col min="2" max="2" width="14.28515625" customWidth="1"/>
    <col min="3" max="3" width="14.5703125" customWidth="1"/>
  </cols>
  <sheetData>
    <row r="1" spans="1:3" x14ac:dyDescent="0.25">
      <c r="A1" s="1" t="s">
        <v>1</v>
      </c>
      <c r="B1" s="1" t="s">
        <v>2</v>
      </c>
      <c r="C1" s="1" t="s">
        <v>26</v>
      </c>
    </row>
    <row r="2" spans="1:3" x14ac:dyDescent="0.25">
      <c r="A2" s="1">
        <v>0</v>
      </c>
      <c r="B2" s="1">
        <v>0</v>
      </c>
      <c r="C2" s="1">
        <v>99.786010000000005</v>
      </c>
    </row>
    <row r="3" spans="1:3" x14ac:dyDescent="0.25">
      <c r="A3" s="1">
        <v>0.02</v>
      </c>
      <c r="B3" s="1">
        <v>0.17252799999999999</v>
      </c>
      <c r="C3" s="1">
        <v>95.039000000000001</v>
      </c>
    </row>
    <row r="4" spans="1:3" x14ac:dyDescent="0.25">
      <c r="A4" s="1">
        <v>0.04</v>
      </c>
      <c r="B4" s="1">
        <v>0.27841199999999999</v>
      </c>
      <c r="C4" s="1">
        <v>91.786010000000005</v>
      </c>
    </row>
    <row r="5" spans="1:3" x14ac:dyDescent="0.25">
      <c r="A5" s="1">
        <v>0.06</v>
      </c>
      <c r="B5" s="1">
        <v>0.34927000000000002</v>
      </c>
      <c r="C5" s="1">
        <v>89.44699</v>
      </c>
    </row>
    <row r="6" spans="1:3" x14ac:dyDescent="0.25">
      <c r="A6" s="1">
        <v>0.08</v>
      </c>
      <c r="B6" s="1">
        <v>0.39963900000000002</v>
      </c>
      <c r="C6" s="1">
        <v>87.703000000000003</v>
      </c>
    </row>
    <row r="7" spans="1:3" x14ac:dyDescent="0.25">
      <c r="A7" s="1">
        <v>0.1</v>
      </c>
      <c r="B7" s="1">
        <v>0.43717600000000001</v>
      </c>
      <c r="C7" s="1">
        <v>86.367000000000004</v>
      </c>
    </row>
    <row r="8" spans="1:3" x14ac:dyDescent="0.25">
      <c r="A8" s="1">
        <v>0.12</v>
      </c>
      <c r="B8" s="1">
        <v>0.46616000000000002</v>
      </c>
      <c r="C8" s="1">
        <v>85.319000000000003</v>
      </c>
    </row>
    <row r="9" spans="1:3" x14ac:dyDescent="0.25">
      <c r="A9" s="1">
        <v>0.14000000000000001</v>
      </c>
      <c r="B9" s="1">
        <v>0.48923100000000003</v>
      </c>
      <c r="C9" s="1">
        <v>84.480009999999993</v>
      </c>
    </row>
    <row r="10" spans="1:3" x14ac:dyDescent="0.25">
      <c r="A10" s="1">
        <v>0.16</v>
      </c>
      <c r="B10" s="1">
        <v>0.50808399999999998</v>
      </c>
      <c r="C10" s="1">
        <v>83.796999999999997</v>
      </c>
    </row>
    <row r="11" spans="1:3" x14ac:dyDescent="0.25">
      <c r="A11" s="1">
        <v>0.18</v>
      </c>
      <c r="B11" s="1">
        <v>0.52385899999999996</v>
      </c>
      <c r="C11" s="1">
        <v>83.231020000000001</v>
      </c>
    </row>
    <row r="12" spans="1:3" x14ac:dyDescent="0.25">
      <c r="A12" s="1">
        <v>0.2</v>
      </c>
      <c r="B12" s="1">
        <v>0.53734800000000005</v>
      </c>
      <c r="C12" s="1">
        <v>82.754000000000005</v>
      </c>
    </row>
    <row r="13" spans="1:3" x14ac:dyDescent="0.25">
      <c r="A13" s="1">
        <v>0.22</v>
      </c>
      <c r="B13" s="1">
        <v>0.54911799999999999</v>
      </c>
      <c r="C13" s="1">
        <v>82.346010000000007</v>
      </c>
    </row>
    <row r="14" spans="1:3" x14ac:dyDescent="0.25">
      <c r="A14" s="1">
        <v>0.24</v>
      </c>
      <c r="B14" s="1">
        <v>0.559585</v>
      </c>
      <c r="C14" s="1">
        <v>81.992000000000004</v>
      </c>
    </row>
    <row r="15" spans="1:3" x14ac:dyDescent="0.25">
      <c r="A15" s="1">
        <v>0.26</v>
      </c>
      <c r="B15" s="1">
        <v>0.56906400000000001</v>
      </c>
      <c r="C15" s="1">
        <v>81.679990000000004</v>
      </c>
    </row>
    <row r="16" spans="1:3" x14ac:dyDescent="0.25">
      <c r="A16" s="1">
        <v>0.28000000000000003</v>
      </c>
      <c r="B16" s="1">
        <v>0.577793</v>
      </c>
      <c r="C16" s="1">
        <v>81.402010000000004</v>
      </c>
    </row>
    <row r="17" spans="1:3" x14ac:dyDescent="0.25">
      <c r="A17" s="1">
        <v>0.3</v>
      </c>
      <c r="B17" s="1">
        <v>0.58596000000000004</v>
      </c>
      <c r="C17" s="1">
        <v>81.150999999999996</v>
      </c>
    </row>
    <row r="18" spans="1:3" x14ac:dyDescent="0.25">
      <c r="A18" s="1">
        <v>0.32</v>
      </c>
      <c r="B18" s="1">
        <v>0.59371300000000005</v>
      </c>
      <c r="C18" s="1">
        <v>80.920010000000005</v>
      </c>
    </row>
    <row r="19" spans="1:3" x14ac:dyDescent="0.25">
      <c r="A19" s="1">
        <v>0.34</v>
      </c>
      <c r="B19" s="1">
        <v>0.60116999999999998</v>
      </c>
      <c r="C19" s="1">
        <v>80.708010000000002</v>
      </c>
    </row>
    <row r="20" spans="1:3" x14ac:dyDescent="0.25">
      <c r="A20" s="1">
        <v>0.36</v>
      </c>
      <c r="B20" s="1">
        <v>0.60843100000000006</v>
      </c>
      <c r="C20" s="1">
        <v>80.509</v>
      </c>
    </row>
    <row r="21" spans="1:3" x14ac:dyDescent="0.25">
      <c r="A21" s="1">
        <v>0.38</v>
      </c>
      <c r="B21" s="1">
        <v>0.61557399999999995</v>
      </c>
      <c r="C21" s="1">
        <v>80.322999999999993</v>
      </c>
    </row>
    <row r="22" spans="1:3" x14ac:dyDescent="0.25">
      <c r="A22" s="1">
        <v>0.4</v>
      </c>
      <c r="B22" s="1">
        <v>0.622668</v>
      </c>
      <c r="C22" s="1">
        <v>80.147000000000006</v>
      </c>
    </row>
    <row r="23" spans="1:3" x14ac:dyDescent="0.25">
      <c r="A23" s="1">
        <v>0.42</v>
      </c>
      <c r="B23" s="1">
        <v>0.62977099999999997</v>
      </c>
      <c r="C23" s="1">
        <v>79.978999999999999</v>
      </c>
    </row>
    <row r="24" spans="1:3" x14ac:dyDescent="0.25">
      <c r="A24" s="1">
        <v>0.44</v>
      </c>
      <c r="B24" s="1">
        <v>0.63693100000000002</v>
      </c>
      <c r="C24" s="1">
        <v>79.819000000000003</v>
      </c>
    </row>
    <row r="25" spans="1:3" x14ac:dyDescent="0.25">
      <c r="A25" s="1">
        <v>0.46</v>
      </c>
      <c r="B25" s="1">
        <v>0.64419499999999996</v>
      </c>
      <c r="C25" s="1">
        <v>79.665009999999995</v>
      </c>
    </row>
    <row r="26" spans="1:3" x14ac:dyDescent="0.25">
      <c r="A26" s="1">
        <v>0.48</v>
      </c>
      <c r="B26" s="1">
        <v>0.65159900000000004</v>
      </c>
      <c r="C26" s="1">
        <v>79.516999999999996</v>
      </c>
    </row>
    <row r="27" spans="1:3" x14ac:dyDescent="0.25">
      <c r="A27" s="1">
        <v>0.5</v>
      </c>
      <c r="B27" s="1">
        <v>0.65918100000000002</v>
      </c>
      <c r="C27" s="1">
        <v>79.376009999999994</v>
      </c>
    </row>
    <row r="28" spans="1:3" x14ac:dyDescent="0.25">
      <c r="A28" s="1">
        <v>0.52</v>
      </c>
      <c r="B28" s="1">
        <v>0.66697200000000001</v>
      </c>
      <c r="C28" s="1">
        <v>79.240020000000001</v>
      </c>
    </row>
    <row r="29" spans="1:3" x14ac:dyDescent="0.25">
      <c r="A29" s="1">
        <v>0.54</v>
      </c>
      <c r="B29" s="1">
        <v>0.67500400000000005</v>
      </c>
      <c r="C29" s="1">
        <v>79.109009999999998</v>
      </c>
    </row>
    <row r="30" spans="1:3" x14ac:dyDescent="0.25">
      <c r="A30" s="1">
        <v>0.56000000000000005</v>
      </c>
      <c r="B30" s="1">
        <v>0.68330500000000005</v>
      </c>
      <c r="C30" s="1">
        <v>78.983000000000004</v>
      </c>
    </row>
    <row r="31" spans="1:3" x14ac:dyDescent="0.25">
      <c r="A31" s="1">
        <v>0.57999999999999996</v>
      </c>
      <c r="B31" s="1">
        <v>0.69190399999999996</v>
      </c>
      <c r="C31" s="1">
        <v>78.863010000000003</v>
      </c>
    </row>
    <row r="32" spans="1:3" x14ac:dyDescent="0.25">
      <c r="A32" s="1">
        <v>0.6</v>
      </c>
      <c r="B32" s="1">
        <v>0.70082900000000004</v>
      </c>
      <c r="C32" s="1">
        <v>78.748990000000006</v>
      </c>
    </row>
    <row r="33" spans="1:3" x14ac:dyDescent="0.25">
      <c r="A33" s="1">
        <v>0.62</v>
      </c>
      <c r="B33" s="1">
        <v>0.71010700000000004</v>
      </c>
      <c r="C33" s="1">
        <v>78.640990000000002</v>
      </c>
    </row>
    <row r="34" spans="1:3" x14ac:dyDescent="0.25">
      <c r="A34" s="1">
        <v>0.64</v>
      </c>
      <c r="B34" s="1">
        <v>0.71976600000000002</v>
      </c>
      <c r="C34" s="1">
        <v>78.537989999999994</v>
      </c>
    </row>
    <row r="35" spans="1:3" x14ac:dyDescent="0.25">
      <c r="A35" s="1">
        <v>0.66</v>
      </c>
      <c r="B35" s="1">
        <v>0.72983399999999998</v>
      </c>
      <c r="C35" s="1">
        <v>78.442019999999999</v>
      </c>
    </row>
    <row r="36" spans="1:3" x14ac:dyDescent="0.25">
      <c r="A36" s="1">
        <v>0.68</v>
      </c>
      <c r="B36" s="1">
        <v>0.74034100000000003</v>
      </c>
      <c r="C36" s="1">
        <v>78.352999999999994</v>
      </c>
    </row>
    <row r="37" spans="1:3" x14ac:dyDescent="0.25">
      <c r="A37" s="1">
        <v>0.7</v>
      </c>
      <c r="B37" s="1">
        <v>0.75131700000000001</v>
      </c>
      <c r="C37" s="1">
        <v>78.271000000000001</v>
      </c>
    </row>
    <row r="38" spans="1:3" x14ac:dyDescent="0.25">
      <c r="A38" s="1">
        <v>0.72</v>
      </c>
      <c r="B38" s="1">
        <v>0.76279300000000005</v>
      </c>
      <c r="C38" s="1">
        <v>78.19699</v>
      </c>
    </row>
    <row r="39" spans="1:3" x14ac:dyDescent="0.25">
      <c r="A39" s="1">
        <v>0.74</v>
      </c>
      <c r="B39" s="1">
        <v>0.77480300000000002</v>
      </c>
      <c r="C39" s="1">
        <v>78.13</v>
      </c>
    </row>
    <row r="40" spans="1:3" x14ac:dyDescent="0.25">
      <c r="A40" s="1">
        <v>0.76</v>
      </c>
      <c r="B40" s="1">
        <v>0.78738200000000003</v>
      </c>
      <c r="C40" s="1">
        <v>78.072999999999993</v>
      </c>
    </row>
    <row r="41" spans="1:3" x14ac:dyDescent="0.25">
      <c r="A41" s="1">
        <v>0.78</v>
      </c>
      <c r="B41" s="1">
        <v>0.80056899999999998</v>
      </c>
      <c r="C41" s="1">
        <v>78.024019999999993</v>
      </c>
    </row>
    <row r="42" spans="1:3" x14ac:dyDescent="0.25">
      <c r="A42" s="1">
        <v>0.8</v>
      </c>
      <c r="B42" s="1">
        <v>0.81440299999999999</v>
      </c>
      <c r="C42" s="1">
        <v>77.984009999999998</v>
      </c>
    </row>
    <row r="43" spans="1:3" x14ac:dyDescent="0.25">
      <c r="A43" s="1">
        <v>0.82</v>
      </c>
      <c r="B43" s="1">
        <v>0.82892699999999997</v>
      </c>
      <c r="C43" s="1">
        <v>77.955020000000005</v>
      </c>
    </row>
    <row r="44" spans="1:3" x14ac:dyDescent="0.25">
      <c r="A44" s="1">
        <v>0.84</v>
      </c>
      <c r="B44" s="1">
        <v>0.84418899999999997</v>
      </c>
      <c r="C44" s="1">
        <v>77.937010000000001</v>
      </c>
    </row>
    <row r="45" spans="1:3" x14ac:dyDescent="0.25">
      <c r="A45" s="1">
        <v>0.86</v>
      </c>
      <c r="B45" s="1">
        <v>0.86023899999999998</v>
      </c>
      <c r="C45" s="1">
        <v>77.929990000000004</v>
      </c>
    </row>
    <row r="46" spans="1:3" x14ac:dyDescent="0.25">
      <c r="A46" s="1">
        <v>0.88</v>
      </c>
      <c r="B46" s="1">
        <v>0.87713200000000002</v>
      </c>
      <c r="C46" s="1">
        <v>77.936000000000007</v>
      </c>
    </row>
    <row r="47" spans="1:3" x14ac:dyDescent="0.25">
      <c r="A47" s="1">
        <v>0.9</v>
      </c>
      <c r="B47" s="1">
        <v>0.89492899999999997</v>
      </c>
      <c r="C47" s="1">
        <v>77.954009999999997</v>
      </c>
    </row>
    <row r="48" spans="1:3" x14ac:dyDescent="0.25">
      <c r="A48" s="1">
        <v>0.92</v>
      </c>
      <c r="B48" s="1">
        <v>0.91369599999999995</v>
      </c>
      <c r="C48" s="1">
        <v>77.985990000000001</v>
      </c>
    </row>
    <row r="49" spans="1:3" x14ac:dyDescent="0.25">
      <c r="A49" s="1">
        <v>0.94</v>
      </c>
      <c r="B49" s="1">
        <v>0.93350299999999997</v>
      </c>
      <c r="C49" s="1">
        <v>78.03201</v>
      </c>
    </row>
    <row r="50" spans="1:3" x14ac:dyDescent="0.25">
      <c r="A50" s="1">
        <v>0.96</v>
      </c>
      <c r="B50" s="1">
        <v>0.95443</v>
      </c>
      <c r="C50" s="1">
        <v>78.093990000000005</v>
      </c>
    </row>
    <row r="51" spans="1:3" x14ac:dyDescent="0.25">
      <c r="A51" s="1">
        <v>0.98</v>
      </c>
      <c r="B51" s="1">
        <v>0.97656399999999999</v>
      </c>
      <c r="C51" s="1">
        <v>78.171999999999997</v>
      </c>
    </row>
    <row r="52" spans="1:3" x14ac:dyDescent="0.25">
      <c r="A52" s="1">
        <v>1</v>
      </c>
      <c r="B52" s="1">
        <v>1</v>
      </c>
      <c r="C52" s="1">
        <v>78.268010000000004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 9.2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Jose Lozano</cp:lastModifiedBy>
  <dcterms:created xsi:type="dcterms:W3CDTF">2020-11-12T21:31:19Z</dcterms:created>
  <dcterms:modified xsi:type="dcterms:W3CDTF">2021-12-08T22:39:55Z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