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441890\Desktop\芊竹資料\電子票證\"/>
    </mc:Choice>
  </mc:AlternateContent>
  <bookViews>
    <workbookView xWindow="0" yWindow="0" windowWidth="20490" windowHeight="6000"/>
  </bookViews>
  <sheets>
    <sheet name="2017年05月花蓮客運補貼明細" sheetId="1" r:id="rId1"/>
  </sheets>
  <definedNames>
    <definedName name="_xlnm._FilterDatabase" localSheetId="0" hidden="1">'2017年05月花蓮客運補貼明細'!$A$1:$R$234</definedName>
  </definedNames>
  <calcPr calcId="162913"/>
</workbook>
</file>

<file path=xl/calcChain.xml><?xml version="1.0" encoding="utf-8"?>
<calcChain xmlns="http://schemas.openxmlformats.org/spreadsheetml/2006/main">
  <c r="B2" i="1" l="1"/>
  <c r="C2" i="1"/>
  <c r="F2" i="1"/>
  <c r="J2" i="1"/>
  <c r="M2" i="1"/>
  <c r="O2" i="1"/>
  <c r="P2" i="1"/>
  <c r="Q2" i="1"/>
  <c r="R2" i="1"/>
  <c r="B3" i="1"/>
  <c r="C3" i="1"/>
  <c r="F3" i="1"/>
  <c r="J3" i="1"/>
  <c r="M3" i="1"/>
  <c r="O3" i="1"/>
  <c r="P3" i="1"/>
  <c r="Q3" i="1"/>
  <c r="R3" i="1"/>
  <c r="B4" i="1"/>
  <c r="C4" i="1"/>
  <c r="F4" i="1"/>
  <c r="J4" i="1"/>
  <c r="M4" i="1"/>
  <c r="O4" i="1"/>
  <c r="P4" i="1"/>
  <c r="Q4" i="1"/>
  <c r="R4" i="1"/>
  <c r="B5" i="1"/>
  <c r="C5" i="1"/>
  <c r="F5" i="1"/>
  <c r="J5" i="1"/>
  <c r="M5" i="1"/>
  <c r="O5" i="1"/>
  <c r="P5" i="1"/>
  <c r="Q5" i="1"/>
  <c r="R5" i="1"/>
  <c r="B6" i="1"/>
  <c r="C6" i="1"/>
  <c r="F6" i="1"/>
  <c r="J6" i="1"/>
  <c r="M6" i="1"/>
  <c r="O6" i="1"/>
  <c r="P6" i="1"/>
  <c r="Q6" i="1"/>
  <c r="R6" i="1"/>
  <c r="B7" i="1"/>
  <c r="C7" i="1"/>
  <c r="F7" i="1"/>
  <c r="J7" i="1"/>
  <c r="M7" i="1"/>
  <c r="O7" i="1"/>
  <c r="P7" i="1"/>
  <c r="Q7" i="1"/>
  <c r="R7" i="1"/>
  <c r="B8" i="1"/>
  <c r="C8" i="1"/>
  <c r="F8" i="1"/>
  <c r="J8" i="1"/>
  <c r="M8" i="1"/>
  <c r="O8" i="1"/>
  <c r="P8" i="1"/>
  <c r="Q8" i="1"/>
  <c r="R8" i="1"/>
  <c r="B9" i="1"/>
  <c r="C9" i="1"/>
  <c r="F9" i="1"/>
  <c r="J9" i="1"/>
  <c r="M9" i="1"/>
  <c r="O9" i="1"/>
  <c r="P9" i="1"/>
  <c r="Q9" i="1"/>
  <c r="R9" i="1"/>
  <c r="B10" i="1"/>
  <c r="C10" i="1"/>
  <c r="F10" i="1"/>
  <c r="J10" i="1"/>
  <c r="M10" i="1"/>
  <c r="O10" i="1"/>
  <c r="P10" i="1"/>
  <c r="Q10" i="1"/>
  <c r="R10" i="1"/>
  <c r="B11" i="1"/>
  <c r="C11" i="1"/>
  <c r="F11" i="1"/>
  <c r="J11" i="1"/>
  <c r="M11" i="1"/>
  <c r="O11" i="1"/>
  <c r="P11" i="1"/>
  <c r="Q11" i="1"/>
  <c r="R11" i="1"/>
  <c r="B12" i="1"/>
  <c r="C12" i="1"/>
  <c r="F12" i="1"/>
  <c r="J12" i="1"/>
  <c r="M12" i="1"/>
  <c r="O12" i="1"/>
  <c r="P12" i="1"/>
  <c r="Q12" i="1"/>
  <c r="R12" i="1"/>
  <c r="B13" i="1"/>
  <c r="C13" i="1"/>
  <c r="F13" i="1"/>
  <c r="J13" i="1"/>
  <c r="M13" i="1"/>
  <c r="O13" i="1"/>
  <c r="P13" i="1"/>
  <c r="Q13" i="1"/>
  <c r="R13" i="1"/>
  <c r="B14" i="1"/>
  <c r="C14" i="1"/>
  <c r="F14" i="1"/>
  <c r="J14" i="1"/>
  <c r="M14" i="1"/>
  <c r="O14" i="1"/>
  <c r="P14" i="1"/>
  <c r="Q14" i="1"/>
  <c r="R14" i="1"/>
  <c r="B15" i="1"/>
  <c r="C15" i="1"/>
  <c r="F15" i="1"/>
  <c r="J15" i="1"/>
  <c r="M15" i="1"/>
  <c r="O15" i="1"/>
  <c r="P15" i="1"/>
  <c r="Q15" i="1"/>
  <c r="R15" i="1"/>
  <c r="B16" i="1"/>
  <c r="C16" i="1"/>
  <c r="F16" i="1"/>
  <c r="J16" i="1"/>
  <c r="M16" i="1"/>
  <c r="O16" i="1"/>
  <c r="P16" i="1"/>
  <c r="Q16" i="1"/>
  <c r="R16" i="1"/>
  <c r="B17" i="1"/>
  <c r="C17" i="1"/>
  <c r="F17" i="1"/>
  <c r="J17" i="1"/>
  <c r="M17" i="1"/>
  <c r="O17" i="1"/>
  <c r="P17" i="1"/>
  <c r="Q17" i="1"/>
  <c r="R17" i="1"/>
  <c r="B18" i="1"/>
  <c r="C18" i="1"/>
  <c r="F18" i="1"/>
  <c r="J18" i="1"/>
  <c r="M18" i="1"/>
  <c r="O18" i="1"/>
  <c r="P18" i="1"/>
  <c r="Q18" i="1"/>
  <c r="R18" i="1"/>
  <c r="B19" i="1"/>
  <c r="C19" i="1"/>
  <c r="F19" i="1"/>
  <c r="J19" i="1"/>
  <c r="M19" i="1"/>
  <c r="O19" i="1"/>
  <c r="P19" i="1"/>
  <c r="Q19" i="1"/>
  <c r="R19" i="1"/>
  <c r="B20" i="1"/>
  <c r="C20" i="1"/>
  <c r="F20" i="1"/>
  <c r="J20" i="1"/>
  <c r="M20" i="1"/>
  <c r="O20" i="1"/>
  <c r="P20" i="1"/>
  <c r="Q20" i="1"/>
  <c r="R20" i="1"/>
  <c r="B21" i="1"/>
  <c r="C21" i="1"/>
  <c r="F21" i="1"/>
  <c r="J21" i="1"/>
  <c r="M21" i="1"/>
  <c r="O21" i="1"/>
  <c r="P21" i="1"/>
  <c r="Q21" i="1"/>
  <c r="R21" i="1"/>
  <c r="B22" i="1"/>
  <c r="C22" i="1"/>
  <c r="F22" i="1"/>
  <c r="J22" i="1"/>
  <c r="M22" i="1"/>
  <c r="O22" i="1"/>
  <c r="P22" i="1"/>
  <c r="Q22" i="1"/>
  <c r="R22" i="1"/>
  <c r="B23" i="1"/>
  <c r="C23" i="1"/>
  <c r="F23" i="1"/>
  <c r="J23" i="1"/>
  <c r="M23" i="1"/>
  <c r="O23" i="1"/>
  <c r="P23" i="1"/>
  <c r="Q23" i="1"/>
  <c r="R23" i="1"/>
  <c r="B24" i="1"/>
  <c r="C24" i="1"/>
  <c r="F24" i="1"/>
  <c r="J24" i="1"/>
  <c r="M24" i="1"/>
  <c r="O24" i="1"/>
  <c r="P24" i="1"/>
  <c r="Q24" i="1"/>
  <c r="R24" i="1"/>
  <c r="B25" i="1"/>
  <c r="C25" i="1"/>
  <c r="F25" i="1"/>
  <c r="J25" i="1"/>
  <c r="M25" i="1"/>
  <c r="O25" i="1"/>
  <c r="P25" i="1"/>
  <c r="Q25" i="1"/>
  <c r="R25" i="1"/>
  <c r="B26" i="1"/>
  <c r="C26" i="1"/>
  <c r="F26" i="1"/>
  <c r="J26" i="1"/>
  <c r="M26" i="1"/>
  <c r="O26" i="1"/>
  <c r="P26" i="1"/>
  <c r="Q26" i="1"/>
  <c r="R26" i="1"/>
  <c r="B27" i="1"/>
  <c r="C27" i="1"/>
  <c r="F27" i="1"/>
  <c r="J27" i="1"/>
  <c r="M27" i="1"/>
  <c r="O27" i="1"/>
  <c r="P27" i="1"/>
  <c r="Q27" i="1"/>
  <c r="R27" i="1"/>
  <c r="B28" i="1"/>
  <c r="C28" i="1"/>
  <c r="F28" i="1"/>
  <c r="J28" i="1"/>
  <c r="M28" i="1"/>
  <c r="O28" i="1"/>
  <c r="P28" i="1"/>
  <c r="Q28" i="1"/>
  <c r="R28" i="1"/>
  <c r="B29" i="1"/>
  <c r="C29" i="1"/>
  <c r="F29" i="1"/>
  <c r="J29" i="1"/>
  <c r="M29" i="1"/>
  <c r="O29" i="1"/>
  <c r="P29" i="1"/>
  <c r="Q29" i="1"/>
  <c r="R29" i="1"/>
  <c r="B30" i="1"/>
  <c r="C30" i="1"/>
  <c r="F30" i="1"/>
  <c r="J30" i="1"/>
  <c r="M30" i="1"/>
  <c r="O30" i="1"/>
  <c r="P30" i="1"/>
  <c r="Q30" i="1"/>
  <c r="R30" i="1"/>
  <c r="B31" i="1"/>
  <c r="C31" i="1"/>
  <c r="F31" i="1"/>
  <c r="J31" i="1"/>
  <c r="M31" i="1"/>
  <c r="O31" i="1"/>
  <c r="P31" i="1"/>
  <c r="Q31" i="1"/>
  <c r="R31" i="1"/>
  <c r="B32" i="1"/>
  <c r="C32" i="1"/>
  <c r="F32" i="1"/>
  <c r="J32" i="1"/>
  <c r="M32" i="1"/>
  <c r="O32" i="1"/>
  <c r="P32" i="1"/>
  <c r="Q32" i="1"/>
  <c r="R32" i="1"/>
  <c r="B33" i="1"/>
  <c r="C33" i="1"/>
  <c r="F33" i="1"/>
  <c r="J33" i="1"/>
  <c r="M33" i="1"/>
  <c r="O33" i="1"/>
  <c r="P33" i="1"/>
  <c r="Q33" i="1"/>
  <c r="R33" i="1"/>
  <c r="B34" i="1"/>
  <c r="C34" i="1"/>
  <c r="F34" i="1"/>
  <c r="J34" i="1"/>
  <c r="M34" i="1"/>
  <c r="O34" i="1"/>
  <c r="P34" i="1"/>
  <c r="Q34" i="1"/>
  <c r="R34" i="1"/>
  <c r="B35" i="1"/>
  <c r="C35" i="1"/>
  <c r="F35" i="1"/>
  <c r="J35" i="1"/>
  <c r="M35" i="1"/>
  <c r="O35" i="1"/>
  <c r="P35" i="1"/>
  <c r="Q35" i="1"/>
  <c r="R35" i="1"/>
  <c r="B36" i="1"/>
  <c r="C36" i="1"/>
  <c r="F36" i="1"/>
  <c r="J36" i="1"/>
  <c r="M36" i="1"/>
  <c r="O36" i="1"/>
  <c r="P36" i="1"/>
  <c r="Q36" i="1"/>
  <c r="R36" i="1"/>
  <c r="B37" i="1"/>
  <c r="C37" i="1"/>
  <c r="F37" i="1"/>
  <c r="J37" i="1"/>
  <c r="M37" i="1"/>
  <c r="O37" i="1"/>
  <c r="P37" i="1"/>
  <c r="Q37" i="1"/>
  <c r="R37" i="1"/>
  <c r="B38" i="1"/>
  <c r="C38" i="1"/>
  <c r="F38" i="1"/>
  <c r="J38" i="1"/>
  <c r="M38" i="1"/>
  <c r="O38" i="1"/>
  <c r="P38" i="1"/>
  <c r="Q38" i="1"/>
  <c r="R38" i="1"/>
  <c r="B39" i="1"/>
  <c r="C39" i="1"/>
  <c r="F39" i="1"/>
  <c r="J39" i="1"/>
  <c r="M39" i="1"/>
  <c r="O39" i="1"/>
  <c r="P39" i="1"/>
  <c r="Q39" i="1"/>
  <c r="R39" i="1"/>
  <c r="B40" i="1"/>
  <c r="C40" i="1"/>
  <c r="F40" i="1"/>
  <c r="J40" i="1"/>
  <c r="M40" i="1"/>
  <c r="O40" i="1"/>
  <c r="P40" i="1"/>
  <c r="Q40" i="1"/>
  <c r="R40" i="1"/>
  <c r="B41" i="1"/>
  <c r="C41" i="1"/>
  <c r="F41" i="1"/>
  <c r="J41" i="1"/>
  <c r="M41" i="1"/>
  <c r="O41" i="1"/>
  <c r="P41" i="1"/>
  <c r="Q41" i="1"/>
  <c r="R41" i="1"/>
  <c r="B42" i="1"/>
  <c r="C42" i="1"/>
  <c r="F42" i="1"/>
  <c r="J42" i="1"/>
  <c r="M42" i="1"/>
  <c r="O42" i="1"/>
  <c r="P42" i="1"/>
  <c r="Q42" i="1"/>
  <c r="R42" i="1"/>
  <c r="B43" i="1"/>
  <c r="C43" i="1"/>
  <c r="F43" i="1"/>
  <c r="J43" i="1"/>
  <c r="M43" i="1"/>
  <c r="O43" i="1"/>
  <c r="P43" i="1"/>
  <c r="Q43" i="1"/>
  <c r="R43" i="1"/>
  <c r="B44" i="1"/>
  <c r="C44" i="1"/>
  <c r="F44" i="1"/>
  <c r="J44" i="1"/>
  <c r="M44" i="1"/>
  <c r="O44" i="1"/>
  <c r="P44" i="1"/>
  <c r="Q44" i="1"/>
  <c r="R44" i="1"/>
  <c r="B45" i="1"/>
  <c r="C45" i="1"/>
  <c r="F45" i="1"/>
  <c r="J45" i="1"/>
  <c r="M45" i="1"/>
  <c r="O45" i="1"/>
  <c r="P45" i="1"/>
  <c r="Q45" i="1"/>
  <c r="R45" i="1"/>
  <c r="B46" i="1"/>
  <c r="C46" i="1"/>
  <c r="F46" i="1"/>
  <c r="J46" i="1"/>
  <c r="M46" i="1"/>
  <c r="O46" i="1"/>
  <c r="P46" i="1"/>
  <c r="Q46" i="1"/>
  <c r="R46" i="1"/>
  <c r="B47" i="1"/>
  <c r="C47" i="1"/>
  <c r="F47" i="1"/>
  <c r="J47" i="1"/>
  <c r="M47" i="1"/>
  <c r="O47" i="1"/>
  <c r="P47" i="1"/>
  <c r="Q47" i="1"/>
  <c r="R47" i="1"/>
  <c r="B48" i="1"/>
  <c r="C48" i="1"/>
  <c r="F48" i="1"/>
  <c r="J48" i="1"/>
  <c r="M48" i="1"/>
  <c r="O48" i="1"/>
  <c r="P48" i="1"/>
  <c r="Q48" i="1"/>
  <c r="R48" i="1"/>
  <c r="B49" i="1"/>
  <c r="C49" i="1"/>
  <c r="F49" i="1"/>
  <c r="J49" i="1"/>
  <c r="M49" i="1"/>
  <c r="O49" i="1"/>
  <c r="P49" i="1"/>
  <c r="Q49" i="1"/>
  <c r="R49" i="1"/>
  <c r="B50" i="1"/>
  <c r="C50" i="1"/>
  <c r="F50" i="1"/>
  <c r="J50" i="1"/>
  <c r="M50" i="1"/>
  <c r="O50" i="1"/>
  <c r="P50" i="1"/>
  <c r="Q50" i="1"/>
  <c r="R50" i="1"/>
  <c r="B51" i="1"/>
  <c r="C51" i="1"/>
  <c r="F51" i="1"/>
  <c r="J51" i="1"/>
  <c r="M51" i="1"/>
  <c r="O51" i="1"/>
  <c r="P51" i="1"/>
  <c r="Q51" i="1"/>
  <c r="R51" i="1"/>
  <c r="B52" i="1"/>
  <c r="C52" i="1"/>
  <c r="F52" i="1"/>
  <c r="J52" i="1"/>
  <c r="M52" i="1"/>
  <c r="O52" i="1"/>
  <c r="P52" i="1"/>
  <c r="Q52" i="1"/>
  <c r="R52" i="1"/>
  <c r="B53" i="1"/>
  <c r="C53" i="1"/>
  <c r="F53" i="1"/>
  <c r="J53" i="1"/>
  <c r="M53" i="1"/>
  <c r="O53" i="1"/>
  <c r="P53" i="1"/>
  <c r="Q53" i="1"/>
  <c r="R53" i="1"/>
  <c r="B54" i="1"/>
  <c r="C54" i="1"/>
  <c r="F54" i="1"/>
  <c r="J54" i="1"/>
  <c r="M54" i="1"/>
  <c r="O54" i="1"/>
  <c r="P54" i="1"/>
  <c r="Q54" i="1"/>
  <c r="R54" i="1"/>
  <c r="B55" i="1"/>
  <c r="C55" i="1"/>
  <c r="F55" i="1"/>
  <c r="J55" i="1"/>
  <c r="M55" i="1"/>
  <c r="O55" i="1"/>
  <c r="P55" i="1"/>
  <c r="Q55" i="1"/>
  <c r="R55" i="1"/>
  <c r="B56" i="1"/>
  <c r="C56" i="1"/>
  <c r="F56" i="1"/>
  <c r="J56" i="1"/>
  <c r="M56" i="1"/>
  <c r="O56" i="1"/>
  <c r="P56" i="1"/>
  <c r="Q56" i="1"/>
  <c r="R56" i="1"/>
  <c r="B57" i="1"/>
  <c r="C57" i="1"/>
  <c r="F57" i="1"/>
  <c r="J57" i="1"/>
  <c r="M57" i="1"/>
  <c r="O57" i="1"/>
  <c r="P57" i="1"/>
  <c r="Q57" i="1"/>
  <c r="R57" i="1"/>
  <c r="B58" i="1"/>
  <c r="C58" i="1"/>
  <c r="F58" i="1"/>
  <c r="J58" i="1"/>
  <c r="M58" i="1"/>
  <c r="O58" i="1"/>
  <c r="P58" i="1"/>
  <c r="Q58" i="1"/>
  <c r="R58" i="1"/>
  <c r="B59" i="1"/>
  <c r="C59" i="1"/>
  <c r="F59" i="1"/>
  <c r="J59" i="1"/>
  <c r="M59" i="1"/>
  <c r="O59" i="1"/>
  <c r="P59" i="1"/>
  <c r="Q59" i="1"/>
  <c r="R59" i="1"/>
  <c r="B60" i="1"/>
  <c r="C60" i="1"/>
  <c r="F60" i="1"/>
  <c r="J60" i="1"/>
  <c r="M60" i="1"/>
  <c r="O60" i="1"/>
  <c r="P60" i="1"/>
  <c r="Q60" i="1"/>
  <c r="R60" i="1"/>
  <c r="B61" i="1"/>
  <c r="C61" i="1"/>
  <c r="F61" i="1"/>
  <c r="J61" i="1"/>
  <c r="M61" i="1"/>
  <c r="O61" i="1"/>
  <c r="P61" i="1"/>
  <c r="Q61" i="1"/>
  <c r="R61" i="1"/>
  <c r="B62" i="1"/>
  <c r="C62" i="1"/>
  <c r="F62" i="1"/>
  <c r="J62" i="1"/>
  <c r="M62" i="1"/>
  <c r="O62" i="1"/>
  <c r="P62" i="1"/>
  <c r="Q62" i="1"/>
  <c r="R62" i="1"/>
  <c r="B63" i="1"/>
  <c r="C63" i="1"/>
  <c r="F63" i="1"/>
  <c r="J63" i="1"/>
  <c r="M63" i="1"/>
  <c r="O63" i="1"/>
  <c r="P63" i="1"/>
  <c r="Q63" i="1"/>
  <c r="R63" i="1"/>
  <c r="B64" i="1"/>
  <c r="C64" i="1"/>
  <c r="F64" i="1"/>
  <c r="J64" i="1"/>
  <c r="M64" i="1"/>
  <c r="O64" i="1"/>
  <c r="P64" i="1"/>
  <c r="Q64" i="1"/>
  <c r="R64" i="1"/>
  <c r="B65" i="1"/>
  <c r="C65" i="1"/>
  <c r="F65" i="1"/>
  <c r="J65" i="1"/>
  <c r="M65" i="1"/>
  <c r="O65" i="1"/>
  <c r="P65" i="1"/>
  <c r="Q65" i="1"/>
  <c r="R65" i="1"/>
  <c r="B66" i="1"/>
  <c r="C66" i="1"/>
  <c r="F66" i="1"/>
  <c r="J66" i="1"/>
  <c r="M66" i="1"/>
  <c r="O66" i="1"/>
  <c r="P66" i="1"/>
  <c r="Q66" i="1"/>
  <c r="R66" i="1"/>
  <c r="B67" i="1"/>
  <c r="C67" i="1"/>
  <c r="F67" i="1"/>
  <c r="J67" i="1"/>
  <c r="M67" i="1"/>
  <c r="O67" i="1"/>
  <c r="P67" i="1"/>
  <c r="Q67" i="1"/>
  <c r="R67" i="1"/>
  <c r="B68" i="1"/>
  <c r="C68" i="1"/>
  <c r="F68" i="1"/>
  <c r="J68" i="1"/>
  <c r="M68" i="1"/>
  <c r="O68" i="1"/>
  <c r="P68" i="1"/>
  <c r="Q68" i="1"/>
  <c r="R68" i="1"/>
  <c r="B69" i="1"/>
  <c r="C69" i="1"/>
  <c r="F69" i="1"/>
  <c r="J69" i="1"/>
  <c r="M69" i="1"/>
  <c r="O69" i="1"/>
  <c r="P69" i="1"/>
  <c r="Q69" i="1"/>
  <c r="R69" i="1"/>
  <c r="B70" i="1"/>
  <c r="C70" i="1"/>
  <c r="F70" i="1"/>
  <c r="J70" i="1"/>
  <c r="M70" i="1"/>
  <c r="O70" i="1"/>
  <c r="P70" i="1"/>
  <c r="Q70" i="1"/>
  <c r="R70" i="1"/>
  <c r="B71" i="1"/>
  <c r="C71" i="1"/>
  <c r="F71" i="1"/>
  <c r="J71" i="1"/>
  <c r="M71" i="1"/>
  <c r="O71" i="1"/>
  <c r="P71" i="1"/>
  <c r="Q71" i="1"/>
  <c r="R71" i="1"/>
  <c r="B72" i="1"/>
  <c r="C72" i="1"/>
  <c r="F72" i="1"/>
  <c r="J72" i="1"/>
  <c r="M72" i="1"/>
  <c r="O72" i="1"/>
  <c r="P72" i="1"/>
  <c r="Q72" i="1"/>
  <c r="R72" i="1"/>
  <c r="B73" i="1"/>
  <c r="C73" i="1"/>
  <c r="F73" i="1"/>
  <c r="J73" i="1"/>
  <c r="M73" i="1"/>
  <c r="O73" i="1"/>
  <c r="P73" i="1"/>
  <c r="Q73" i="1"/>
  <c r="R73" i="1"/>
  <c r="B74" i="1"/>
  <c r="C74" i="1"/>
  <c r="F74" i="1"/>
  <c r="J74" i="1"/>
  <c r="M74" i="1"/>
  <c r="O74" i="1"/>
  <c r="P74" i="1"/>
  <c r="Q74" i="1"/>
  <c r="R74" i="1"/>
  <c r="B75" i="1"/>
  <c r="C75" i="1"/>
  <c r="F75" i="1"/>
  <c r="J75" i="1"/>
  <c r="M75" i="1"/>
  <c r="O75" i="1"/>
  <c r="P75" i="1"/>
  <c r="Q75" i="1"/>
  <c r="R75" i="1"/>
  <c r="B76" i="1"/>
  <c r="C76" i="1"/>
  <c r="F76" i="1"/>
  <c r="J76" i="1"/>
  <c r="M76" i="1"/>
  <c r="O76" i="1"/>
  <c r="P76" i="1"/>
  <c r="Q76" i="1"/>
  <c r="R76" i="1"/>
  <c r="B77" i="1"/>
  <c r="C77" i="1"/>
  <c r="F77" i="1"/>
  <c r="J77" i="1"/>
  <c r="M77" i="1"/>
  <c r="O77" i="1"/>
  <c r="P77" i="1"/>
  <c r="Q77" i="1"/>
  <c r="R77" i="1"/>
  <c r="B78" i="1"/>
  <c r="C78" i="1"/>
  <c r="F78" i="1"/>
  <c r="J78" i="1"/>
  <c r="M78" i="1"/>
  <c r="O78" i="1"/>
  <c r="P78" i="1"/>
  <c r="Q78" i="1"/>
  <c r="R78" i="1"/>
  <c r="B79" i="1"/>
  <c r="C79" i="1"/>
  <c r="F79" i="1"/>
  <c r="J79" i="1"/>
  <c r="M79" i="1"/>
  <c r="O79" i="1"/>
  <c r="P79" i="1"/>
  <c r="Q79" i="1"/>
  <c r="R79" i="1"/>
  <c r="B80" i="1"/>
  <c r="C80" i="1"/>
  <c r="F80" i="1"/>
  <c r="J80" i="1"/>
  <c r="M80" i="1"/>
  <c r="O80" i="1"/>
  <c r="P80" i="1"/>
  <c r="Q80" i="1"/>
  <c r="R80" i="1"/>
  <c r="B81" i="1"/>
  <c r="C81" i="1"/>
  <c r="F81" i="1"/>
  <c r="J81" i="1"/>
  <c r="M81" i="1"/>
  <c r="O81" i="1"/>
  <c r="P81" i="1"/>
  <c r="Q81" i="1"/>
  <c r="R81" i="1"/>
  <c r="B82" i="1"/>
  <c r="C82" i="1"/>
  <c r="F82" i="1"/>
  <c r="J82" i="1"/>
  <c r="M82" i="1"/>
  <c r="O82" i="1"/>
  <c r="P82" i="1"/>
  <c r="Q82" i="1"/>
  <c r="R82" i="1"/>
  <c r="B83" i="1"/>
  <c r="C83" i="1"/>
  <c r="F83" i="1"/>
  <c r="J83" i="1"/>
  <c r="M83" i="1"/>
  <c r="O83" i="1"/>
  <c r="P83" i="1"/>
  <c r="Q83" i="1"/>
  <c r="R83" i="1"/>
  <c r="B84" i="1"/>
  <c r="C84" i="1"/>
  <c r="F84" i="1"/>
  <c r="J84" i="1"/>
  <c r="M84" i="1"/>
  <c r="O84" i="1"/>
  <c r="P84" i="1"/>
  <c r="Q84" i="1"/>
  <c r="R84" i="1"/>
  <c r="B85" i="1"/>
  <c r="C85" i="1"/>
  <c r="F85" i="1"/>
  <c r="J85" i="1"/>
  <c r="M85" i="1"/>
  <c r="O85" i="1"/>
  <c r="P85" i="1"/>
  <c r="Q85" i="1"/>
  <c r="R85" i="1"/>
  <c r="B86" i="1"/>
  <c r="C86" i="1"/>
  <c r="F86" i="1"/>
  <c r="J86" i="1"/>
  <c r="M86" i="1"/>
  <c r="O86" i="1"/>
  <c r="P86" i="1"/>
  <c r="Q86" i="1"/>
  <c r="R86" i="1"/>
  <c r="B87" i="1"/>
  <c r="C87" i="1"/>
  <c r="F87" i="1"/>
  <c r="J87" i="1"/>
  <c r="M87" i="1"/>
  <c r="O87" i="1"/>
  <c r="P87" i="1"/>
  <c r="Q87" i="1"/>
  <c r="R87" i="1"/>
  <c r="B88" i="1"/>
  <c r="C88" i="1"/>
  <c r="F88" i="1"/>
  <c r="J88" i="1"/>
  <c r="M88" i="1"/>
  <c r="O88" i="1"/>
  <c r="P88" i="1"/>
  <c r="Q88" i="1"/>
  <c r="R88" i="1"/>
  <c r="B89" i="1"/>
  <c r="C89" i="1"/>
  <c r="F89" i="1"/>
  <c r="J89" i="1"/>
  <c r="M89" i="1"/>
  <c r="O89" i="1"/>
  <c r="P89" i="1"/>
  <c r="Q89" i="1"/>
  <c r="R89" i="1"/>
  <c r="B90" i="1"/>
  <c r="C90" i="1"/>
  <c r="F90" i="1"/>
  <c r="J90" i="1"/>
  <c r="M90" i="1"/>
  <c r="O90" i="1"/>
  <c r="P90" i="1"/>
  <c r="Q90" i="1"/>
  <c r="R90" i="1"/>
  <c r="B91" i="1"/>
  <c r="C91" i="1"/>
  <c r="F91" i="1"/>
  <c r="J91" i="1"/>
  <c r="M91" i="1"/>
  <c r="O91" i="1"/>
  <c r="P91" i="1"/>
  <c r="Q91" i="1"/>
  <c r="R91" i="1"/>
  <c r="B92" i="1"/>
  <c r="C92" i="1"/>
  <c r="F92" i="1"/>
  <c r="J92" i="1"/>
  <c r="M92" i="1"/>
  <c r="O92" i="1"/>
  <c r="P92" i="1"/>
  <c r="Q92" i="1"/>
  <c r="R92" i="1"/>
  <c r="B93" i="1"/>
  <c r="C93" i="1"/>
  <c r="F93" i="1"/>
  <c r="J93" i="1"/>
  <c r="M93" i="1"/>
  <c r="O93" i="1"/>
  <c r="P93" i="1"/>
  <c r="Q93" i="1"/>
  <c r="R93" i="1"/>
  <c r="B94" i="1"/>
  <c r="C94" i="1"/>
  <c r="F94" i="1"/>
  <c r="J94" i="1"/>
  <c r="M94" i="1"/>
  <c r="O94" i="1"/>
  <c r="P94" i="1"/>
  <c r="Q94" i="1"/>
  <c r="R94" i="1"/>
  <c r="B95" i="1"/>
  <c r="C95" i="1"/>
  <c r="F95" i="1"/>
  <c r="J95" i="1"/>
  <c r="M95" i="1"/>
  <c r="O95" i="1"/>
  <c r="P95" i="1"/>
  <c r="Q95" i="1"/>
  <c r="R95" i="1"/>
  <c r="B96" i="1"/>
  <c r="C96" i="1"/>
  <c r="F96" i="1"/>
  <c r="J96" i="1"/>
  <c r="M96" i="1"/>
  <c r="O96" i="1"/>
  <c r="P96" i="1"/>
  <c r="Q96" i="1"/>
  <c r="R96" i="1"/>
  <c r="B97" i="1"/>
  <c r="C97" i="1"/>
  <c r="F97" i="1"/>
  <c r="J97" i="1"/>
  <c r="M97" i="1"/>
  <c r="O97" i="1"/>
  <c r="P97" i="1"/>
  <c r="Q97" i="1"/>
  <c r="R97" i="1"/>
  <c r="B98" i="1"/>
  <c r="C98" i="1"/>
  <c r="F98" i="1"/>
  <c r="J98" i="1"/>
  <c r="M98" i="1"/>
  <c r="O98" i="1"/>
  <c r="P98" i="1"/>
  <c r="Q98" i="1"/>
  <c r="R98" i="1"/>
  <c r="B99" i="1"/>
  <c r="C99" i="1"/>
  <c r="F99" i="1"/>
  <c r="J99" i="1"/>
  <c r="M99" i="1"/>
  <c r="O99" i="1"/>
  <c r="P99" i="1"/>
  <c r="Q99" i="1"/>
  <c r="R99" i="1"/>
  <c r="B100" i="1"/>
  <c r="C100" i="1"/>
  <c r="F100" i="1"/>
  <c r="J100" i="1"/>
  <c r="M100" i="1"/>
  <c r="O100" i="1"/>
  <c r="P100" i="1"/>
  <c r="Q100" i="1"/>
  <c r="R100" i="1"/>
  <c r="B101" i="1"/>
  <c r="C101" i="1"/>
  <c r="F101" i="1"/>
  <c r="J101" i="1"/>
  <c r="M101" i="1"/>
  <c r="O101" i="1"/>
  <c r="P101" i="1"/>
  <c r="Q101" i="1"/>
  <c r="R101" i="1"/>
  <c r="B102" i="1"/>
  <c r="C102" i="1"/>
  <c r="F102" i="1"/>
  <c r="J102" i="1"/>
  <c r="M102" i="1"/>
  <c r="O102" i="1"/>
  <c r="P102" i="1"/>
  <c r="Q102" i="1"/>
  <c r="R102" i="1"/>
  <c r="B103" i="1"/>
  <c r="C103" i="1"/>
  <c r="F103" i="1"/>
  <c r="J103" i="1"/>
  <c r="M103" i="1"/>
  <c r="O103" i="1"/>
  <c r="P103" i="1"/>
  <c r="Q103" i="1"/>
  <c r="R103" i="1"/>
  <c r="B104" i="1"/>
  <c r="C104" i="1"/>
  <c r="F104" i="1"/>
  <c r="J104" i="1"/>
  <c r="M104" i="1"/>
  <c r="O104" i="1"/>
  <c r="P104" i="1"/>
  <c r="Q104" i="1"/>
  <c r="R104" i="1"/>
  <c r="B105" i="1"/>
  <c r="C105" i="1"/>
  <c r="F105" i="1"/>
  <c r="J105" i="1"/>
  <c r="M105" i="1"/>
  <c r="O105" i="1"/>
  <c r="P105" i="1"/>
  <c r="Q105" i="1"/>
  <c r="R105" i="1"/>
  <c r="B106" i="1"/>
  <c r="C106" i="1"/>
  <c r="F106" i="1"/>
  <c r="J106" i="1"/>
  <c r="M106" i="1"/>
  <c r="O106" i="1"/>
  <c r="P106" i="1"/>
  <c r="Q106" i="1"/>
  <c r="R106" i="1"/>
  <c r="B107" i="1"/>
  <c r="C107" i="1"/>
  <c r="F107" i="1"/>
  <c r="J107" i="1"/>
  <c r="M107" i="1"/>
  <c r="O107" i="1"/>
  <c r="P107" i="1"/>
  <c r="Q107" i="1"/>
  <c r="R107" i="1"/>
  <c r="B108" i="1"/>
  <c r="C108" i="1"/>
  <c r="F108" i="1"/>
  <c r="J108" i="1"/>
  <c r="M108" i="1"/>
  <c r="O108" i="1"/>
  <c r="P108" i="1"/>
  <c r="Q108" i="1"/>
  <c r="R108" i="1"/>
  <c r="B109" i="1"/>
  <c r="C109" i="1"/>
  <c r="F109" i="1"/>
  <c r="J109" i="1"/>
  <c r="M109" i="1"/>
  <c r="O109" i="1"/>
  <c r="P109" i="1"/>
  <c r="Q109" i="1"/>
  <c r="R109" i="1"/>
  <c r="B110" i="1"/>
  <c r="C110" i="1"/>
  <c r="F110" i="1"/>
  <c r="J110" i="1"/>
  <c r="M110" i="1"/>
  <c r="O110" i="1"/>
  <c r="P110" i="1"/>
  <c r="Q110" i="1"/>
  <c r="R110" i="1"/>
  <c r="B111" i="1"/>
  <c r="C111" i="1"/>
  <c r="F111" i="1"/>
  <c r="J111" i="1"/>
  <c r="M111" i="1"/>
  <c r="O111" i="1"/>
  <c r="P111" i="1"/>
  <c r="Q111" i="1"/>
  <c r="R111" i="1"/>
  <c r="B112" i="1"/>
  <c r="C112" i="1"/>
  <c r="F112" i="1"/>
  <c r="J112" i="1"/>
  <c r="M112" i="1"/>
  <c r="O112" i="1"/>
  <c r="P112" i="1"/>
  <c r="Q112" i="1"/>
  <c r="R112" i="1"/>
  <c r="B113" i="1"/>
  <c r="C113" i="1"/>
  <c r="F113" i="1"/>
  <c r="J113" i="1"/>
  <c r="M113" i="1"/>
  <c r="O113" i="1"/>
  <c r="P113" i="1"/>
  <c r="Q113" i="1"/>
  <c r="R113" i="1"/>
  <c r="B114" i="1"/>
  <c r="C114" i="1"/>
  <c r="F114" i="1"/>
  <c r="J114" i="1"/>
  <c r="M114" i="1"/>
  <c r="O114" i="1"/>
  <c r="P114" i="1"/>
  <c r="Q114" i="1"/>
  <c r="R114" i="1"/>
  <c r="B115" i="1"/>
  <c r="C115" i="1"/>
  <c r="F115" i="1"/>
  <c r="J115" i="1"/>
  <c r="M115" i="1"/>
  <c r="O115" i="1"/>
  <c r="P115" i="1"/>
  <c r="Q115" i="1"/>
  <c r="R115" i="1"/>
  <c r="B116" i="1"/>
  <c r="C116" i="1"/>
  <c r="F116" i="1"/>
  <c r="J116" i="1"/>
  <c r="M116" i="1"/>
  <c r="O116" i="1"/>
  <c r="P116" i="1"/>
  <c r="Q116" i="1"/>
  <c r="R116" i="1"/>
  <c r="B117" i="1"/>
  <c r="C117" i="1"/>
  <c r="F117" i="1"/>
  <c r="J117" i="1"/>
  <c r="M117" i="1"/>
  <c r="O117" i="1"/>
  <c r="P117" i="1"/>
  <c r="Q117" i="1"/>
  <c r="R117" i="1"/>
  <c r="B118" i="1"/>
  <c r="C118" i="1"/>
  <c r="F118" i="1"/>
  <c r="J118" i="1"/>
  <c r="M118" i="1"/>
  <c r="O118" i="1"/>
  <c r="P118" i="1"/>
  <c r="Q118" i="1"/>
  <c r="R118" i="1"/>
  <c r="B119" i="1"/>
  <c r="C119" i="1"/>
  <c r="F119" i="1"/>
  <c r="J119" i="1"/>
  <c r="M119" i="1"/>
  <c r="O119" i="1"/>
  <c r="P119" i="1"/>
  <c r="Q119" i="1"/>
  <c r="R119" i="1"/>
  <c r="B120" i="1"/>
  <c r="C120" i="1"/>
  <c r="F120" i="1"/>
  <c r="J120" i="1"/>
  <c r="M120" i="1"/>
  <c r="O120" i="1"/>
  <c r="P120" i="1"/>
  <c r="Q120" i="1"/>
  <c r="R120" i="1"/>
  <c r="B121" i="1"/>
  <c r="C121" i="1"/>
  <c r="F121" i="1"/>
  <c r="J121" i="1"/>
  <c r="M121" i="1"/>
  <c r="O121" i="1"/>
  <c r="P121" i="1"/>
  <c r="Q121" i="1"/>
  <c r="R121" i="1"/>
  <c r="B122" i="1"/>
  <c r="C122" i="1"/>
  <c r="F122" i="1"/>
  <c r="J122" i="1"/>
  <c r="M122" i="1"/>
  <c r="O122" i="1"/>
  <c r="P122" i="1"/>
  <c r="Q122" i="1"/>
  <c r="R122" i="1"/>
  <c r="B123" i="1"/>
  <c r="C123" i="1"/>
  <c r="F123" i="1"/>
  <c r="J123" i="1"/>
  <c r="M123" i="1"/>
  <c r="O123" i="1"/>
  <c r="P123" i="1"/>
  <c r="Q123" i="1"/>
  <c r="R123" i="1"/>
  <c r="B124" i="1"/>
  <c r="C124" i="1"/>
  <c r="F124" i="1"/>
  <c r="J124" i="1"/>
  <c r="M124" i="1"/>
  <c r="O124" i="1"/>
  <c r="P124" i="1"/>
  <c r="Q124" i="1"/>
  <c r="R124" i="1"/>
  <c r="B125" i="1"/>
  <c r="C125" i="1"/>
  <c r="F125" i="1"/>
  <c r="J125" i="1"/>
  <c r="M125" i="1"/>
  <c r="O125" i="1"/>
  <c r="P125" i="1"/>
  <c r="Q125" i="1"/>
  <c r="R125" i="1"/>
  <c r="B126" i="1"/>
  <c r="C126" i="1"/>
  <c r="F126" i="1"/>
  <c r="J126" i="1"/>
  <c r="M126" i="1"/>
  <c r="O126" i="1"/>
  <c r="P126" i="1"/>
  <c r="Q126" i="1"/>
  <c r="R126" i="1"/>
  <c r="B127" i="1"/>
  <c r="C127" i="1"/>
  <c r="F127" i="1"/>
  <c r="J127" i="1"/>
  <c r="M127" i="1"/>
  <c r="O127" i="1"/>
  <c r="P127" i="1"/>
  <c r="Q127" i="1"/>
  <c r="R127" i="1"/>
  <c r="B128" i="1"/>
  <c r="C128" i="1"/>
  <c r="F128" i="1"/>
  <c r="J128" i="1"/>
  <c r="M128" i="1"/>
  <c r="O128" i="1"/>
  <c r="P128" i="1"/>
  <c r="Q128" i="1"/>
  <c r="R128" i="1"/>
  <c r="B129" i="1"/>
  <c r="C129" i="1"/>
  <c r="F129" i="1"/>
  <c r="J129" i="1"/>
  <c r="M129" i="1"/>
  <c r="O129" i="1"/>
  <c r="P129" i="1"/>
  <c r="Q129" i="1"/>
  <c r="R129" i="1"/>
  <c r="B130" i="1"/>
  <c r="C130" i="1"/>
  <c r="F130" i="1"/>
  <c r="J130" i="1"/>
  <c r="M130" i="1"/>
  <c r="O130" i="1"/>
  <c r="P130" i="1"/>
  <c r="Q130" i="1"/>
  <c r="R130" i="1"/>
  <c r="B131" i="1"/>
  <c r="C131" i="1"/>
  <c r="F131" i="1"/>
  <c r="J131" i="1"/>
  <c r="M131" i="1"/>
  <c r="O131" i="1"/>
  <c r="P131" i="1"/>
  <c r="Q131" i="1"/>
  <c r="R131" i="1"/>
  <c r="B132" i="1"/>
  <c r="C132" i="1"/>
  <c r="F132" i="1"/>
  <c r="J132" i="1"/>
  <c r="M132" i="1"/>
  <c r="O132" i="1"/>
  <c r="P132" i="1"/>
  <c r="Q132" i="1"/>
  <c r="R132" i="1"/>
  <c r="B133" i="1"/>
  <c r="C133" i="1"/>
  <c r="F133" i="1"/>
  <c r="J133" i="1"/>
  <c r="M133" i="1"/>
  <c r="O133" i="1"/>
  <c r="P133" i="1"/>
  <c r="Q133" i="1"/>
  <c r="R133" i="1"/>
  <c r="B134" i="1"/>
  <c r="C134" i="1"/>
  <c r="F134" i="1"/>
  <c r="J134" i="1"/>
  <c r="M134" i="1"/>
  <c r="O134" i="1"/>
  <c r="P134" i="1"/>
  <c r="Q134" i="1"/>
  <c r="R134" i="1"/>
  <c r="B135" i="1"/>
  <c r="C135" i="1"/>
  <c r="F135" i="1"/>
  <c r="J135" i="1"/>
  <c r="M135" i="1"/>
  <c r="O135" i="1"/>
  <c r="P135" i="1"/>
  <c r="Q135" i="1"/>
  <c r="R135" i="1"/>
  <c r="B136" i="1"/>
  <c r="C136" i="1"/>
  <c r="F136" i="1"/>
  <c r="J136" i="1"/>
  <c r="M136" i="1"/>
  <c r="O136" i="1"/>
  <c r="P136" i="1"/>
  <c r="Q136" i="1"/>
  <c r="R136" i="1"/>
  <c r="B137" i="1"/>
  <c r="C137" i="1"/>
  <c r="F137" i="1"/>
  <c r="J137" i="1"/>
  <c r="M137" i="1"/>
  <c r="O137" i="1"/>
  <c r="P137" i="1"/>
  <c r="Q137" i="1"/>
  <c r="R137" i="1"/>
  <c r="B138" i="1"/>
  <c r="C138" i="1"/>
  <c r="F138" i="1"/>
  <c r="J138" i="1"/>
  <c r="M138" i="1"/>
  <c r="O138" i="1"/>
  <c r="P138" i="1"/>
  <c r="Q138" i="1"/>
  <c r="R138" i="1"/>
  <c r="B139" i="1"/>
  <c r="C139" i="1"/>
  <c r="F139" i="1"/>
  <c r="J139" i="1"/>
  <c r="M139" i="1"/>
  <c r="O139" i="1"/>
  <c r="P139" i="1"/>
  <c r="Q139" i="1"/>
  <c r="R139" i="1"/>
  <c r="B140" i="1"/>
  <c r="C140" i="1"/>
  <c r="F140" i="1"/>
  <c r="J140" i="1"/>
  <c r="M140" i="1"/>
  <c r="O140" i="1"/>
  <c r="P140" i="1"/>
  <c r="Q140" i="1"/>
  <c r="R140" i="1"/>
  <c r="B141" i="1"/>
  <c r="C141" i="1"/>
  <c r="F141" i="1"/>
  <c r="J141" i="1"/>
  <c r="M141" i="1"/>
  <c r="O141" i="1"/>
  <c r="P141" i="1"/>
  <c r="Q141" i="1"/>
  <c r="R141" i="1"/>
  <c r="B142" i="1"/>
  <c r="C142" i="1"/>
  <c r="F142" i="1"/>
  <c r="J142" i="1"/>
  <c r="M142" i="1"/>
  <c r="O142" i="1"/>
  <c r="P142" i="1"/>
  <c r="Q142" i="1"/>
  <c r="R142" i="1"/>
  <c r="B143" i="1"/>
  <c r="C143" i="1"/>
  <c r="F143" i="1"/>
  <c r="J143" i="1"/>
  <c r="M143" i="1"/>
  <c r="O143" i="1"/>
  <c r="P143" i="1"/>
  <c r="Q143" i="1"/>
  <c r="R143" i="1"/>
  <c r="B144" i="1"/>
  <c r="C144" i="1"/>
  <c r="F144" i="1"/>
  <c r="J144" i="1"/>
  <c r="M144" i="1"/>
  <c r="O144" i="1"/>
  <c r="P144" i="1"/>
  <c r="Q144" i="1"/>
  <c r="R144" i="1"/>
  <c r="B145" i="1"/>
  <c r="C145" i="1"/>
  <c r="F145" i="1"/>
  <c r="J145" i="1"/>
  <c r="M145" i="1"/>
  <c r="O145" i="1"/>
  <c r="P145" i="1"/>
  <c r="Q145" i="1"/>
  <c r="R145" i="1"/>
  <c r="B146" i="1"/>
  <c r="C146" i="1"/>
  <c r="F146" i="1"/>
  <c r="J146" i="1"/>
  <c r="M146" i="1"/>
  <c r="O146" i="1"/>
  <c r="P146" i="1"/>
  <c r="Q146" i="1"/>
  <c r="R146" i="1"/>
  <c r="B147" i="1"/>
  <c r="C147" i="1"/>
  <c r="F147" i="1"/>
  <c r="J147" i="1"/>
  <c r="M147" i="1"/>
  <c r="O147" i="1"/>
  <c r="P147" i="1"/>
  <c r="Q147" i="1"/>
  <c r="R147" i="1"/>
  <c r="B148" i="1"/>
  <c r="C148" i="1"/>
  <c r="F148" i="1"/>
  <c r="J148" i="1"/>
  <c r="M148" i="1"/>
  <c r="O148" i="1"/>
  <c r="P148" i="1"/>
  <c r="Q148" i="1"/>
  <c r="R148" i="1"/>
  <c r="B149" i="1"/>
  <c r="C149" i="1"/>
  <c r="F149" i="1"/>
  <c r="J149" i="1"/>
  <c r="M149" i="1"/>
  <c r="O149" i="1"/>
  <c r="P149" i="1"/>
  <c r="Q149" i="1"/>
  <c r="R149" i="1"/>
  <c r="B150" i="1"/>
  <c r="C150" i="1"/>
  <c r="F150" i="1"/>
  <c r="J150" i="1"/>
  <c r="M150" i="1"/>
  <c r="O150" i="1"/>
  <c r="P150" i="1"/>
  <c r="Q150" i="1"/>
  <c r="R150" i="1"/>
  <c r="B151" i="1"/>
  <c r="C151" i="1"/>
  <c r="F151" i="1"/>
  <c r="J151" i="1"/>
  <c r="M151" i="1"/>
  <c r="O151" i="1"/>
  <c r="P151" i="1"/>
  <c r="Q151" i="1"/>
  <c r="R151" i="1"/>
  <c r="B152" i="1"/>
  <c r="C152" i="1"/>
  <c r="F152" i="1"/>
  <c r="J152" i="1"/>
  <c r="M152" i="1"/>
  <c r="O152" i="1"/>
  <c r="P152" i="1"/>
  <c r="Q152" i="1"/>
  <c r="R152" i="1"/>
  <c r="B153" i="1"/>
  <c r="C153" i="1"/>
  <c r="F153" i="1"/>
  <c r="J153" i="1"/>
  <c r="M153" i="1"/>
  <c r="O153" i="1"/>
  <c r="P153" i="1"/>
  <c r="Q153" i="1"/>
  <c r="R153" i="1"/>
  <c r="B154" i="1"/>
  <c r="C154" i="1"/>
  <c r="F154" i="1"/>
  <c r="J154" i="1"/>
  <c r="M154" i="1"/>
  <c r="O154" i="1"/>
  <c r="P154" i="1"/>
  <c r="Q154" i="1"/>
  <c r="R154" i="1"/>
  <c r="B155" i="1"/>
  <c r="C155" i="1"/>
  <c r="F155" i="1"/>
  <c r="J155" i="1"/>
  <c r="M155" i="1"/>
  <c r="O155" i="1"/>
  <c r="P155" i="1"/>
  <c r="Q155" i="1"/>
  <c r="R155" i="1"/>
  <c r="B156" i="1"/>
  <c r="C156" i="1"/>
  <c r="F156" i="1"/>
  <c r="J156" i="1"/>
  <c r="M156" i="1"/>
  <c r="O156" i="1"/>
  <c r="P156" i="1"/>
  <c r="Q156" i="1"/>
  <c r="R156" i="1"/>
  <c r="B157" i="1"/>
  <c r="C157" i="1"/>
  <c r="F157" i="1"/>
  <c r="J157" i="1"/>
  <c r="M157" i="1"/>
  <c r="O157" i="1"/>
  <c r="P157" i="1"/>
  <c r="Q157" i="1"/>
  <c r="R157" i="1"/>
  <c r="B158" i="1"/>
  <c r="C158" i="1"/>
  <c r="F158" i="1"/>
  <c r="J158" i="1"/>
  <c r="M158" i="1"/>
  <c r="O158" i="1"/>
  <c r="P158" i="1"/>
  <c r="Q158" i="1"/>
  <c r="R158" i="1"/>
  <c r="B159" i="1"/>
  <c r="C159" i="1"/>
  <c r="F159" i="1"/>
  <c r="J159" i="1"/>
  <c r="M159" i="1"/>
  <c r="O159" i="1"/>
  <c r="P159" i="1"/>
  <c r="Q159" i="1"/>
  <c r="R159" i="1"/>
  <c r="B160" i="1"/>
  <c r="C160" i="1"/>
  <c r="F160" i="1"/>
  <c r="J160" i="1"/>
  <c r="M160" i="1"/>
  <c r="O160" i="1"/>
  <c r="P160" i="1"/>
  <c r="Q160" i="1"/>
  <c r="R160" i="1"/>
  <c r="B161" i="1"/>
  <c r="C161" i="1"/>
  <c r="F161" i="1"/>
  <c r="J161" i="1"/>
  <c r="M161" i="1"/>
  <c r="O161" i="1"/>
  <c r="P161" i="1"/>
  <c r="Q161" i="1"/>
  <c r="R161" i="1"/>
  <c r="B162" i="1"/>
  <c r="C162" i="1"/>
  <c r="F162" i="1"/>
  <c r="J162" i="1"/>
  <c r="M162" i="1"/>
  <c r="O162" i="1"/>
  <c r="P162" i="1"/>
  <c r="Q162" i="1"/>
  <c r="R162" i="1"/>
  <c r="B163" i="1"/>
  <c r="C163" i="1"/>
  <c r="F163" i="1"/>
  <c r="J163" i="1"/>
  <c r="M163" i="1"/>
  <c r="O163" i="1"/>
  <c r="P163" i="1"/>
  <c r="Q163" i="1"/>
  <c r="R163" i="1"/>
  <c r="B164" i="1"/>
  <c r="C164" i="1"/>
  <c r="F164" i="1"/>
  <c r="J164" i="1"/>
  <c r="M164" i="1"/>
  <c r="O164" i="1"/>
  <c r="P164" i="1"/>
  <c r="Q164" i="1"/>
  <c r="R164" i="1"/>
  <c r="B165" i="1"/>
  <c r="C165" i="1"/>
  <c r="F165" i="1"/>
  <c r="J165" i="1"/>
  <c r="M165" i="1"/>
  <c r="O165" i="1"/>
  <c r="P165" i="1"/>
  <c r="Q165" i="1"/>
  <c r="R165" i="1"/>
  <c r="B166" i="1"/>
  <c r="C166" i="1"/>
  <c r="F166" i="1"/>
  <c r="J166" i="1"/>
  <c r="M166" i="1"/>
  <c r="O166" i="1"/>
  <c r="P166" i="1"/>
  <c r="Q166" i="1"/>
  <c r="R166" i="1"/>
  <c r="B167" i="1"/>
  <c r="C167" i="1"/>
  <c r="F167" i="1"/>
  <c r="J167" i="1"/>
  <c r="M167" i="1"/>
  <c r="O167" i="1"/>
  <c r="P167" i="1"/>
  <c r="Q167" i="1"/>
  <c r="R167" i="1"/>
  <c r="B168" i="1"/>
  <c r="C168" i="1"/>
  <c r="F168" i="1"/>
  <c r="J168" i="1"/>
  <c r="M168" i="1"/>
  <c r="O168" i="1"/>
  <c r="P168" i="1"/>
  <c r="Q168" i="1"/>
  <c r="R168" i="1"/>
  <c r="B169" i="1"/>
  <c r="C169" i="1"/>
  <c r="F169" i="1"/>
  <c r="J169" i="1"/>
  <c r="M169" i="1"/>
  <c r="O169" i="1"/>
  <c r="P169" i="1"/>
  <c r="Q169" i="1"/>
  <c r="R169" i="1"/>
  <c r="B170" i="1"/>
  <c r="C170" i="1"/>
  <c r="F170" i="1"/>
  <c r="J170" i="1"/>
  <c r="M170" i="1"/>
  <c r="O170" i="1"/>
  <c r="P170" i="1"/>
  <c r="Q170" i="1"/>
  <c r="R170" i="1"/>
  <c r="B171" i="1"/>
  <c r="C171" i="1"/>
  <c r="F171" i="1"/>
  <c r="J171" i="1"/>
  <c r="M171" i="1"/>
  <c r="O171" i="1"/>
  <c r="P171" i="1"/>
  <c r="Q171" i="1"/>
  <c r="R171" i="1"/>
  <c r="B172" i="1"/>
  <c r="C172" i="1"/>
  <c r="F172" i="1"/>
  <c r="J172" i="1"/>
  <c r="M172" i="1"/>
  <c r="O172" i="1"/>
  <c r="P172" i="1"/>
  <c r="Q172" i="1"/>
  <c r="R172" i="1"/>
  <c r="B173" i="1"/>
  <c r="C173" i="1"/>
  <c r="F173" i="1"/>
  <c r="J173" i="1"/>
  <c r="M173" i="1"/>
  <c r="O173" i="1"/>
  <c r="P173" i="1"/>
  <c r="Q173" i="1"/>
  <c r="R173" i="1"/>
  <c r="B174" i="1"/>
  <c r="C174" i="1"/>
  <c r="F174" i="1"/>
  <c r="J174" i="1"/>
  <c r="M174" i="1"/>
  <c r="O174" i="1"/>
  <c r="P174" i="1"/>
  <c r="Q174" i="1"/>
  <c r="R174" i="1"/>
  <c r="B175" i="1"/>
  <c r="C175" i="1"/>
  <c r="F175" i="1"/>
  <c r="J175" i="1"/>
  <c r="M175" i="1"/>
  <c r="O175" i="1"/>
  <c r="P175" i="1"/>
  <c r="Q175" i="1"/>
  <c r="R175" i="1"/>
  <c r="B176" i="1"/>
  <c r="C176" i="1"/>
  <c r="F176" i="1"/>
  <c r="J176" i="1"/>
  <c r="M176" i="1"/>
  <c r="O176" i="1"/>
  <c r="P176" i="1"/>
  <c r="Q176" i="1"/>
  <c r="R176" i="1"/>
  <c r="B177" i="1"/>
  <c r="C177" i="1"/>
  <c r="F177" i="1"/>
  <c r="J177" i="1"/>
  <c r="M177" i="1"/>
  <c r="O177" i="1"/>
  <c r="P177" i="1"/>
  <c r="Q177" i="1"/>
  <c r="R177" i="1"/>
  <c r="B178" i="1"/>
  <c r="C178" i="1"/>
  <c r="F178" i="1"/>
  <c r="J178" i="1"/>
  <c r="M178" i="1"/>
  <c r="O178" i="1"/>
  <c r="P178" i="1"/>
  <c r="Q178" i="1"/>
  <c r="R178" i="1"/>
  <c r="B179" i="1"/>
  <c r="C179" i="1"/>
  <c r="F179" i="1"/>
  <c r="J179" i="1"/>
  <c r="M179" i="1"/>
  <c r="O179" i="1"/>
  <c r="P179" i="1"/>
  <c r="Q179" i="1"/>
  <c r="R179" i="1"/>
  <c r="B180" i="1"/>
  <c r="C180" i="1"/>
  <c r="F180" i="1"/>
  <c r="J180" i="1"/>
  <c r="M180" i="1"/>
  <c r="O180" i="1"/>
  <c r="P180" i="1"/>
  <c r="Q180" i="1"/>
  <c r="R180" i="1"/>
  <c r="B181" i="1"/>
  <c r="C181" i="1"/>
  <c r="F181" i="1"/>
  <c r="J181" i="1"/>
  <c r="M181" i="1"/>
  <c r="O181" i="1"/>
  <c r="P181" i="1"/>
  <c r="Q181" i="1"/>
  <c r="R181" i="1"/>
  <c r="B182" i="1"/>
  <c r="C182" i="1"/>
  <c r="F182" i="1"/>
  <c r="J182" i="1"/>
  <c r="M182" i="1"/>
  <c r="O182" i="1"/>
  <c r="P182" i="1"/>
  <c r="Q182" i="1"/>
  <c r="R182" i="1"/>
  <c r="B183" i="1"/>
  <c r="C183" i="1"/>
  <c r="F183" i="1"/>
  <c r="J183" i="1"/>
  <c r="M183" i="1"/>
  <c r="O183" i="1"/>
  <c r="P183" i="1"/>
  <c r="Q183" i="1"/>
  <c r="R183" i="1"/>
  <c r="B184" i="1"/>
  <c r="C184" i="1"/>
  <c r="F184" i="1"/>
  <c r="J184" i="1"/>
  <c r="M184" i="1"/>
  <c r="O184" i="1"/>
  <c r="P184" i="1"/>
  <c r="Q184" i="1"/>
  <c r="R184" i="1"/>
  <c r="B185" i="1"/>
  <c r="C185" i="1"/>
  <c r="F185" i="1"/>
  <c r="J185" i="1"/>
  <c r="M185" i="1"/>
  <c r="O185" i="1"/>
  <c r="P185" i="1"/>
  <c r="Q185" i="1"/>
  <c r="R185" i="1"/>
  <c r="B186" i="1"/>
  <c r="C186" i="1"/>
  <c r="F186" i="1"/>
  <c r="J186" i="1"/>
  <c r="M186" i="1"/>
  <c r="O186" i="1"/>
  <c r="P186" i="1"/>
  <c r="Q186" i="1"/>
  <c r="R186" i="1"/>
  <c r="B187" i="1"/>
  <c r="C187" i="1"/>
  <c r="F187" i="1"/>
  <c r="J187" i="1"/>
  <c r="M187" i="1"/>
  <c r="O187" i="1"/>
  <c r="P187" i="1"/>
  <c r="Q187" i="1"/>
  <c r="R187" i="1"/>
  <c r="B188" i="1"/>
  <c r="C188" i="1"/>
  <c r="F188" i="1"/>
  <c r="J188" i="1"/>
  <c r="M188" i="1"/>
  <c r="O188" i="1"/>
  <c r="P188" i="1"/>
  <c r="Q188" i="1"/>
  <c r="R188" i="1"/>
  <c r="B189" i="1"/>
  <c r="C189" i="1"/>
  <c r="F189" i="1"/>
  <c r="J189" i="1"/>
  <c r="M189" i="1"/>
  <c r="O189" i="1"/>
  <c r="P189" i="1"/>
  <c r="Q189" i="1"/>
  <c r="R189" i="1"/>
  <c r="B190" i="1"/>
  <c r="C190" i="1"/>
  <c r="F190" i="1"/>
  <c r="J190" i="1"/>
  <c r="M190" i="1"/>
  <c r="O190" i="1"/>
  <c r="P190" i="1"/>
  <c r="Q190" i="1"/>
  <c r="R190" i="1"/>
  <c r="B191" i="1"/>
  <c r="C191" i="1"/>
  <c r="F191" i="1"/>
  <c r="J191" i="1"/>
  <c r="M191" i="1"/>
  <c r="O191" i="1"/>
  <c r="P191" i="1"/>
  <c r="Q191" i="1"/>
  <c r="R191" i="1"/>
  <c r="B192" i="1"/>
  <c r="C192" i="1"/>
  <c r="F192" i="1"/>
  <c r="J192" i="1"/>
  <c r="M192" i="1"/>
  <c r="O192" i="1"/>
  <c r="P192" i="1"/>
  <c r="Q192" i="1"/>
  <c r="R192" i="1"/>
  <c r="B193" i="1"/>
  <c r="C193" i="1"/>
  <c r="F193" i="1"/>
  <c r="J193" i="1"/>
  <c r="M193" i="1"/>
  <c r="O193" i="1"/>
  <c r="P193" i="1"/>
  <c r="Q193" i="1"/>
  <c r="R193" i="1"/>
  <c r="B194" i="1"/>
  <c r="C194" i="1"/>
  <c r="F194" i="1"/>
  <c r="J194" i="1"/>
  <c r="M194" i="1"/>
  <c r="O194" i="1"/>
  <c r="P194" i="1"/>
  <c r="Q194" i="1"/>
  <c r="R194" i="1"/>
  <c r="B195" i="1"/>
  <c r="C195" i="1"/>
  <c r="F195" i="1"/>
  <c r="J195" i="1"/>
  <c r="M195" i="1"/>
  <c r="O195" i="1"/>
  <c r="P195" i="1"/>
  <c r="Q195" i="1"/>
  <c r="R195" i="1"/>
  <c r="B196" i="1"/>
  <c r="C196" i="1"/>
  <c r="F196" i="1"/>
  <c r="J196" i="1"/>
  <c r="M196" i="1"/>
  <c r="O196" i="1"/>
  <c r="P196" i="1"/>
  <c r="Q196" i="1"/>
  <c r="R196" i="1"/>
  <c r="B197" i="1"/>
  <c r="C197" i="1"/>
  <c r="F197" i="1"/>
  <c r="J197" i="1"/>
  <c r="M197" i="1"/>
  <c r="O197" i="1"/>
  <c r="P197" i="1"/>
  <c r="Q197" i="1"/>
  <c r="R197" i="1"/>
  <c r="B198" i="1"/>
  <c r="C198" i="1"/>
  <c r="F198" i="1"/>
  <c r="J198" i="1"/>
  <c r="M198" i="1"/>
  <c r="O198" i="1"/>
  <c r="P198" i="1"/>
  <c r="Q198" i="1"/>
  <c r="R198" i="1"/>
  <c r="B199" i="1"/>
  <c r="C199" i="1"/>
  <c r="F199" i="1"/>
  <c r="J199" i="1"/>
  <c r="M199" i="1"/>
  <c r="O199" i="1"/>
  <c r="P199" i="1"/>
  <c r="Q199" i="1"/>
  <c r="R199" i="1"/>
  <c r="B200" i="1"/>
  <c r="C200" i="1"/>
  <c r="F200" i="1"/>
  <c r="J200" i="1"/>
  <c r="M200" i="1"/>
  <c r="O200" i="1"/>
  <c r="P200" i="1"/>
  <c r="Q200" i="1"/>
  <c r="R200" i="1"/>
  <c r="B201" i="1"/>
  <c r="C201" i="1"/>
  <c r="F201" i="1"/>
  <c r="J201" i="1"/>
  <c r="M201" i="1"/>
  <c r="O201" i="1"/>
  <c r="P201" i="1"/>
  <c r="Q201" i="1"/>
  <c r="R201" i="1"/>
  <c r="B202" i="1"/>
  <c r="C202" i="1"/>
  <c r="F202" i="1"/>
  <c r="J202" i="1"/>
  <c r="M202" i="1"/>
  <c r="O202" i="1"/>
  <c r="P202" i="1"/>
  <c r="Q202" i="1"/>
  <c r="R202" i="1"/>
  <c r="B203" i="1"/>
  <c r="C203" i="1"/>
  <c r="F203" i="1"/>
  <c r="J203" i="1"/>
  <c r="M203" i="1"/>
  <c r="O203" i="1"/>
  <c r="P203" i="1"/>
  <c r="Q203" i="1"/>
  <c r="R203" i="1"/>
  <c r="B204" i="1"/>
  <c r="C204" i="1"/>
  <c r="F204" i="1"/>
  <c r="J204" i="1"/>
  <c r="M204" i="1"/>
  <c r="O204" i="1"/>
  <c r="P204" i="1"/>
  <c r="Q204" i="1"/>
  <c r="R204" i="1"/>
  <c r="B205" i="1"/>
  <c r="C205" i="1"/>
  <c r="F205" i="1"/>
  <c r="J205" i="1"/>
  <c r="M205" i="1"/>
  <c r="O205" i="1"/>
  <c r="P205" i="1"/>
  <c r="Q205" i="1"/>
  <c r="R205" i="1"/>
  <c r="B206" i="1"/>
  <c r="C206" i="1"/>
  <c r="F206" i="1"/>
  <c r="J206" i="1"/>
  <c r="M206" i="1"/>
  <c r="O206" i="1"/>
  <c r="P206" i="1"/>
  <c r="Q206" i="1"/>
  <c r="R206" i="1"/>
  <c r="B207" i="1"/>
  <c r="C207" i="1"/>
  <c r="F207" i="1"/>
  <c r="J207" i="1"/>
  <c r="M207" i="1"/>
  <c r="O207" i="1"/>
  <c r="P207" i="1"/>
  <c r="Q207" i="1"/>
  <c r="R207" i="1"/>
  <c r="B208" i="1"/>
  <c r="C208" i="1"/>
  <c r="F208" i="1"/>
  <c r="J208" i="1"/>
  <c r="M208" i="1"/>
  <c r="O208" i="1"/>
  <c r="P208" i="1"/>
  <c r="Q208" i="1"/>
  <c r="R208" i="1"/>
  <c r="B209" i="1"/>
  <c r="C209" i="1"/>
  <c r="F209" i="1"/>
  <c r="J209" i="1"/>
  <c r="M209" i="1"/>
  <c r="O209" i="1"/>
  <c r="P209" i="1"/>
  <c r="Q209" i="1"/>
  <c r="R209" i="1"/>
  <c r="B210" i="1"/>
  <c r="C210" i="1"/>
  <c r="F210" i="1"/>
  <c r="J210" i="1"/>
  <c r="M210" i="1"/>
  <c r="O210" i="1"/>
  <c r="P210" i="1"/>
  <c r="Q210" i="1"/>
  <c r="R210" i="1"/>
  <c r="B211" i="1"/>
  <c r="C211" i="1"/>
  <c r="F211" i="1"/>
  <c r="J211" i="1"/>
  <c r="M211" i="1"/>
  <c r="O211" i="1"/>
  <c r="P211" i="1"/>
  <c r="Q211" i="1"/>
  <c r="R211" i="1"/>
  <c r="B212" i="1"/>
  <c r="C212" i="1"/>
  <c r="F212" i="1"/>
  <c r="J212" i="1"/>
  <c r="M212" i="1"/>
  <c r="O212" i="1"/>
  <c r="P212" i="1"/>
  <c r="Q212" i="1"/>
  <c r="R212" i="1"/>
  <c r="B213" i="1"/>
  <c r="C213" i="1"/>
  <c r="F213" i="1"/>
  <c r="J213" i="1"/>
  <c r="M213" i="1"/>
  <c r="O213" i="1"/>
  <c r="P213" i="1"/>
  <c r="Q213" i="1"/>
  <c r="R213" i="1"/>
  <c r="B214" i="1"/>
  <c r="C214" i="1"/>
  <c r="F214" i="1"/>
  <c r="J214" i="1"/>
  <c r="M214" i="1"/>
  <c r="O214" i="1"/>
  <c r="P214" i="1"/>
  <c r="Q214" i="1"/>
  <c r="R214" i="1"/>
  <c r="B215" i="1"/>
  <c r="C215" i="1"/>
  <c r="F215" i="1"/>
  <c r="J215" i="1"/>
  <c r="M215" i="1"/>
  <c r="O215" i="1"/>
  <c r="P215" i="1"/>
  <c r="Q215" i="1"/>
  <c r="R215" i="1"/>
  <c r="B216" i="1"/>
  <c r="C216" i="1"/>
  <c r="F216" i="1"/>
  <c r="J216" i="1"/>
  <c r="M216" i="1"/>
  <c r="O216" i="1"/>
  <c r="P216" i="1"/>
  <c r="Q216" i="1"/>
  <c r="R216" i="1"/>
  <c r="B217" i="1"/>
  <c r="C217" i="1"/>
  <c r="F217" i="1"/>
  <c r="J217" i="1"/>
  <c r="M217" i="1"/>
  <c r="O217" i="1"/>
  <c r="P217" i="1"/>
  <c r="Q217" i="1"/>
  <c r="R217" i="1"/>
  <c r="B218" i="1"/>
  <c r="C218" i="1"/>
  <c r="F218" i="1"/>
  <c r="J218" i="1"/>
  <c r="M218" i="1"/>
  <c r="O218" i="1"/>
  <c r="P218" i="1"/>
  <c r="Q218" i="1"/>
  <c r="R218" i="1"/>
  <c r="B219" i="1"/>
  <c r="C219" i="1"/>
  <c r="F219" i="1"/>
  <c r="J219" i="1"/>
  <c r="M219" i="1"/>
  <c r="O219" i="1"/>
  <c r="P219" i="1"/>
  <c r="Q219" i="1"/>
  <c r="R219" i="1"/>
  <c r="B220" i="1"/>
  <c r="C220" i="1"/>
  <c r="F220" i="1"/>
  <c r="J220" i="1"/>
  <c r="M220" i="1"/>
  <c r="O220" i="1"/>
  <c r="P220" i="1"/>
  <c r="Q220" i="1"/>
  <c r="R220" i="1"/>
  <c r="B221" i="1"/>
  <c r="C221" i="1"/>
  <c r="F221" i="1"/>
  <c r="J221" i="1"/>
  <c r="M221" i="1"/>
  <c r="O221" i="1"/>
  <c r="P221" i="1"/>
  <c r="Q221" i="1"/>
  <c r="R221" i="1"/>
  <c r="B222" i="1"/>
  <c r="C222" i="1"/>
  <c r="F222" i="1"/>
  <c r="J222" i="1"/>
  <c r="M222" i="1"/>
  <c r="O222" i="1"/>
  <c r="P222" i="1"/>
  <c r="Q222" i="1"/>
  <c r="R222" i="1"/>
  <c r="B223" i="1"/>
  <c r="C223" i="1"/>
  <c r="F223" i="1"/>
  <c r="J223" i="1"/>
  <c r="M223" i="1"/>
  <c r="O223" i="1"/>
  <c r="P223" i="1"/>
  <c r="Q223" i="1"/>
  <c r="R223" i="1"/>
  <c r="B224" i="1"/>
  <c r="C224" i="1"/>
  <c r="F224" i="1"/>
  <c r="J224" i="1"/>
  <c r="M224" i="1"/>
  <c r="O224" i="1"/>
  <c r="P224" i="1"/>
  <c r="Q224" i="1"/>
  <c r="R224" i="1"/>
  <c r="B225" i="1"/>
  <c r="C225" i="1"/>
  <c r="F225" i="1"/>
  <c r="J225" i="1"/>
  <c r="M225" i="1"/>
  <c r="O225" i="1"/>
  <c r="P225" i="1"/>
  <c r="Q225" i="1"/>
  <c r="R225" i="1"/>
  <c r="B226" i="1"/>
  <c r="C226" i="1"/>
  <c r="F226" i="1"/>
  <c r="J226" i="1"/>
  <c r="M226" i="1"/>
  <c r="O226" i="1"/>
  <c r="P226" i="1"/>
  <c r="Q226" i="1"/>
  <c r="R226" i="1"/>
  <c r="B227" i="1"/>
  <c r="C227" i="1"/>
  <c r="F227" i="1"/>
  <c r="J227" i="1"/>
  <c r="M227" i="1"/>
  <c r="O227" i="1"/>
  <c r="P227" i="1"/>
  <c r="Q227" i="1"/>
  <c r="R227" i="1"/>
  <c r="B228" i="1"/>
  <c r="C228" i="1"/>
  <c r="F228" i="1"/>
  <c r="J228" i="1"/>
  <c r="M228" i="1"/>
  <c r="O228" i="1"/>
  <c r="P228" i="1"/>
  <c r="Q228" i="1"/>
  <c r="R228" i="1"/>
  <c r="B229" i="1"/>
  <c r="C229" i="1"/>
  <c r="F229" i="1"/>
  <c r="J229" i="1"/>
  <c r="M229" i="1"/>
  <c r="O229" i="1"/>
  <c r="P229" i="1"/>
  <c r="Q229" i="1"/>
  <c r="R229" i="1"/>
  <c r="B230" i="1"/>
  <c r="C230" i="1"/>
  <c r="F230" i="1"/>
  <c r="J230" i="1"/>
  <c r="M230" i="1"/>
  <c r="O230" i="1"/>
  <c r="P230" i="1"/>
  <c r="Q230" i="1"/>
  <c r="R230" i="1"/>
  <c r="B231" i="1"/>
  <c r="C231" i="1"/>
  <c r="F231" i="1"/>
  <c r="J231" i="1"/>
  <c r="M231" i="1"/>
  <c r="O231" i="1"/>
  <c r="P231" i="1"/>
  <c r="Q231" i="1"/>
  <c r="R231" i="1"/>
  <c r="B232" i="1"/>
  <c r="C232" i="1"/>
  <c r="F232" i="1"/>
  <c r="J232" i="1"/>
  <c r="M232" i="1"/>
  <c r="O232" i="1"/>
  <c r="P232" i="1"/>
  <c r="Q232" i="1"/>
  <c r="R232" i="1"/>
  <c r="B233" i="1"/>
  <c r="C233" i="1"/>
  <c r="F233" i="1"/>
  <c r="J233" i="1"/>
  <c r="M233" i="1"/>
  <c r="O233" i="1"/>
  <c r="P233" i="1"/>
  <c r="Q233" i="1"/>
  <c r="R233" i="1"/>
  <c r="B234" i="1"/>
  <c r="C234" i="1"/>
  <c r="F234" i="1"/>
  <c r="J234" i="1"/>
  <c r="M234" i="1"/>
  <c r="O234" i="1"/>
  <c r="P234" i="1"/>
  <c r="Q234" i="1"/>
  <c r="R234" i="1"/>
</calcChain>
</file>

<file path=xl/sharedStrings.xml><?xml version="1.0" encoding="utf-8"?>
<sst xmlns="http://schemas.openxmlformats.org/spreadsheetml/2006/main" count="1204" uniqueCount="61">
  <si>
    <t>票證公司編號</t>
  </si>
  <si>
    <t>客運公司編號</t>
  </si>
  <si>
    <t>卡號</t>
  </si>
  <si>
    <t>票種編號</t>
  </si>
  <si>
    <t>票種代碼</t>
  </si>
  <si>
    <t>路線公路編號</t>
  </si>
  <si>
    <t>司機編號</t>
  </si>
  <si>
    <t>車號</t>
  </si>
  <si>
    <t>上車時間(上)</t>
  </si>
  <si>
    <t>計費站序(上)</t>
  </si>
  <si>
    <t>計費站名(上)</t>
  </si>
  <si>
    <t>下車時間(下)</t>
  </si>
  <si>
    <t>計費站序(下)</t>
  </si>
  <si>
    <t>計費站名(下)</t>
  </si>
  <si>
    <t>交易實扣</t>
  </si>
  <si>
    <t>原始票價</t>
  </si>
  <si>
    <t>優惠票價</t>
  </si>
  <si>
    <t>優惠額度額</t>
  </si>
  <si>
    <t>995FW</t>
  </si>
  <si>
    <t>花蓮火車站</t>
  </si>
  <si>
    <t>陪伴卡</t>
  </si>
  <si>
    <t>A1</t>
  </si>
  <si>
    <t>A2</t>
  </si>
  <si>
    <t>學生卡</t>
  </si>
  <si>
    <t>993FW</t>
  </si>
  <si>
    <t>145FU</t>
  </si>
  <si>
    <t>上美崙</t>
  </si>
  <si>
    <t>太魯閣</t>
  </si>
  <si>
    <t>康樂村</t>
  </si>
  <si>
    <t>975FW</t>
  </si>
  <si>
    <t>花蓮工校</t>
  </si>
  <si>
    <t>富世國小</t>
  </si>
  <si>
    <t>北埔</t>
  </si>
  <si>
    <t>外秀林</t>
  </si>
  <si>
    <t>國軍總醫院</t>
  </si>
  <si>
    <t>新城</t>
  </si>
  <si>
    <t>A3</t>
  </si>
  <si>
    <t>971FW</t>
  </si>
  <si>
    <t>三棧派出所</t>
  </si>
  <si>
    <t>天祥</t>
  </si>
  <si>
    <t>梨山</t>
  </si>
  <si>
    <t>嘉里村</t>
  </si>
  <si>
    <t>燕子口</t>
  </si>
  <si>
    <t>長春橋</t>
  </si>
  <si>
    <t>谷園</t>
  </si>
  <si>
    <t>大禹嶺</t>
  </si>
  <si>
    <t>973FW</t>
  </si>
  <si>
    <t>綠水</t>
  </si>
  <si>
    <t>慈恩</t>
  </si>
  <si>
    <t>溪畔</t>
  </si>
  <si>
    <t>洛韶</t>
  </si>
  <si>
    <t>一般卡</t>
    <phoneticPr fontId="18" type="noConversion"/>
  </si>
  <si>
    <t>EasyCard</t>
  </si>
  <si>
    <t>KRTC</t>
  </si>
  <si>
    <t>孩童票</t>
    <phoneticPr fontId="19" type="noConversion"/>
  </si>
  <si>
    <t>愛心票</t>
    <phoneticPr fontId="19" type="noConversion"/>
  </si>
  <si>
    <t>敬老1票</t>
    <phoneticPr fontId="19" type="noConversion"/>
  </si>
  <si>
    <t>敬老1票</t>
    <phoneticPr fontId="19" type="noConversion"/>
  </si>
  <si>
    <t>學生票</t>
    <phoneticPr fontId="19" type="noConversion"/>
  </si>
  <si>
    <t>一般卡</t>
    <phoneticPr fontId="19" type="noConversion"/>
  </si>
  <si>
    <t>敬老卡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</si>
</sst>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4"/>
  <sheetViews>
    <sheetView tabSelected="1" workbookViewId="0">
      <selection activeCell="M19" sqref="M19"/>
    </sheetView>
  </sheetViews>
  <sheetFormatPr defaultRowHeight="16.5" x14ac:dyDescent="0.25"/>
  <cols>
    <col min="1" max="1" width="11.5" customWidth="1"/>
    <col min="3" max="3" width="18.625" customWidth="1"/>
    <col min="4" max="4" width="9" style="2"/>
    <col min="5" max="5" width="9" style="3"/>
    <col min="6" max="8" width="9" style="2"/>
    <col min="9" max="9" width="18" customWidth="1"/>
    <col min="12" max="12" width="19" customWidth="1"/>
  </cols>
  <sheetData>
    <row r="1" spans="1:18" x14ac:dyDescent="0.25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53</v>
      </c>
      <c r="B2" t="str">
        <f t="shared" ref="B2:B5" si="0">"47000"</f>
        <v>47000</v>
      </c>
      <c r="C2" t="str">
        <f>"9231AE02"</f>
        <v>9231AE02</v>
      </c>
      <c r="D2" s="2" t="s">
        <v>36</v>
      </c>
      <c r="E2" s="3" t="s">
        <v>60</v>
      </c>
      <c r="F2" s="2" t="str">
        <f>"1133"</f>
        <v>1133</v>
      </c>
      <c r="G2" s="2">
        <v>191</v>
      </c>
      <c r="H2" s="2" t="s">
        <v>37</v>
      </c>
      <c r="I2" s="1">
        <v>42856.57</v>
      </c>
      <c r="J2" t="str">
        <f>"1"</f>
        <v>1</v>
      </c>
      <c r="K2" t="s">
        <v>19</v>
      </c>
      <c r="L2" s="1">
        <v>42856.600173611114</v>
      </c>
      <c r="M2" t="str">
        <f>"5"</f>
        <v>5</v>
      </c>
      <c r="N2" t="s">
        <v>34</v>
      </c>
      <c r="O2" t="str">
        <f>"15"</f>
        <v>15</v>
      </c>
      <c r="P2" t="str">
        <f>"17"</f>
        <v>17</v>
      </c>
      <c r="Q2" t="str">
        <f>"15"</f>
        <v>15</v>
      </c>
      <c r="R2" t="str">
        <f>"2"</f>
        <v>2</v>
      </c>
    </row>
    <row r="3" spans="1:18" x14ac:dyDescent="0.25">
      <c r="A3" t="s">
        <v>53</v>
      </c>
      <c r="B3" t="str">
        <f t="shared" si="0"/>
        <v>47000</v>
      </c>
      <c r="C3" t="str">
        <f>"B2BD2C03"</f>
        <v>B2BD2C03</v>
      </c>
      <c r="D3" s="2" t="s">
        <v>36</v>
      </c>
      <c r="E3" s="3" t="s">
        <v>60</v>
      </c>
      <c r="F3" s="2" t="str">
        <f>"1133"</f>
        <v>1133</v>
      </c>
      <c r="G3" s="2">
        <v>191</v>
      </c>
      <c r="H3" s="2" t="s">
        <v>37</v>
      </c>
      <c r="I3" s="1">
        <v>42856.570057870369</v>
      </c>
      <c r="J3" t="str">
        <f>"1"</f>
        <v>1</v>
      </c>
      <c r="K3" t="s">
        <v>19</v>
      </c>
      <c r="L3" s="1">
        <v>42856.600312499999</v>
      </c>
      <c r="M3" t="str">
        <f>"5"</f>
        <v>5</v>
      </c>
      <c r="N3" t="s">
        <v>34</v>
      </c>
      <c r="O3" t="str">
        <f>"15"</f>
        <v>15</v>
      </c>
      <c r="P3" t="str">
        <f>"17"</f>
        <v>17</v>
      </c>
      <c r="Q3" t="str">
        <f>"15"</f>
        <v>15</v>
      </c>
      <c r="R3" t="str">
        <f>"2"</f>
        <v>2</v>
      </c>
    </row>
    <row r="4" spans="1:18" x14ac:dyDescent="0.25">
      <c r="A4" t="s">
        <v>52</v>
      </c>
      <c r="B4" t="str">
        <f t="shared" si="0"/>
        <v>47000</v>
      </c>
      <c r="C4" t="str">
        <f>"876255621"</f>
        <v>876255621</v>
      </c>
      <c r="D4" s="2">
        <v>0</v>
      </c>
      <c r="E4" s="3" t="s">
        <v>51</v>
      </c>
      <c r="F4" s="2" t="str">
        <f>"1133"</f>
        <v>1133</v>
      </c>
      <c r="G4" s="2">
        <v>191</v>
      </c>
      <c r="H4" s="2" t="s">
        <v>37</v>
      </c>
      <c r="I4" s="1">
        <v>42856.72865740741</v>
      </c>
      <c r="J4" t="str">
        <f>"13"</f>
        <v>13</v>
      </c>
      <c r="K4" t="s">
        <v>27</v>
      </c>
      <c r="L4" s="1">
        <v>42856.770740740743</v>
      </c>
      <c r="M4" t="str">
        <f>"1"</f>
        <v>1</v>
      </c>
      <c r="N4" t="s">
        <v>19</v>
      </c>
      <c r="O4" t="str">
        <f>"87"</f>
        <v>87</v>
      </c>
      <c r="P4" t="str">
        <f>"99"</f>
        <v>99</v>
      </c>
      <c r="Q4" t="str">
        <f>"87"</f>
        <v>87</v>
      </c>
      <c r="R4" t="str">
        <f>"12"</f>
        <v>12</v>
      </c>
    </row>
    <row r="5" spans="1:18" x14ac:dyDescent="0.25">
      <c r="A5" t="s">
        <v>52</v>
      </c>
      <c r="B5" t="str">
        <f t="shared" si="0"/>
        <v>47000</v>
      </c>
      <c r="C5" t="str">
        <f>"3544694232"</f>
        <v>3544694232</v>
      </c>
      <c r="D5" s="2">
        <v>0</v>
      </c>
      <c r="E5" s="3" t="s">
        <v>51</v>
      </c>
      <c r="F5" s="2" t="str">
        <f>"1133"</f>
        <v>1133</v>
      </c>
      <c r="G5" s="2">
        <v>191</v>
      </c>
      <c r="H5" s="2" t="s">
        <v>37</v>
      </c>
      <c r="I5" s="1">
        <v>42856.765740740739</v>
      </c>
      <c r="J5" t="str">
        <f>"2"</f>
        <v>2</v>
      </c>
      <c r="K5" t="s">
        <v>26</v>
      </c>
      <c r="L5" s="1">
        <v>42856.780057870368</v>
      </c>
      <c r="M5" t="str">
        <f>"1"</f>
        <v>1</v>
      </c>
      <c r="N5" t="s">
        <v>19</v>
      </c>
      <c r="O5" t="str">
        <f>"21"</f>
        <v>21</v>
      </c>
      <c r="P5" t="str">
        <f>"24"</f>
        <v>24</v>
      </c>
      <c r="Q5" t="str">
        <f>"21"</f>
        <v>21</v>
      </c>
      <c r="R5" t="str">
        <f>"3"</f>
        <v>3</v>
      </c>
    </row>
    <row r="6" spans="1:18" x14ac:dyDescent="0.25">
      <c r="A6" t="s">
        <v>52</v>
      </c>
      <c r="B6" t="str">
        <f t="shared" ref="B6:B15" si="1">"47000"</f>
        <v>47000</v>
      </c>
      <c r="C6" t="str">
        <f>"681645141"</f>
        <v>681645141</v>
      </c>
      <c r="D6" s="2">
        <v>0</v>
      </c>
      <c r="E6" s="3" t="s">
        <v>51</v>
      </c>
      <c r="F6" s="2" t="str">
        <f t="shared" ref="F6:F15" si="2">"1141"</f>
        <v>1141</v>
      </c>
      <c r="G6" s="2">
        <v>191</v>
      </c>
      <c r="H6" s="2" t="s">
        <v>37</v>
      </c>
      <c r="I6" s="1">
        <v>42857.359884259262</v>
      </c>
      <c r="J6" t="str">
        <f t="shared" ref="J6:J9" si="3">"1"</f>
        <v>1</v>
      </c>
      <c r="K6" t="s">
        <v>19</v>
      </c>
      <c r="L6" s="1">
        <v>42857.366226851853</v>
      </c>
      <c r="M6" t="str">
        <f t="shared" ref="M6:M9" si="4">"1"</f>
        <v>1</v>
      </c>
      <c r="N6" t="s">
        <v>19</v>
      </c>
      <c r="O6" t="str">
        <f t="shared" ref="O6:O7" si="5">"21"</f>
        <v>21</v>
      </c>
      <c r="P6" t="str">
        <f t="shared" ref="P6:P7" si="6">"24"</f>
        <v>24</v>
      </c>
      <c r="Q6" t="str">
        <f t="shared" ref="Q6:Q7" si="7">"21"</f>
        <v>21</v>
      </c>
      <c r="R6" t="str">
        <f t="shared" ref="R6:R7" si="8">"3"</f>
        <v>3</v>
      </c>
    </row>
    <row r="7" spans="1:18" x14ac:dyDescent="0.25">
      <c r="A7" t="s">
        <v>52</v>
      </c>
      <c r="B7" t="str">
        <f t="shared" si="1"/>
        <v>47000</v>
      </c>
      <c r="C7" t="str">
        <f>"2040517030"</f>
        <v>2040517030</v>
      </c>
      <c r="D7" s="2">
        <v>0</v>
      </c>
      <c r="E7" s="3" t="s">
        <v>51</v>
      </c>
      <c r="F7" s="2" t="str">
        <f t="shared" si="2"/>
        <v>1141</v>
      </c>
      <c r="G7" s="2">
        <v>191</v>
      </c>
      <c r="H7" s="2" t="s">
        <v>37</v>
      </c>
      <c r="I7" s="1">
        <v>42857.360706018517</v>
      </c>
      <c r="J7" t="str">
        <f t="shared" si="3"/>
        <v>1</v>
      </c>
      <c r="K7" t="s">
        <v>19</v>
      </c>
      <c r="L7" s="1">
        <v>42857.366284722222</v>
      </c>
      <c r="M7" t="str">
        <f t="shared" si="4"/>
        <v>1</v>
      </c>
      <c r="N7" t="s">
        <v>19</v>
      </c>
      <c r="O7" t="str">
        <f t="shared" si="5"/>
        <v>21</v>
      </c>
      <c r="P7" t="str">
        <f t="shared" si="6"/>
        <v>24</v>
      </c>
      <c r="Q7" t="str">
        <f t="shared" si="7"/>
        <v>21</v>
      </c>
      <c r="R7" t="str">
        <f t="shared" si="8"/>
        <v>3</v>
      </c>
    </row>
    <row r="8" spans="1:18" x14ac:dyDescent="0.25">
      <c r="A8" t="s">
        <v>52</v>
      </c>
      <c r="B8" t="str">
        <f t="shared" si="1"/>
        <v>47000</v>
      </c>
      <c r="C8" t="str">
        <f>"2722031140"</f>
        <v>2722031140</v>
      </c>
      <c r="D8" s="2">
        <v>1</v>
      </c>
      <c r="E8" s="3" t="s">
        <v>56</v>
      </c>
      <c r="F8" s="2" t="str">
        <f t="shared" si="2"/>
        <v>1141</v>
      </c>
      <c r="G8" s="2">
        <v>191</v>
      </c>
      <c r="H8" s="2" t="s">
        <v>37</v>
      </c>
      <c r="I8" s="1">
        <v>42857.36074074074</v>
      </c>
      <c r="J8" t="str">
        <f t="shared" si="3"/>
        <v>1</v>
      </c>
      <c r="K8" t="s">
        <v>19</v>
      </c>
      <c r="L8" s="1">
        <v>42857.366087962961</v>
      </c>
      <c r="M8" t="str">
        <f t="shared" si="4"/>
        <v>1</v>
      </c>
      <c r="N8" t="s">
        <v>19</v>
      </c>
      <c r="O8" t="str">
        <f>"11"</f>
        <v>11</v>
      </c>
      <c r="P8" t="str">
        <f>"12"</f>
        <v>12</v>
      </c>
      <c r="Q8" t="str">
        <f>"11"</f>
        <v>11</v>
      </c>
      <c r="R8" t="str">
        <f>"1"</f>
        <v>1</v>
      </c>
    </row>
    <row r="9" spans="1:18" x14ac:dyDescent="0.25">
      <c r="A9" t="s">
        <v>52</v>
      </c>
      <c r="B9" t="str">
        <f t="shared" si="1"/>
        <v>47000</v>
      </c>
      <c r="C9" t="str">
        <f>"1623323173"</f>
        <v>1623323173</v>
      </c>
      <c r="D9" s="2">
        <v>8</v>
      </c>
      <c r="E9" s="3" t="s">
        <v>54</v>
      </c>
      <c r="F9" s="2" t="str">
        <f t="shared" si="2"/>
        <v>1141</v>
      </c>
      <c r="G9" s="2">
        <v>191</v>
      </c>
      <c r="H9" s="2" t="s">
        <v>37</v>
      </c>
      <c r="I9" s="1">
        <v>42857.361597222225</v>
      </c>
      <c r="J9" t="str">
        <f t="shared" si="3"/>
        <v>1</v>
      </c>
      <c r="K9" t="s">
        <v>19</v>
      </c>
      <c r="L9" s="1">
        <v>42857.371377314812</v>
      </c>
      <c r="M9" t="str">
        <f t="shared" si="4"/>
        <v>1</v>
      </c>
      <c r="N9" t="s">
        <v>19</v>
      </c>
      <c r="O9" t="str">
        <f>"11"</f>
        <v>11</v>
      </c>
      <c r="P9" t="str">
        <f>"12"</f>
        <v>12</v>
      </c>
      <c r="Q9" t="str">
        <f>"11"</f>
        <v>11</v>
      </c>
      <c r="R9" t="str">
        <f>"1"</f>
        <v>1</v>
      </c>
    </row>
    <row r="10" spans="1:18" x14ac:dyDescent="0.25">
      <c r="A10" t="s">
        <v>52</v>
      </c>
      <c r="B10" t="str">
        <f t="shared" si="1"/>
        <v>47000</v>
      </c>
      <c r="C10" t="str">
        <f>"3045282130"</f>
        <v>3045282130</v>
      </c>
      <c r="D10" s="2">
        <v>3</v>
      </c>
      <c r="E10" s="3" t="s">
        <v>55</v>
      </c>
      <c r="F10" s="2" t="str">
        <f t="shared" si="2"/>
        <v>1141</v>
      </c>
      <c r="G10" s="2">
        <v>191</v>
      </c>
      <c r="H10" s="2" t="s">
        <v>37</v>
      </c>
      <c r="I10" s="1">
        <v>42857.462835648148</v>
      </c>
      <c r="J10" t="str">
        <f>"18"</f>
        <v>18</v>
      </c>
      <c r="K10" t="s">
        <v>39</v>
      </c>
      <c r="L10" s="1">
        <v>42857.59034722222</v>
      </c>
      <c r="M10" t="str">
        <f>"29"</f>
        <v>29</v>
      </c>
      <c r="N10" t="s">
        <v>40</v>
      </c>
      <c r="O10" t="str">
        <f>"125"</f>
        <v>125</v>
      </c>
      <c r="P10" t="str">
        <f>"143"</f>
        <v>143</v>
      </c>
      <c r="Q10" t="str">
        <f>"125"</f>
        <v>125</v>
      </c>
      <c r="R10" t="str">
        <f>"18"</f>
        <v>18</v>
      </c>
    </row>
    <row r="11" spans="1:18" x14ac:dyDescent="0.25">
      <c r="A11" t="s">
        <v>52</v>
      </c>
      <c r="B11" t="str">
        <f t="shared" si="1"/>
        <v>47000</v>
      </c>
      <c r="C11" t="str">
        <f>"2790257839"</f>
        <v>2790257839</v>
      </c>
      <c r="D11" s="2">
        <v>0</v>
      </c>
      <c r="E11" s="3" t="s">
        <v>51</v>
      </c>
      <c r="F11" s="2" t="str">
        <f t="shared" si="2"/>
        <v>1141</v>
      </c>
      <c r="G11" s="2">
        <v>191</v>
      </c>
      <c r="H11" s="2" t="s">
        <v>37</v>
      </c>
      <c r="I11" s="1">
        <v>42857.462951388887</v>
      </c>
      <c r="J11" t="str">
        <f>"18"</f>
        <v>18</v>
      </c>
      <c r="K11" t="s">
        <v>39</v>
      </c>
      <c r="L11" s="1">
        <v>42857.590196759258</v>
      </c>
      <c r="M11" t="str">
        <f>"29"</f>
        <v>29</v>
      </c>
      <c r="N11" t="s">
        <v>40</v>
      </c>
      <c r="O11" t="str">
        <f>"250"</f>
        <v>250</v>
      </c>
      <c r="P11" t="str">
        <f>"285"</f>
        <v>285</v>
      </c>
      <c r="Q11" t="str">
        <f>"250"</f>
        <v>250</v>
      </c>
      <c r="R11" t="str">
        <f>"35"</f>
        <v>35</v>
      </c>
    </row>
    <row r="12" spans="1:18" x14ac:dyDescent="0.25">
      <c r="A12" t="s">
        <v>52</v>
      </c>
      <c r="B12" t="str">
        <f t="shared" si="1"/>
        <v>47000</v>
      </c>
      <c r="C12" t="str">
        <f>"3045282130"</f>
        <v>3045282130</v>
      </c>
      <c r="D12" s="2">
        <v>3</v>
      </c>
      <c r="E12" s="3" t="s">
        <v>55</v>
      </c>
      <c r="F12" s="2" t="str">
        <f t="shared" si="2"/>
        <v>1141</v>
      </c>
      <c r="G12" s="2">
        <v>191</v>
      </c>
      <c r="H12" s="2" t="s">
        <v>37</v>
      </c>
      <c r="I12" s="1">
        <v>42857.623645833337</v>
      </c>
      <c r="J12" t="str">
        <f>"29"</f>
        <v>29</v>
      </c>
      <c r="K12" t="s">
        <v>40</v>
      </c>
      <c r="L12" s="1">
        <v>42857.743414351855</v>
      </c>
      <c r="M12" t="str">
        <f>"18"</f>
        <v>18</v>
      </c>
      <c r="N12" t="s">
        <v>39</v>
      </c>
      <c r="O12" t="str">
        <f>"125"</f>
        <v>125</v>
      </c>
      <c r="P12" t="str">
        <f>"143"</f>
        <v>143</v>
      </c>
      <c r="Q12" t="str">
        <f>"125"</f>
        <v>125</v>
      </c>
      <c r="R12" t="str">
        <f>"18"</f>
        <v>18</v>
      </c>
    </row>
    <row r="13" spans="1:18" x14ac:dyDescent="0.25">
      <c r="A13" t="s">
        <v>53</v>
      </c>
      <c r="B13" t="str">
        <f t="shared" si="1"/>
        <v>47000</v>
      </c>
      <c r="C13" t="str">
        <f>"32058400"</f>
        <v>32058400</v>
      </c>
      <c r="D13" s="2" t="s">
        <v>21</v>
      </c>
      <c r="E13" s="3" t="s">
        <v>59</v>
      </c>
      <c r="F13" s="2" t="str">
        <f t="shared" si="2"/>
        <v>1141</v>
      </c>
      <c r="G13" s="2">
        <v>191</v>
      </c>
      <c r="H13" s="2" t="s">
        <v>37</v>
      </c>
      <c r="I13" s="1">
        <v>42857.624421296299</v>
      </c>
      <c r="J13" t="str">
        <f>"29"</f>
        <v>29</v>
      </c>
      <c r="K13" t="s">
        <v>40</v>
      </c>
      <c r="L13" s="1">
        <v>42857.743611111109</v>
      </c>
      <c r="M13" t="str">
        <f>"18"</f>
        <v>18</v>
      </c>
      <c r="N13" t="s">
        <v>39</v>
      </c>
      <c r="O13" t="str">
        <f>"250"</f>
        <v>250</v>
      </c>
      <c r="P13" t="str">
        <f>"285"</f>
        <v>285</v>
      </c>
      <c r="Q13" t="str">
        <f>"250"</f>
        <v>250</v>
      </c>
      <c r="R13" t="str">
        <f>"35"</f>
        <v>35</v>
      </c>
    </row>
    <row r="14" spans="1:18" x14ac:dyDescent="0.25">
      <c r="A14" t="s">
        <v>52</v>
      </c>
      <c r="B14" t="str">
        <f t="shared" si="1"/>
        <v>47000</v>
      </c>
      <c r="C14" t="str">
        <f>"3639054810"</f>
        <v>3639054810</v>
      </c>
      <c r="D14" s="2">
        <v>0</v>
      </c>
      <c r="E14" s="3" t="s">
        <v>51</v>
      </c>
      <c r="F14" s="2" t="str">
        <f t="shared" si="2"/>
        <v>1141</v>
      </c>
      <c r="G14" s="2">
        <v>191</v>
      </c>
      <c r="H14" s="2" t="s">
        <v>37</v>
      </c>
      <c r="I14" s="1">
        <v>42857.746018518519</v>
      </c>
      <c r="J14" t="str">
        <f>"18"</f>
        <v>18</v>
      </c>
      <c r="K14" t="s">
        <v>39</v>
      </c>
      <c r="L14" s="1">
        <v>42857.807141203702</v>
      </c>
      <c r="M14" t="str">
        <f>"1"</f>
        <v>1</v>
      </c>
      <c r="N14" t="s">
        <v>19</v>
      </c>
      <c r="O14" t="str">
        <f>"137"</f>
        <v>137</v>
      </c>
      <c r="P14" t="str">
        <f>"156"</f>
        <v>156</v>
      </c>
      <c r="Q14" t="str">
        <f>"137"</f>
        <v>137</v>
      </c>
      <c r="R14" t="str">
        <f>"19"</f>
        <v>19</v>
      </c>
    </row>
    <row r="15" spans="1:18" x14ac:dyDescent="0.25">
      <c r="A15" t="s">
        <v>52</v>
      </c>
      <c r="B15" t="str">
        <f t="shared" si="1"/>
        <v>47000</v>
      </c>
      <c r="C15" t="str">
        <f>"192187681"</f>
        <v>192187681</v>
      </c>
      <c r="D15" s="2">
        <v>0</v>
      </c>
      <c r="E15" s="3" t="s">
        <v>51</v>
      </c>
      <c r="F15" s="2" t="str">
        <f t="shared" si="2"/>
        <v>1141</v>
      </c>
      <c r="G15" s="2">
        <v>191</v>
      </c>
      <c r="H15" s="2" t="s">
        <v>37</v>
      </c>
      <c r="I15" s="1">
        <v>42857.748078703706</v>
      </c>
      <c r="J15" t="str">
        <f>"18"</f>
        <v>18</v>
      </c>
      <c r="K15" t="s">
        <v>39</v>
      </c>
      <c r="L15" s="1">
        <v>42857.80709490741</v>
      </c>
      <c r="M15" t="str">
        <f>"1"</f>
        <v>1</v>
      </c>
      <c r="N15" t="s">
        <v>19</v>
      </c>
      <c r="O15" t="str">
        <f>"137"</f>
        <v>137</v>
      </c>
      <c r="P15" t="str">
        <f>"156"</f>
        <v>156</v>
      </c>
      <c r="Q15" t="str">
        <f>"137"</f>
        <v>137</v>
      </c>
      <c r="R15" t="str">
        <f>"19"</f>
        <v>19</v>
      </c>
    </row>
    <row r="16" spans="1:18" x14ac:dyDescent="0.25">
      <c r="A16" t="s">
        <v>53</v>
      </c>
      <c r="B16" t="str">
        <f t="shared" ref="B16:B19" si="9">"47000"</f>
        <v>47000</v>
      </c>
      <c r="C16" t="str">
        <f>"7A39F680"</f>
        <v>7A39F680</v>
      </c>
      <c r="D16" s="2" t="s">
        <v>22</v>
      </c>
      <c r="E16" s="3" t="s">
        <v>23</v>
      </c>
      <c r="F16" s="2" t="str">
        <f>"1133"</f>
        <v>1133</v>
      </c>
      <c r="G16" s="2">
        <v>191</v>
      </c>
      <c r="H16" s="2" t="s">
        <v>37</v>
      </c>
      <c r="I16" s="1">
        <v>42859.575752314813</v>
      </c>
      <c r="J16" t="str">
        <f>"1"</f>
        <v>1</v>
      </c>
      <c r="K16" t="s">
        <v>19</v>
      </c>
      <c r="L16" s="1">
        <v>42859.59574074074</v>
      </c>
      <c r="M16" t="str">
        <f>"2"</f>
        <v>2</v>
      </c>
      <c r="N16" t="s">
        <v>26</v>
      </c>
      <c r="O16" t="str">
        <f>"21"</f>
        <v>21</v>
      </c>
      <c r="P16" t="str">
        <f>"24"</f>
        <v>24</v>
      </c>
      <c r="Q16" t="str">
        <f>"21"</f>
        <v>21</v>
      </c>
      <c r="R16" t="str">
        <f>"3"</f>
        <v>3</v>
      </c>
    </row>
    <row r="17" spans="1:18" x14ac:dyDescent="0.25">
      <c r="A17" t="s">
        <v>52</v>
      </c>
      <c r="B17" t="str">
        <f t="shared" si="9"/>
        <v>47000</v>
      </c>
      <c r="C17" t="str">
        <f>"3487509626"</f>
        <v>3487509626</v>
      </c>
      <c r="D17" s="2">
        <v>1</v>
      </c>
      <c r="E17" s="3" t="s">
        <v>56</v>
      </c>
      <c r="F17" s="2" t="str">
        <f>"1133"</f>
        <v>1133</v>
      </c>
      <c r="G17" s="2">
        <v>191</v>
      </c>
      <c r="H17" s="2" t="s">
        <v>37</v>
      </c>
      <c r="I17" s="1">
        <v>42859.581388888888</v>
      </c>
      <c r="J17" t="str">
        <f>"1"</f>
        <v>1</v>
      </c>
      <c r="K17" t="s">
        <v>19</v>
      </c>
      <c r="L17" s="1">
        <v>42859.593078703707</v>
      </c>
      <c r="M17" t="str">
        <f>"1"</f>
        <v>1</v>
      </c>
      <c r="N17" t="s">
        <v>19</v>
      </c>
      <c r="O17" t="str">
        <f>"11"</f>
        <v>11</v>
      </c>
      <c r="P17" t="str">
        <f>"12"</f>
        <v>12</v>
      </c>
      <c r="Q17" t="str">
        <f>"11"</f>
        <v>11</v>
      </c>
      <c r="R17" t="str">
        <f>"1"</f>
        <v>1</v>
      </c>
    </row>
    <row r="18" spans="1:18" x14ac:dyDescent="0.25">
      <c r="A18" t="s">
        <v>52</v>
      </c>
      <c r="B18" t="str">
        <f t="shared" si="9"/>
        <v>47000</v>
      </c>
      <c r="C18" t="str">
        <f>"233974030"</f>
        <v>233974030</v>
      </c>
      <c r="D18" s="2">
        <v>8</v>
      </c>
      <c r="E18" s="3" t="s">
        <v>54</v>
      </c>
      <c r="F18" s="2" t="str">
        <f>"1133"</f>
        <v>1133</v>
      </c>
      <c r="G18" s="2">
        <v>191</v>
      </c>
      <c r="H18" s="2" t="s">
        <v>37</v>
      </c>
      <c r="I18" s="1">
        <v>42859.581423611111</v>
      </c>
      <c r="J18" t="str">
        <f>"1"</f>
        <v>1</v>
      </c>
      <c r="K18" t="s">
        <v>19</v>
      </c>
      <c r="L18" s="1">
        <v>42859.593009259261</v>
      </c>
      <c r="M18" t="str">
        <f>"1"</f>
        <v>1</v>
      </c>
      <c r="N18" t="s">
        <v>19</v>
      </c>
      <c r="O18" t="str">
        <f>"11"</f>
        <v>11</v>
      </c>
      <c r="P18" t="str">
        <f>"12"</f>
        <v>12</v>
      </c>
      <c r="Q18" t="str">
        <f>"11"</f>
        <v>11</v>
      </c>
      <c r="R18" t="str">
        <f>"1"</f>
        <v>1</v>
      </c>
    </row>
    <row r="19" spans="1:18" x14ac:dyDescent="0.25">
      <c r="A19" t="s">
        <v>52</v>
      </c>
      <c r="B19" t="str">
        <f t="shared" si="9"/>
        <v>47000</v>
      </c>
      <c r="C19" t="str">
        <f>"660492805"</f>
        <v>660492805</v>
      </c>
      <c r="D19" s="2">
        <v>0</v>
      </c>
      <c r="E19" s="3" t="s">
        <v>51</v>
      </c>
      <c r="F19" s="2" t="str">
        <f>"1133"</f>
        <v>1133</v>
      </c>
      <c r="G19" s="2">
        <v>191</v>
      </c>
      <c r="H19" s="2" t="s">
        <v>37</v>
      </c>
      <c r="I19" s="1">
        <v>42859.591678240744</v>
      </c>
      <c r="J19" t="str">
        <f>"1"</f>
        <v>1</v>
      </c>
      <c r="K19" t="s">
        <v>19</v>
      </c>
      <c r="L19" s="1">
        <v>42859.603819444441</v>
      </c>
      <c r="M19" t="str">
        <f>"6"</f>
        <v>6</v>
      </c>
      <c r="N19" t="s">
        <v>32</v>
      </c>
      <c r="O19" t="str">
        <f>"33"</f>
        <v>33</v>
      </c>
      <c r="P19" t="str">
        <f>"38"</f>
        <v>38</v>
      </c>
      <c r="Q19" t="str">
        <f>"33"</f>
        <v>33</v>
      </c>
      <c r="R19" t="str">
        <f>"5"</f>
        <v>5</v>
      </c>
    </row>
    <row r="20" spans="1:18" x14ac:dyDescent="0.25">
      <c r="A20" t="s">
        <v>52</v>
      </c>
      <c r="B20" t="str">
        <f t="shared" ref="B20:B47" si="10">"47000"</f>
        <v>47000</v>
      </c>
      <c r="C20" t="str">
        <f>"596973492"</f>
        <v>596973492</v>
      </c>
      <c r="D20" s="2">
        <v>0</v>
      </c>
      <c r="E20" s="3" t="s">
        <v>51</v>
      </c>
      <c r="F20" s="2" t="str">
        <f t="shared" ref="F20:F29" si="11">"1133"</f>
        <v>1133</v>
      </c>
      <c r="G20" s="2">
        <v>208</v>
      </c>
      <c r="H20" s="2" t="s">
        <v>18</v>
      </c>
      <c r="I20" s="1">
        <v>42861.44939814815</v>
      </c>
      <c r="J20" t="str">
        <f t="shared" ref="J20:J22" si="12">"1"</f>
        <v>1</v>
      </c>
      <c r="K20" t="s">
        <v>19</v>
      </c>
      <c r="L20" s="1">
        <v>42861.458981481483</v>
      </c>
      <c r="M20" t="str">
        <f t="shared" ref="M20:M21" si="13">"1"</f>
        <v>1</v>
      </c>
      <c r="N20" t="s">
        <v>19</v>
      </c>
      <c r="O20" t="str">
        <f t="shared" ref="O20:O21" si="14">"21"</f>
        <v>21</v>
      </c>
      <c r="P20" t="str">
        <f t="shared" ref="P20:P21" si="15">"24"</f>
        <v>24</v>
      </c>
      <c r="Q20" t="str">
        <f t="shared" ref="Q20:Q21" si="16">"21"</f>
        <v>21</v>
      </c>
      <c r="R20" t="str">
        <f t="shared" ref="R20:R21" si="17">"3"</f>
        <v>3</v>
      </c>
    </row>
    <row r="21" spans="1:18" x14ac:dyDescent="0.25">
      <c r="A21" t="s">
        <v>52</v>
      </c>
      <c r="B21" t="str">
        <f t="shared" si="10"/>
        <v>47000</v>
      </c>
      <c r="C21" t="str">
        <f>"2065819014"</f>
        <v>2065819014</v>
      </c>
      <c r="D21" s="2">
        <v>0</v>
      </c>
      <c r="E21" s="3" t="s">
        <v>51</v>
      </c>
      <c r="F21" s="2" t="str">
        <f t="shared" si="11"/>
        <v>1133</v>
      </c>
      <c r="G21" s="2">
        <v>208</v>
      </c>
      <c r="H21" s="2" t="s">
        <v>18</v>
      </c>
      <c r="I21" s="1">
        <v>42861.449594907404</v>
      </c>
      <c r="J21" t="str">
        <f t="shared" si="12"/>
        <v>1</v>
      </c>
      <c r="K21" t="s">
        <v>19</v>
      </c>
      <c r="L21" s="1">
        <v>42861.459374999999</v>
      </c>
      <c r="M21" t="str">
        <f t="shared" si="13"/>
        <v>1</v>
      </c>
      <c r="N21" t="s">
        <v>19</v>
      </c>
      <c r="O21" t="str">
        <f t="shared" si="14"/>
        <v>21</v>
      </c>
      <c r="P21" t="str">
        <f t="shared" si="15"/>
        <v>24</v>
      </c>
      <c r="Q21" t="str">
        <f t="shared" si="16"/>
        <v>21</v>
      </c>
      <c r="R21" t="str">
        <f t="shared" si="17"/>
        <v>3</v>
      </c>
    </row>
    <row r="22" spans="1:18" x14ac:dyDescent="0.25">
      <c r="A22" t="s">
        <v>52</v>
      </c>
      <c r="B22" t="str">
        <f t="shared" si="10"/>
        <v>47000</v>
      </c>
      <c r="C22" t="str">
        <f>"640925205"</f>
        <v>640925205</v>
      </c>
      <c r="D22" s="2">
        <v>5</v>
      </c>
      <c r="E22" s="3" t="s">
        <v>58</v>
      </c>
      <c r="F22" s="2" t="str">
        <f t="shared" si="11"/>
        <v>1133</v>
      </c>
      <c r="G22" s="2">
        <v>208</v>
      </c>
      <c r="H22" s="2" t="s">
        <v>18</v>
      </c>
      <c r="I22" s="1">
        <v>42861.450150462966</v>
      </c>
      <c r="J22" t="str">
        <f t="shared" si="12"/>
        <v>1</v>
      </c>
      <c r="K22" t="s">
        <v>19</v>
      </c>
      <c r="L22" s="1">
        <v>42861.529340277775</v>
      </c>
      <c r="M22" t="str">
        <f>"16"</f>
        <v>16</v>
      </c>
      <c r="N22" t="s">
        <v>42</v>
      </c>
      <c r="O22" t="str">
        <f>"130"</f>
        <v>130</v>
      </c>
      <c r="P22" t="str">
        <f>"148"</f>
        <v>148</v>
      </c>
      <c r="Q22" t="str">
        <f>"130"</f>
        <v>130</v>
      </c>
      <c r="R22" t="str">
        <f>"18"</f>
        <v>18</v>
      </c>
    </row>
    <row r="23" spans="1:18" x14ac:dyDescent="0.25">
      <c r="A23" t="s">
        <v>52</v>
      </c>
      <c r="B23" t="str">
        <f t="shared" si="10"/>
        <v>47000</v>
      </c>
      <c r="C23" t="str">
        <f>"893319381"</f>
        <v>893319381</v>
      </c>
      <c r="D23" s="2">
        <v>1</v>
      </c>
      <c r="E23" s="3" t="s">
        <v>56</v>
      </c>
      <c r="F23" s="2" t="str">
        <f t="shared" si="11"/>
        <v>1133</v>
      </c>
      <c r="G23" s="2">
        <v>208</v>
      </c>
      <c r="H23" s="2" t="s">
        <v>18</v>
      </c>
      <c r="I23" s="1">
        <v>42861.471932870372</v>
      </c>
      <c r="J23" t="str">
        <f>"2"</f>
        <v>2</v>
      </c>
      <c r="K23" t="s">
        <v>26</v>
      </c>
      <c r="L23" s="1">
        <v>42861.499247685184</v>
      </c>
      <c r="M23" t="str">
        <f>"11"</f>
        <v>11</v>
      </c>
      <c r="N23" t="s">
        <v>35</v>
      </c>
      <c r="O23" t="str">
        <f>"28"</f>
        <v>28</v>
      </c>
      <c r="P23" t="str">
        <f>"32"</f>
        <v>32</v>
      </c>
      <c r="Q23" t="str">
        <f>"28"</f>
        <v>28</v>
      </c>
      <c r="R23" t="str">
        <f>"4"</f>
        <v>4</v>
      </c>
    </row>
    <row r="24" spans="1:18" x14ac:dyDescent="0.25">
      <c r="A24" t="s">
        <v>52</v>
      </c>
      <c r="B24" t="str">
        <f t="shared" si="10"/>
        <v>47000</v>
      </c>
      <c r="C24" t="str">
        <f>"138612111"</f>
        <v>138612111</v>
      </c>
      <c r="D24" s="2">
        <v>0</v>
      </c>
      <c r="E24" s="3" t="s">
        <v>51</v>
      </c>
      <c r="F24" s="2" t="str">
        <f t="shared" si="11"/>
        <v>1133</v>
      </c>
      <c r="G24" s="2">
        <v>208</v>
      </c>
      <c r="H24" s="2" t="s">
        <v>18</v>
      </c>
      <c r="I24" s="1">
        <v>42861.511076388888</v>
      </c>
      <c r="J24" t="str">
        <f>"14"</f>
        <v>14</v>
      </c>
      <c r="K24" t="s">
        <v>43</v>
      </c>
      <c r="L24" s="1">
        <v>42861.523449074077</v>
      </c>
      <c r="M24" t="str">
        <f>"16"</f>
        <v>16</v>
      </c>
      <c r="N24" t="s">
        <v>42</v>
      </c>
      <c r="O24" t="str">
        <f>"33"</f>
        <v>33</v>
      </c>
      <c r="P24" t="str">
        <f>"37"</f>
        <v>37</v>
      </c>
      <c r="Q24" t="str">
        <f>"33"</f>
        <v>33</v>
      </c>
      <c r="R24" t="str">
        <f>"4"</f>
        <v>4</v>
      </c>
    </row>
    <row r="25" spans="1:18" x14ac:dyDescent="0.25">
      <c r="A25" t="s">
        <v>52</v>
      </c>
      <c r="B25" t="str">
        <f t="shared" si="10"/>
        <v>47000</v>
      </c>
      <c r="C25" t="str">
        <f>"2765772015"</f>
        <v>2765772015</v>
      </c>
      <c r="D25" s="2">
        <v>0</v>
      </c>
      <c r="E25" s="3" t="s">
        <v>51</v>
      </c>
      <c r="F25" s="2" t="str">
        <f t="shared" si="11"/>
        <v>1133</v>
      </c>
      <c r="G25" s="2">
        <v>208</v>
      </c>
      <c r="H25" s="2" t="s">
        <v>18</v>
      </c>
      <c r="I25" s="1">
        <v>42861.511099537034</v>
      </c>
      <c r="J25" t="str">
        <f>"14"</f>
        <v>14</v>
      </c>
      <c r="K25" t="s">
        <v>43</v>
      </c>
      <c r="L25" s="1">
        <v>42861.523414351854</v>
      </c>
      <c r="M25" t="str">
        <f>"16"</f>
        <v>16</v>
      </c>
      <c r="N25" t="s">
        <v>42</v>
      </c>
      <c r="O25" t="str">
        <f>"33"</f>
        <v>33</v>
      </c>
      <c r="P25" t="str">
        <f>"37"</f>
        <v>37</v>
      </c>
      <c r="Q25" t="str">
        <f>"33"</f>
        <v>33</v>
      </c>
      <c r="R25" t="str">
        <f>"4"</f>
        <v>4</v>
      </c>
    </row>
    <row r="26" spans="1:18" x14ac:dyDescent="0.25">
      <c r="A26" t="s">
        <v>52</v>
      </c>
      <c r="B26" t="str">
        <f t="shared" si="10"/>
        <v>47000</v>
      </c>
      <c r="C26" t="str">
        <f>"652990261"</f>
        <v>652990261</v>
      </c>
      <c r="D26" s="2">
        <v>0</v>
      </c>
      <c r="E26" s="3" t="s">
        <v>51</v>
      </c>
      <c r="F26" s="2" t="str">
        <f t="shared" si="11"/>
        <v>1133</v>
      </c>
      <c r="G26" s="2">
        <v>208</v>
      </c>
      <c r="H26" s="2" t="s">
        <v>18</v>
      </c>
      <c r="I26" s="1">
        <v>42861.57980324074</v>
      </c>
      <c r="J26" t="str">
        <f>"18"</f>
        <v>18</v>
      </c>
      <c r="K26" t="s">
        <v>39</v>
      </c>
      <c r="L26" s="1">
        <v>42861.668020833335</v>
      </c>
      <c r="M26" t="str">
        <f>"1"</f>
        <v>1</v>
      </c>
      <c r="N26" t="s">
        <v>19</v>
      </c>
      <c r="O26" t="str">
        <f>"155"</f>
        <v>155</v>
      </c>
      <c r="P26" t="str">
        <f>"177"</f>
        <v>177</v>
      </c>
      <c r="Q26" t="str">
        <f>"155"</f>
        <v>155</v>
      </c>
      <c r="R26" t="str">
        <f>"22"</f>
        <v>22</v>
      </c>
    </row>
    <row r="27" spans="1:18" x14ac:dyDescent="0.25">
      <c r="A27" t="s">
        <v>52</v>
      </c>
      <c r="B27" t="str">
        <f t="shared" si="10"/>
        <v>47000</v>
      </c>
      <c r="C27" t="str">
        <f>"1619280981"</f>
        <v>1619280981</v>
      </c>
      <c r="D27" s="2">
        <v>1</v>
      </c>
      <c r="E27" s="3" t="s">
        <v>56</v>
      </c>
      <c r="F27" s="2" t="str">
        <f t="shared" si="11"/>
        <v>1133</v>
      </c>
      <c r="G27" s="2">
        <v>208</v>
      </c>
      <c r="H27" s="2" t="s">
        <v>18</v>
      </c>
      <c r="I27" s="1">
        <v>42861.620266203703</v>
      </c>
      <c r="J27" t="str">
        <f>"13"</f>
        <v>13</v>
      </c>
      <c r="K27" t="s">
        <v>27</v>
      </c>
      <c r="L27" s="1">
        <v>42861.6250462963</v>
      </c>
      <c r="M27" t="str">
        <f>"12"</f>
        <v>12</v>
      </c>
      <c r="N27" t="s">
        <v>31</v>
      </c>
      <c r="O27" t="str">
        <f>"11"</f>
        <v>11</v>
      </c>
      <c r="P27" t="str">
        <f>"12"</f>
        <v>12</v>
      </c>
      <c r="Q27" t="str">
        <f>"11"</f>
        <v>11</v>
      </c>
      <c r="R27" t="str">
        <f>"1"</f>
        <v>1</v>
      </c>
    </row>
    <row r="28" spans="1:18" x14ac:dyDescent="0.25">
      <c r="A28" t="s">
        <v>52</v>
      </c>
      <c r="B28" t="str">
        <f t="shared" si="10"/>
        <v>47000</v>
      </c>
      <c r="C28" t="str">
        <f>"4088682493"</f>
        <v>4088682493</v>
      </c>
      <c r="D28" s="2">
        <v>0</v>
      </c>
      <c r="E28" s="3" t="s">
        <v>51</v>
      </c>
      <c r="F28" s="2" t="str">
        <f t="shared" si="11"/>
        <v>1133</v>
      </c>
      <c r="G28" s="2">
        <v>208</v>
      </c>
      <c r="H28" s="2" t="s">
        <v>18</v>
      </c>
      <c r="I28" s="1">
        <v>42861.620335648149</v>
      </c>
      <c r="J28" t="str">
        <f>"13"</f>
        <v>13</v>
      </c>
      <c r="K28" t="s">
        <v>27</v>
      </c>
      <c r="L28" s="1">
        <v>42861.624965277777</v>
      </c>
      <c r="M28" t="str">
        <f>"12"</f>
        <v>12</v>
      </c>
      <c r="N28" t="s">
        <v>31</v>
      </c>
      <c r="O28" t="str">
        <f>"21"</f>
        <v>21</v>
      </c>
      <c r="P28" t="str">
        <f>"24"</f>
        <v>24</v>
      </c>
      <c r="Q28" t="str">
        <f>"21"</f>
        <v>21</v>
      </c>
      <c r="R28" t="str">
        <f>"3"</f>
        <v>3</v>
      </c>
    </row>
    <row r="29" spans="1:18" x14ac:dyDescent="0.25">
      <c r="A29" t="s">
        <v>52</v>
      </c>
      <c r="B29" t="str">
        <f t="shared" si="10"/>
        <v>47000</v>
      </c>
      <c r="C29" t="str">
        <f>"2016588352"</f>
        <v>2016588352</v>
      </c>
      <c r="D29" s="2">
        <v>0</v>
      </c>
      <c r="E29" s="3" t="s">
        <v>51</v>
      </c>
      <c r="F29" s="2" t="str">
        <f t="shared" si="11"/>
        <v>1133</v>
      </c>
      <c r="G29" s="2">
        <v>208</v>
      </c>
      <c r="H29" s="2" t="s">
        <v>18</v>
      </c>
      <c r="I29" s="1">
        <v>42861.663611111115</v>
      </c>
      <c r="J29" t="str">
        <f>"1"</f>
        <v>1</v>
      </c>
      <c r="K29" t="s">
        <v>19</v>
      </c>
      <c r="L29" s="1">
        <v>42861.66783564815</v>
      </c>
      <c r="M29" t="str">
        <f>"1"</f>
        <v>1</v>
      </c>
      <c r="N29" t="s">
        <v>19</v>
      </c>
      <c r="O29" t="str">
        <f>"21"</f>
        <v>21</v>
      </c>
      <c r="P29" t="str">
        <f>"24"</f>
        <v>24</v>
      </c>
      <c r="Q29" t="str">
        <f>"21"</f>
        <v>21</v>
      </c>
      <c r="R29" t="str">
        <f>"3"</f>
        <v>3</v>
      </c>
    </row>
    <row r="30" spans="1:18" x14ac:dyDescent="0.25">
      <c r="A30" t="s">
        <v>52</v>
      </c>
      <c r="B30" t="str">
        <f t="shared" si="10"/>
        <v>47000</v>
      </c>
      <c r="C30" t="str">
        <f>"672221013"</f>
        <v>672221013</v>
      </c>
      <c r="D30" s="2">
        <v>1</v>
      </c>
      <c r="E30" s="3" t="s">
        <v>56</v>
      </c>
      <c r="F30" s="2" t="str">
        <f t="shared" ref="F30:F47" si="18">"1141"</f>
        <v>1141</v>
      </c>
      <c r="G30" s="2">
        <v>191</v>
      </c>
      <c r="H30" s="2" t="s">
        <v>37</v>
      </c>
      <c r="I30" s="1">
        <v>42861.35974537037</v>
      </c>
      <c r="J30" t="str">
        <f t="shared" ref="J30:J36" si="19">"1"</f>
        <v>1</v>
      </c>
      <c r="K30" t="s">
        <v>19</v>
      </c>
      <c r="L30" s="1">
        <v>42861.388472222221</v>
      </c>
      <c r="M30" t="str">
        <f>"6"</f>
        <v>6</v>
      </c>
      <c r="N30" t="s">
        <v>32</v>
      </c>
      <c r="O30" t="str">
        <f>"17"</f>
        <v>17</v>
      </c>
      <c r="P30" t="str">
        <f>"19"</f>
        <v>19</v>
      </c>
      <c r="Q30" t="str">
        <f>"17"</f>
        <v>17</v>
      </c>
      <c r="R30" t="str">
        <f>"2"</f>
        <v>2</v>
      </c>
    </row>
    <row r="31" spans="1:18" x14ac:dyDescent="0.25">
      <c r="A31" t="s">
        <v>52</v>
      </c>
      <c r="B31" t="str">
        <f t="shared" si="10"/>
        <v>47000</v>
      </c>
      <c r="C31" t="str">
        <f>"652990261"</f>
        <v>652990261</v>
      </c>
      <c r="D31" s="2">
        <v>0</v>
      </c>
      <c r="E31" s="3" t="s">
        <v>51</v>
      </c>
      <c r="F31" s="2" t="str">
        <f t="shared" si="18"/>
        <v>1141</v>
      </c>
      <c r="G31" s="2">
        <v>191</v>
      </c>
      <c r="H31" s="2" t="s">
        <v>37</v>
      </c>
      <c r="I31" s="1">
        <v>42861.359814814816</v>
      </c>
      <c r="J31" t="str">
        <f t="shared" si="19"/>
        <v>1</v>
      </c>
      <c r="K31" t="s">
        <v>19</v>
      </c>
      <c r="L31" s="1">
        <v>42861.440601851849</v>
      </c>
      <c r="M31" t="str">
        <f>"20"</f>
        <v>20</v>
      </c>
      <c r="N31" t="s">
        <v>44</v>
      </c>
      <c r="O31" t="str">
        <f>"148"</f>
        <v>148</v>
      </c>
      <c r="P31" t="str">
        <f>"169"</f>
        <v>169</v>
      </c>
      <c r="Q31" t="str">
        <f>"148"</f>
        <v>148</v>
      </c>
      <c r="R31" t="str">
        <f>"21"</f>
        <v>21</v>
      </c>
    </row>
    <row r="32" spans="1:18" x14ac:dyDescent="0.25">
      <c r="A32" t="s">
        <v>52</v>
      </c>
      <c r="B32" t="str">
        <f t="shared" si="10"/>
        <v>47000</v>
      </c>
      <c r="C32" t="str">
        <f>"2657127663"</f>
        <v>2657127663</v>
      </c>
      <c r="D32" s="2">
        <v>0</v>
      </c>
      <c r="E32" s="3" t="s">
        <v>51</v>
      </c>
      <c r="F32" s="2" t="str">
        <f t="shared" si="18"/>
        <v>1141</v>
      </c>
      <c r="G32" s="2">
        <v>191</v>
      </c>
      <c r="H32" s="2" t="s">
        <v>37</v>
      </c>
      <c r="I32" s="1">
        <v>42861.359918981485</v>
      </c>
      <c r="J32" t="str">
        <f t="shared" si="19"/>
        <v>1</v>
      </c>
      <c r="K32" t="s">
        <v>19</v>
      </c>
      <c r="L32" s="1">
        <v>42861.372060185182</v>
      </c>
      <c r="M32" t="str">
        <f>"1"</f>
        <v>1</v>
      </c>
      <c r="N32" t="s">
        <v>19</v>
      </c>
      <c r="O32" t="str">
        <f>"21"</f>
        <v>21</v>
      </c>
      <c r="P32" t="str">
        <f>"24"</f>
        <v>24</v>
      </c>
      <c r="Q32" t="str">
        <f>"21"</f>
        <v>21</v>
      </c>
      <c r="R32" t="str">
        <f>"3"</f>
        <v>3</v>
      </c>
    </row>
    <row r="33" spans="1:18" x14ac:dyDescent="0.25">
      <c r="A33" t="s">
        <v>52</v>
      </c>
      <c r="B33" t="str">
        <f t="shared" si="10"/>
        <v>47000</v>
      </c>
      <c r="C33" t="str">
        <f>"2695889615"</f>
        <v>2695889615</v>
      </c>
      <c r="D33" s="2">
        <v>0</v>
      </c>
      <c r="E33" s="3" t="s">
        <v>51</v>
      </c>
      <c r="F33" s="2" t="str">
        <f t="shared" si="18"/>
        <v>1141</v>
      </c>
      <c r="G33" s="2">
        <v>191</v>
      </c>
      <c r="H33" s="2" t="s">
        <v>37</v>
      </c>
      <c r="I33" s="1">
        <v>42861.36</v>
      </c>
      <c r="J33" t="str">
        <f t="shared" si="19"/>
        <v>1</v>
      </c>
      <c r="K33" t="s">
        <v>19</v>
      </c>
      <c r="L33" s="1">
        <v>42861.372025462966</v>
      </c>
      <c r="M33" t="str">
        <f>"1"</f>
        <v>1</v>
      </c>
      <c r="N33" t="s">
        <v>19</v>
      </c>
      <c r="O33" t="str">
        <f>"21"</f>
        <v>21</v>
      </c>
      <c r="P33" t="str">
        <f>"24"</f>
        <v>24</v>
      </c>
      <c r="Q33" t="str">
        <f>"21"</f>
        <v>21</v>
      </c>
      <c r="R33" t="str">
        <f>"3"</f>
        <v>3</v>
      </c>
    </row>
    <row r="34" spans="1:18" x14ac:dyDescent="0.25">
      <c r="A34" t="s">
        <v>52</v>
      </c>
      <c r="B34" t="str">
        <f t="shared" si="10"/>
        <v>47000</v>
      </c>
      <c r="C34" t="str">
        <f>"3544694232"</f>
        <v>3544694232</v>
      </c>
      <c r="D34" s="2">
        <v>0</v>
      </c>
      <c r="E34" s="3" t="s">
        <v>51</v>
      </c>
      <c r="F34" s="2" t="str">
        <f t="shared" si="18"/>
        <v>1141</v>
      </c>
      <c r="G34" s="2">
        <v>191</v>
      </c>
      <c r="H34" s="2" t="s">
        <v>37</v>
      </c>
      <c r="I34" s="1">
        <v>42861.365312499998</v>
      </c>
      <c r="J34" t="str">
        <f t="shared" si="19"/>
        <v>1</v>
      </c>
      <c r="K34" t="s">
        <v>19</v>
      </c>
      <c r="L34" s="1">
        <v>42861.37903935185</v>
      </c>
      <c r="M34" t="str">
        <f>"2"</f>
        <v>2</v>
      </c>
      <c r="N34" t="s">
        <v>26</v>
      </c>
      <c r="O34" t="str">
        <f>"21"</f>
        <v>21</v>
      </c>
      <c r="P34" t="str">
        <f>"24"</f>
        <v>24</v>
      </c>
      <c r="Q34" t="str">
        <f>"21"</f>
        <v>21</v>
      </c>
      <c r="R34" t="str">
        <f>"3"</f>
        <v>3</v>
      </c>
    </row>
    <row r="35" spans="1:18" x14ac:dyDescent="0.25">
      <c r="A35" t="s">
        <v>52</v>
      </c>
      <c r="B35" t="str">
        <f t="shared" si="10"/>
        <v>47000</v>
      </c>
      <c r="C35" t="str">
        <f>"669859429"</f>
        <v>669859429</v>
      </c>
      <c r="D35" s="2">
        <v>0</v>
      </c>
      <c r="E35" s="3" t="s">
        <v>51</v>
      </c>
      <c r="F35" s="2" t="str">
        <f t="shared" si="18"/>
        <v>1141</v>
      </c>
      <c r="G35" s="2">
        <v>191</v>
      </c>
      <c r="H35" s="2" t="s">
        <v>37</v>
      </c>
      <c r="I35" s="1">
        <v>42861.368611111109</v>
      </c>
      <c r="J35" t="str">
        <f t="shared" si="19"/>
        <v>1</v>
      </c>
      <c r="K35" t="s">
        <v>19</v>
      </c>
      <c r="L35" s="1">
        <v>42861.403298611112</v>
      </c>
      <c r="M35" t="str">
        <f>"11"</f>
        <v>11</v>
      </c>
      <c r="N35" t="s">
        <v>35</v>
      </c>
      <c r="O35" t="str">
        <f>"69"</f>
        <v>69</v>
      </c>
      <c r="P35" t="str">
        <f>"79"</f>
        <v>79</v>
      </c>
      <c r="Q35" t="str">
        <f>"69"</f>
        <v>69</v>
      </c>
      <c r="R35" t="str">
        <f>"10"</f>
        <v>10</v>
      </c>
    </row>
    <row r="36" spans="1:18" x14ac:dyDescent="0.25">
      <c r="A36" t="s">
        <v>52</v>
      </c>
      <c r="B36" t="str">
        <f t="shared" si="10"/>
        <v>47000</v>
      </c>
      <c r="C36" t="str">
        <f>"3639054810"</f>
        <v>3639054810</v>
      </c>
      <c r="D36" s="2">
        <v>0</v>
      </c>
      <c r="E36" s="3" t="s">
        <v>51</v>
      </c>
      <c r="F36" s="2" t="str">
        <f t="shared" si="18"/>
        <v>1141</v>
      </c>
      <c r="G36" s="2">
        <v>191</v>
      </c>
      <c r="H36" s="2" t="s">
        <v>37</v>
      </c>
      <c r="I36" s="1">
        <v>42861.368645833332</v>
      </c>
      <c r="J36" t="str">
        <f t="shared" si="19"/>
        <v>1</v>
      </c>
      <c r="K36" t="s">
        <v>19</v>
      </c>
      <c r="L36" s="1">
        <v>42861.431400462963</v>
      </c>
      <c r="M36" t="str">
        <f>"18"</f>
        <v>18</v>
      </c>
      <c r="N36" t="s">
        <v>39</v>
      </c>
      <c r="O36" t="str">
        <f>"137"</f>
        <v>137</v>
      </c>
      <c r="P36" t="str">
        <f>"156"</f>
        <v>156</v>
      </c>
      <c r="Q36" t="str">
        <f>"137"</f>
        <v>137</v>
      </c>
      <c r="R36" t="str">
        <f>"19"</f>
        <v>19</v>
      </c>
    </row>
    <row r="37" spans="1:18" x14ac:dyDescent="0.25">
      <c r="A37" t="s">
        <v>52</v>
      </c>
      <c r="B37" t="str">
        <f t="shared" si="10"/>
        <v>47000</v>
      </c>
      <c r="C37" t="str">
        <f>"280324497"</f>
        <v>280324497</v>
      </c>
      <c r="D37" s="2">
        <v>0</v>
      </c>
      <c r="E37" s="3" t="s">
        <v>51</v>
      </c>
      <c r="F37" s="2" t="str">
        <f t="shared" si="18"/>
        <v>1141</v>
      </c>
      <c r="G37" s="2">
        <v>191</v>
      </c>
      <c r="H37" s="2" t="s">
        <v>37</v>
      </c>
      <c r="I37" s="1">
        <v>42861.410752314812</v>
      </c>
      <c r="J37" t="str">
        <f>"13"</f>
        <v>13</v>
      </c>
      <c r="K37" t="s">
        <v>27</v>
      </c>
      <c r="L37" s="1">
        <v>42861.412430555552</v>
      </c>
      <c r="M37" t="str">
        <f>"14"</f>
        <v>14</v>
      </c>
      <c r="N37" t="s">
        <v>43</v>
      </c>
      <c r="O37" t="str">
        <f>"22"</f>
        <v>22</v>
      </c>
      <c r="P37" t="str">
        <f>"25"</f>
        <v>25</v>
      </c>
      <c r="Q37" t="str">
        <f>"22"</f>
        <v>22</v>
      </c>
      <c r="R37" t="str">
        <f>"3"</f>
        <v>3</v>
      </c>
    </row>
    <row r="38" spans="1:18" x14ac:dyDescent="0.25">
      <c r="A38" t="s">
        <v>53</v>
      </c>
      <c r="B38" t="str">
        <f t="shared" si="10"/>
        <v>47000</v>
      </c>
      <c r="C38" t="str">
        <f>"FAC1ED8D"</f>
        <v>FAC1ED8D</v>
      </c>
      <c r="D38" s="2" t="s">
        <v>21</v>
      </c>
      <c r="E38" s="3" t="s">
        <v>59</v>
      </c>
      <c r="F38" s="2" t="str">
        <f t="shared" si="18"/>
        <v>1141</v>
      </c>
      <c r="G38" s="2">
        <v>191</v>
      </c>
      <c r="H38" s="2" t="s">
        <v>37</v>
      </c>
      <c r="I38" s="1">
        <v>42861.410810185182</v>
      </c>
      <c r="J38" t="str">
        <f>"13"</f>
        <v>13</v>
      </c>
      <c r="K38" t="s">
        <v>27</v>
      </c>
      <c r="L38" s="1">
        <v>42861.505844907406</v>
      </c>
      <c r="M38" t="str">
        <f>"25"</f>
        <v>25</v>
      </c>
      <c r="N38" t="s">
        <v>45</v>
      </c>
      <c r="O38" t="str">
        <f>"217"</f>
        <v>217</v>
      </c>
      <c r="P38" t="str">
        <f>"247"</f>
        <v>247</v>
      </c>
      <c r="Q38" t="str">
        <f>"217"</f>
        <v>217</v>
      </c>
      <c r="R38" t="str">
        <f>"30"</f>
        <v>30</v>
      </c>
    </row>
    <row r="39" spans="1:18" x14ac:dyDescent="0.25">
      <c r="A39" t="s">
        <v>52</v>
      </c>
      <c r="B39" t="str">
        <f t="shared" si="10"/>
        <v>47000</v>
      </c>
      <c r="C39" t="str">
        <f>"280600305"</f>
        <v>280600305</v>
      </c>
      <c r="D39" s="2">
        <v>0</v>
      </c>
      <c r="E39" s="3" t="s">
        <v>51</v>
      </c>
      <c r="F39" s="2" t="str">
        <f t="shared" si="18"/>
        <v>1141</v>
      </c>
      <c r="G39" s="2">
        <v>191</v>
      </c>
      <c r="H39" s="2" t="s">
        <v>37</v>
      </c>
      <c r="I39" s="1">
        <v>42861.410995370374</v>
      </c>
      <c r="J39" t="str">
        <f>"13"</f>
        <v>13</v>
      </c>
      <c r="K39" t="s">
        <v>27</v>
      </c>
      <c r="L39" s="1">
        <v>42861.412407407406</v>
      </c>
      <c r="M39" t="str">
        <f>"14"</f>
        <v>14</v>
      </c>
      <c r="N39" t="s">
        <v>43</v>
      </c>
      <c r="O39" t="str">
        <f>"22"</f>
        <v>22</v>
      </c>
      <c r="P39" t="str">
        <f>"25"</f>
        <v>25</v>
      </c>
      <c r="Q39" t="str">
        <f>"22"</f>
        <v>22</v>
      </c>
      <c r="R39" t="str">
        <f>"3"</f>
        <v>3</v>
      </c>
    </row>
    <row r="40" spans="1:18" x14ac:dyDescent="0.25">
      <c r="A40" t="s">
        <v>52</v>
      </c>
      <c r="B40" t="str">
        <f t="shared" si="10"/>
        <v>47000</v>
      </c>
      <c r="C40" t="str">
        <f>"1905104208"</f>
        <v>1905104208</v>
      </c>
      <c r="D40" s="2">
        <v>0</v>
      </c>
      <c r="E40" s="3" t="s">
        <v>51</v>
      </c>
      <c r="F40" s="2" t="str">
        <f t="shared" si="18"/>
        <v>1141</v>
      </c>
      <c r="G40" s="2">
        <v>191</v>
      </c>
      <c r="H40" s="2" t="s">
        <v>37</v>
      </c>
      <c r="I40" s="1">
        <v>42861.618935185186</v>
      </c>
      <c r="J40" t="str">
        <f>"29"</f>
        <v>29</v>
      </c>
      <c r="K40" t="s">
        <v>40</v>
      </c>
      <c r="L40" s="1">
        <v>42861.774837962963</v>
      </c>
      <c r="M40" t="str">
        <f>"11"</f>
        <v>11</v>
      </c>
      <c r="N40" t="s">
        <v>35</v>
      </c>
      <c r="O40" t="str">
        <f>"317"</f>
        <v>317</v>
      </c>
      <c r="P40" t="str">
        <f>"361"</f>
        <v>361</v>
      </c>
      <c r="Q40" t="str">
        <f>"317"</f>
        <v>317</v>
      </c>
      <c r="R40" t="str">
        <f>"44"</f>
        <v>44</v>
      </c>
    </row>
    <row r="41" spans="1:18" x14ac:dyDescent="0.25">
      <c r="A41" t="s">
        <v>52</v>
      </c>
      <c r="B41" t="str">
        <f t="shared" si="10"/>
        <v>47000</v>
      </c>
      <c r="C41" t="str">
        <f>"226824182"</f>
        <v>226824182</v>
      </c>
      <c r="D41" s="2">
        <v>0</v>
      </c>
      <c r="E41" s="3" t="s">
        <v>51</v>
      </c>
      <c r="F41" s="2" t="str">
        <f t="shared" si="18"/>
        <v>1141</v>
      </c>
      <c r="G41" s="2">
        <v>191</v>
      </c>
      <c r="H41" s="2" t="s">
        <v>37</v>
      </c>
      <c r="I41" s="1">
        <v>42861.674097222225</v>
      </c>
      <c r="J41" t="str">
        <f>"25"</f>
        <v>25</v>
      </c>
      <c r="K41" t="s">
        <v>45</v>
      </c>
      <c r="L41" s="1">
        <v>42861.77449074074</v>
      </c>
      <c r="M41" t="str">
        <f>"11"</f>
        <v>11</v>
      </c>
      <c r="N41" t="s">
        <v>35</v>
      </c>
      <c r="O41" t="str">
        <f>"228"</f>
        <v>228</v>
      </c>
      <c r="P41" t="str">
        <f>"259"</f>
        <v>259</v>
      </c>
      <c r="Q41" t="str">
        <f>"228"</f>
        <v>228</v>
      </c>
      <c r="R41" t="str">
        <f>"31"</f>
        <v>31</v>
      </c>
    </row>
    <row r="42" spans="1:18" x14ac:dyDescent="0.25">
      <c r="A42" t="s">
        <v>52</v>
      </c>
      <c r="B42" t="str">
        <f t="shared" si="10"/>
        <v>47000</v>
      </c>
      <c r="C42" t="str">
        <f>"1601964709"</f>
        <v>1601964709</v>
      </c>
      <c r="D42" s="2">
        <v>0</v>
      </c>
      <c r="E42" s="3" t="s">
        <v>51</v>
      </c>
      <c r="F42" s="2" t="str">
        <f t="shared" si="18"/>
        <v>1141</v>
      </c>
      <c r="G42" s="2">
        <v>191</v>
      </c>
      <c r="H42" s="2" t="s">
        <v>37</v>
      </c>
      <c r="I42" s="1">
        <v>42861.674212962964</v>
      </c>
      <c r="J42" t="str">
        <f>"25"</f>
        <v>25</v>
      </c>
      <c r="K42" t="s">
        <v>45</v>
      </c>
      <c r="L42" s="1">
        <v>42861.813368055555</v>
      </c>
      <c r="M42" t="str">
        <f t="shared" ref="M42:M47" si="20">"1"</f>
        <v>1</v>
      </c>
      <c r="N42" t="s">
        <v>19</v>
      </c>
      <c r="O42" t="str">
        <f>"298"</f>
        <v>298</v>
      </c>
      <c r="P42" t="str">
        <f>"339"</f>
        <v>339</v>
      </c>
      <c r="Q42" t="str">
        <f>"298"</f>
        <v>298</v>
      </c>
      <c r="R42" t="str">
        <f>"41"</f>
        <v>41</v>
      </c>
    </row>
    <row r="43" spans="1:18" x14ac:dyDescent="0.25">
      <c r="A43" t="s">
        <v>52</v>
      </c>
      <c r="B43" t="str">
        <f t="shared" si="10"/>
        <v>47000</v>
      </c>
      <c r="C43" t="str">
        <f>"1574089391"</f>
        <v>1574089391</v>
      </c>
      <c r="D43" s="2">
        <v>0</v>
      </c>
      <c r="E43" s="3" t="s">
        <v>51</v>
      </c>
      <c r="F43" s="2" t="str">
        <f t="shared" si="18"/>
        <v>1141</v>
      </c>
      <c r="G43" s="2">
        <v>191</v>
      </c>
      <c r="H43" s="2" t="s">
        <v>37</v>
      </c>
      <c r="I43" s="1">
        <v>42861.750694444447</v>
      </c>
      <c r="J43" t="str">
        <f>"18"</f>
        <v>18</v>
      </c>
      <c r="K43" t="s">
        <v>39</v>
      </c>
      <c r="L43" s="1">
        <v>42861.81318287037</v>
      </c>
      <c r="M43" t="str">
        <f t="shared" si="20"/>
        <v>1</v>
      </c>
      <c r="N43" t="s">
        <v>19</v>
      </c>
      <c r="O43" t="str">
        <f>"137"</f>
        <v>137</v>
      </c>
      <c r="P43" t="str">
        <f>"156"</f>
        <v>156</v>
      </c>
      <c r="Q43" t="str">
        <f>"137"</f>
        <v>137</v>
      </c>
      <c r="R43" t="str">
        <f>"19"</f>
        <v>19</v>
      </c>
    </row>
    <row r="44" spans="1:18" x14ac:dyDescent="0.25">
      <c r="A44" t="s">
        <v>52</v>
      </c>
      <c r="B44" t="str">
        <f t="shared" si="10"/>
        <v>47000</v>
      </c>
      <c r="C44" t="str">
        <f>"2689795364"</f>
        <v>2689795364</v>
      </c>
      <c r="D44" s="2">
        <v>0</v>
      </c>
      <c r="E44" s="3" t="s">
        <v>51</v>
      </c>
      <c r="F44" s="2" t="str">
        <f t="shared" si="18"/>
        <v>1141</v>
      </c>
      <c r="G44" s="2">
        <v>191</v>
      </c>
      <c r="H44" s="2" t="s">
        <v>37</v>
      </c>
      <c r="I44" s="1">
        <v>42861.75072916667</v>
      </c>
      <c r="J44" t="str">
        <f>"18"</f>
        <v>18</v>
      </c>
      <c r="K44" t="s">
        <v>39</v>
      </c>
      <c r="L44" s="1">
        <v>42861.813321759262</v>
      </c>
      <c r="M44" t="str">
        <f t="shared" si="20"/>
        <v>1</v>
      </c>
      <c r="N44" t="s">
        <v>19</v>
      </c>
      <c r="O44" t="str">
        <f>"137"</f>
        <v>137</v>
      </c>
      <c r="P44" t="str">
        <f>"156"</f>
        <v>156</v>
      </c>
      <c r="Q44" t="str">
        <f>"137"</f>
        <v>137</v>
      </c>
      <c r="R44" t="str">
        <f>"19"</f>
        <v>19</v>
      </c>
    </row>
    <row r="45" spans="1:18" x14ac:dyDescent="0.25">
      <c r="A45" t="s">
        <v>52</v>
      </c>
      <c r="B45" t="str">
        <f t="shared" si="10"/>
        <v>47000</v>
      </c>
      <c r="C45" t="str">
        <f>"783346005"</f>
        <v>783346005</v>
      </c>
      <c r="D45" s="2">
        <v>0</v>
      </c>
      <c r="E45" s="3" t="s">
        <v>51</v>
      </c>
      <c r="F45" s="2" t="str">
        <f t="shared" si="18"/>
        <v>1141</v>
      </c>
      <c r="G45" s="2">
        <v>191</v>
      </c>
      <c r="H45" s="2" t="s">
        <v>37</v>
      </c>
      <c r="I45" s="1">
        <v>42861.750879629632</v>
      </c>
      <c r="J45" t="str">
        <f>"18"</f>
        <v>18</v>
      </c>
      <c r="K45" t="s">
        <v>39</v>
      </c>
      <c r="L45" s="1">
        <v>42861.81322916667</v>
      </c>
      <c r="M45" t="str">
        <f t="shared" si="20"/>
        <v>1</v>
      </c>
      <c r="N45" t="s">
        <v>19</v>
      </c>
      <c r="O45" t="str">
        <f>"137"</f>
        <v>137</v>
      </c>
      <c r="P45" t="str">
        <f>"156"</f>
        <v>156</v>
      </c>
      <c r="Q45" t="str">
        <f>"137"</f>
        <v>137</v>
      </c>
      <c r="R45" t="str">
        <f>"19"</f>
        <v>19</v>
      </c>
    </row>
    <row r="46" spans="1:18" x14ac:dyDescent="0.25">
      <c r="A46" t="s">
        <v>52</v>
      </c>
      <c r="B46" t="str">
        <f t="shared" si="10"/>
        <v>47000</v>
      </c>
      <c r="C46" t="str">
        <f>"761620741"</f>
        <v>761620741</v>
      </c>
      <c r="D46" s="2">
        <v>5</v>
      </c>
      <c r="E46" s="3" t="s">
        <v>58</v>
      </c>
      <c r="F46" s="2" t="str">
        <f t="shared" si="18"/>
        <v>1141</v>
      </c>
      <c r="G46" s="2">
        <v>191</v>
      </c>
      <c r="H46" s="2" t="s">
        <v>37</v>
      </c>
      <c r="I46" s="1">
        <v>42861.77008101852</v>
      </c>
      <c r="J46" t="str">
        <f>"13"</f>
        <v>13</v>
      </c>
      <c r="K46" t="s">
        <v>27</v>
      </c>
      <c r="L46" s="1">
        <v>42861.806377314817</v>
      </c>
      <c r="M46" t="str">
        <f t="shared" si="20"/>
        <v>1</v>
      </c>
      <c r="N46" t="s">
        <v>19</v>
      </c>
      <c r="O46" t="str">
        <f>"81"</f>
        <v>81</v>
      </c>
      <c r="P46" t="str">
        <f>"92"</f>
        <v>92</v>
      </c>
      <c r="Q46" t="str">
        <f>"81"</f>
        <v>81</v>
      </c>
      <c r="R46" t="str">
        <f>"11"</f>
        <v>11</v>
      </c>
    </row>
    <row r="47" spans="1:18" x14ac:dyDescent="0.25">
      <c r="A47" t="s">
        <v>52</v>
      </c>
      <c r="B47" t="str">
        <f t="shared" si="10"/>
        <v>47000</v>
      </c>
      <c r="C47" t="str">
        <f>"247847377"</f>
        <v>247847377</v>
      </c>
      <c r="D47" s="2">
        <v>0</v>
      </c>
      <c r="E47" s="3" t="s">
        <v>51</v>
      </c>
      <c r="F47" s="2" t="str">
        <f t="shared" si="18"/>
        <v>1141</v>
      </c>
      <c r="G47" s="2">
        <v>191</v>
      </c>
      <c r="H47" s="2" t="s">
        <v>37</v>
      </c>
      <c r="I47" s="1">
        <v>42861.770115740743</v>
      </c>
      <c r="J47" t="str">
        <f>"13"</f>
        <v>13</v>
      </c>
      <c r="K47" t="s">
        <v>27</v>
      </c>
      <c r="L47" s="1">
        <v>42861.80641203704</v>
      </c>
      <c r="M47" t="str">
        <f t="shared" si="20"/>
        <v>1</v>
      </c>
      <c r="N47" t="s">
        <v>19</v>
      </c>
      <c r="O47" t="str">
        <f>"81"</f>
        <v>81</v>
      </c>
      <c r="P47" t="str">
        <f>"92"</f>
        <v>92</v>
      </c>
      <c r="Q47" t="str">
        <f>"81"</f>
        <v>81</v>
      </c>
      <c r="R47" t="str">
        <f>"11"</f>
        <v>11</v>
      </c>
    </row>
    <row r="48" spans="1:18" x14ac:dyDescent="0.25">
      <c r="A48" t="s">
        <v>52</v>
      </c>
      <c r="B48" t="str">
        <f t="shared" ref="B48:B52" si="21">"47000"</f>
        <v>47000</v>
      </c>
      <c r="C48" t="str">
        <f>"3374781338"</f>
        <v>3374781338</v>
      </c>
      <c r="D48" s="2">
        <v>0</v>
      </c>
      <c r="E48" s="3" t="s">
        <v>51</v>
      </c>
      <c r="F48" s="2" t="str">
        <f>"1126"</f>
        <v>1126</v>
      </c>
      <c r="G48" s="2">
        <v>191</v>
      </c>
      <c r="H48" s="2" t="s">
        <v>37</v>
      </c>
      <c r="I48" s="1">
        <v>42862.27853009259</v>
      </c>
      <c r="J48" t="str">
        <f>"1"</f>
        <v>1</v>
      </c>
      <c r="K48" t="s">
        <v>19</v>
      </c>
      <c r="L48" s="1">
        <v>42862.327094907407</v>
      </c>
      <c r="M48" t="str">
        <f>"18"</f>
        <v>18</v>
      </c>
      <c r="N48" t="s">
        <v>39</v>
      </c>
      <c r="O48" t="str">
        <f>"137"</f>
        <v>137</v>
      </c>
      <c r="P48" t="str">
        <f>"156"</f>
        <v>156</v>
      </c>
      <c r="Q48" t="str">
        <f>"137"</f>
        <v>137</v>
      </c>
      <c r="R48" t="str">
        <f>"19"</f>
        <v>19</v>
      </c>
    </row>
    <row r="49" spans="1:18" x14ac:dyDescent="0.25">
      <c r="A49" t="s">
        <v>52</v>
      </c>
      <c r="B49" t="str">
        <f t="shared" si="21"/>
        <v>47000</v>
      </c>
      <c r="C49" t="str">
        <f>"799841475"</f>
        <v>799841475</v>
      </c>
      <c r="D49" s="2">
        <v>0</v>
      </c>
      <c r="E49" s="3" t="s">
        <v>51</v>
      </c>
      <c r="F49" s="2" t="str">
        <f>"1126"</f>
        <v>1126</v>
      </c>
      <c r="G49" s="2">
        <v>191</v>
      </c>
      <c r="H49" s="2" t="s">
        <v>37</v>
      </c>
      <c r="I49" s="1">
        <v>42862.30740740741</v>
      </c>
      <c r="J49" t="str">
        <f>"13"</f>
        <v>13</v>
      </c>
      <c r="K49" t="s">
        <v>27</v>
      </c>
      <c r="L49" s="1">
        <v>42862.324837962966</v>
      </c>
      <c r="M49" t="str">
        <f>"17"</f>
        <v>17</v>
      </c>
      <c r="N49" t="s">
        <v>47</v>
      </c>
      <c r="O49" t="str">
        <f>"50"</f>
        <v>50</v>
      </c>
      <c r="P49" t="str">
        <f>"57"</f>
        <v>57</v>
      </c>
      <c r="Q49" t="str">
        <f>"50"</f>
        <v>50</v>
      </c>
      <c r="R49" t="str">
        <f>"7"</f>
        <v>7</v>
      </c>
    </row>
    <row r="50" spans="1:18" x14ac:dyDescent="0.25">
      <c r="A50" t="s">
        <v>52</v>
      </c>
      <c r="B50" t="str">
        <f t="shared" si="21"/>
        <v>47000</v>
      </c>
      <c r="C50" t="str">
        <f>"799838979"</f>
        <v>799838979</v>
      </c>
      <c r="D50" s="2">
        <v>0</v>
      </c>
      <c r="E50" s="3" t="s">
        <v>51</v>
      </c>
      <c r="F50" s="2" t="str">
        <f>"1126"</f>
        <v>1126</v>
      </c>
      <c r="G50" s="2">
        <v>191</v>
      </c>
      <c r="H50" s="2" t="s">
        <v>37</v>
      </c>
      <c r="I50" s="1">
        <v>42862.307453703703</v>
      </c>
      <c r="J50" t="str">
        <f>"13"</f>
        <v>13</v>
      </c>
      <c r="K50" t="s">
        <v>27</v>
      </c>
      <c r="L50" s="1">
        <v>42862.324814814812</v>
      </c>
      <c r="M50" t="str">
        <f>"17"</f>
        <v>17</v>
      </c>
      <c r="N50" t="s">
        <v>47</v>
      </c>
      <c r="O50" t="str">
        <f>"50"</f>
        <v>50</v>
      </c>
      <c r="P50" t="str">
        <f>"57"</f>
        <v>57</v>
      </c>
      <c r="Q50" t="str">
        <f>"50"</f>
        <v>50</v>
      </c>
      <c r="R50" t="str">
        <f>"7"</f>
        <v>7</v>
      </c>
    </row>
    <row r="51" spans="1:18" x14ac:dyDescent="0.25">
      <c r="A51" t="s">
        <v>52</v>
      </c>
      <c r="B51" t="str">
        <f t="shared" si="21"/>
        <v>47000</v>
      </c>
      <c r="C51" t="str">
        <f>"3374781338"</f>
        <v>3374781338</v>
      </c>
      <c r="D51" s="2">
        <v>0</v>
      </c>
      <c r="E51" s="3" t="s">
        <v>51</v>
      </c>
      <c r="F51" s="2" t="str">
        <f>"1126"</f>
        <v>1126</v>
      </c>
      <c r="G51" s="2">
        <v>191</v>
      </c>
      <c r="H51" s="2" t="s">
        <v>37</v>
      </c>
      <c r="I51" s="1">
        <v>42862.381828703707</v>
      </c>
      <c r="J51" t="str">
        <f>"18"</f>
        <v>18</v>
      </c>
      <c r="K51" t="s">
        <v>39</v>
      </c>
      <c r="L51" s="1">
        <v>42862.436076388891</v>
      </c>
      <c r="M51" t="str">
        <f>"1"</f>
        <v>1</v>
      </c>
      <c r="N51" t="s">
        <v>19</v>
      </c>
      <c r="O51" t="str">
        <f>"137"</f>
        <v>137</v>
      </c>
      <c r="P51" t="str">
        <f>"156"</f>
        <v>156</v>
      </c>
      <c r="Q51" t="str">
        <f>"137"</f>
        <v>137</v>
      </c>
      <c r="R51" t="str">
        <f>"19"</f>
        <v>19</v>
      </c>
    </row>
    <row r="52" spans="1:18" x14ac:dyDescent="0.25">
      <c r="A52" t="s">
        <v>52</v>
      </c>
      <c r="B52" t="str">
        <f t="shared" si="21"/>
        <v>47000</v>
      </c>
      <c r="C52" t="str">
        <f>"642344325"</f>
        <v>642344325</v>
      </c>
      <c r="D52" s="2">
        <v>0</v>
      </c>
      <c r="E52" s="3" t="s">
        <v>51</v>
      </c>
      <c r="F52" s="2" t="str">
        <f>"1126"</f>
        <v>1126</v>
      </c>
      <c r="G52" s="2">
        <v>191</v>
      </c>
      <c r="H52" s="2" t="s">
        <v>37</v>
      </c>
      <c r="I52" s="1">
        <v>42862.425821759258</v>
      </c>
      <c r="J52" t="str">
        <f>"4"</f>
        <v>4</v>
      </c>
      <c r="K52" t="s">
        <v>41</v>
      </c>
      <c r="L52" s="1">
        <v>42862.447743055556</v>
      </c>
      <c r="M52" t="str">
        <f>"1"</f>
        <v>1</v>
      </c>
      <c r="N52" t="s">
        <v>19</v>
      </c>
      <c r="O52" t="str">
        <f>"28"</f>
        <v>28</v>
      </c>
      <c r="P52" t="str">
        <f>"32"</f>
        <v>32</v>
      </c>
      <c r="Q52" t="str">
        <f>"28"</f>
        <v>28</v>
      </c>
      <c r="R52" t="str">
        <f>"4"</f>
        <v>4</v>
      </c>
    </row>
    <row r="53" spans="1:18" x14ac:dyDescent="0.25">
      <c r="A53" t="s">
        <v>52</v>
      </c>
      <c r="B53" t="str">
        <f t="shared" ref="B53:B63" si="22">"47000"</f>
        <v>47000</v>
      </c>
      <c r="C53" t="str">
        <f>"3805971468"</f>
        <v>3805971468</v>
      </c>
      <c r="D53" s="2">
        <v>0</v>
      </c>
      <c r="E53" s="3" t="s">
        <v>51</v>
      </c>
      <c r="F53" s="2" t="str">
        <f t="shared" ref="F53:F60" si="23">"1133"</f>
        <v>1133</v>
      </c>
      <c r="G53" s="2">
        <v>101</v>
      </c>
      <c r="H53" s="2" t="s">
        <v>24</v>
      </c>
      <c r="I53" s="1">
        <v>42863.446180555555</v>
      </c>
      <c r="J53" t="str">
        <f>"1"</f>
        <v>1</v>
      </c>
      <c r="K53" t="s">
        <v>19</v>
      </c>
      <c r="L53" s="1">
        <v>42863.467615740738</v>
      </c>
      <c r="M53" t="str">
        <f>"2"</f>
        <v>2</v>
      </c>
      <c r="N53" t="s">
        <v>26</v>
      </c>
      <c r="O53" t="str">
        <f>"21"</f>
        <v>21</v>
      </c>
      <c r="P53" t="str">
        <f>"24"</f>
        <v>24</v>
      </c>
      <c r="Q53" t="str">
        <f>"21"</f>
        <v>21</v>
      </c>
      <c r="R53" t="str">
        <f t="shared" ref="R53:R55" si="24">"3"</f>
        <v>3</v>
      </c>
    </row>
    <row r="54" spans="1:18" x14ac:dyDescent="0.25">
      <c r="A54" t="s">
        <v>52</v>
      </c>
      <c r="B54" t="str">
        <f t="shared" si="22"/>
        <v>47000</v>
      </c>
      <c r="C54" t="str">
        <f>"908636661"</f>
        <v>908636661</v>
      </c>
      <c r="D54" s="2">
        <v>1</v>
      </c>
      <c r="E54" s="3" t="s">
        <v>56</v>
      </c>
      <c r="F54" s="2" t="str">
        <f t="shared" si="23"/>
        <v>1133</v>
      </c>
      <c r="G54" s="2">
        <v>101</v>
      </c>
      <c r="H54" s="2" t="s">
        <v>24</v>
      </c>
      <c r="I54" s="1">
        <v>42863.503692129627</v>
      </c>
      <c r="J54" t="str">
        <f>"13"</f>
        <v>13</v>
      </c>
      <c r="K54" t="s">
        <v>27</v>
      </c>
      <c r="L54" s="1">
        <v>42863.515694444446</v>
      </c>
      <c r="M54" t="str">
        <f>"16"</f>
        <v>16</v>
      </c>
      <c r="N54" t="s">
        <v>42</v>
      </c>
      <c r="O54" t="str">
        <f>"22"</f>
        <v>22</v>
      </c>
      <c r="P54" t="str">
        <f>"25"</f>
        <v>25</v>
      </c>
      <c r="Q54" t="str">
        <f>"22"</f>
        <v>22</v>
      </c>
      <c r="R54" t="str">
        <f t="shared" si="24"/>
        <v>3</v>
      </c>
    </row>
    <row r="55" spans="1:18" x14ac:dyDescent="0.25">
      <c r="A55" t="s">
        <v>52</v>
      </c>
      <c r="B55" t="str">
        <f t="shared" si="22"/>
        <v>47000</v>
      </c>
      <c r="C55" t="str">
        <f>"715872837"</f>
        <v>715872837</v>
      </c>
      <c r="D55" s="2">
        <v>0</v>
      </c>
      <c r="E55" s="3" t="s">
        <v>51</v>
      </c>
      <c r="F55" s="2" t="str">
        <f t="shared" si="23"/>
        <v>1133</v>
      </c>
      <c r="G55" s="2">
        <v>101</v>
      </c>
      <c r="H55" s="2" t="s">
        <v>24</v>
      </c>
      <c r="I55" s="1">
        <v>42863.53087962963</v>
      </c>
      <c r="J55" t="str">
        <f>"17"</f>
        <v>17</v>
      </c>
      <c r="K55" t="s">
        <v>47</v>
      </c>
      <c r="L55" s="1">
        <v>42863.533402777779</v>
      </c>
      <c r="M55" t="str">
        <f>"18"</f>
        <v>18</v>
      </c>
      <c r="N55" t="s">
        <v>39</v>
      </c>
      <c r="O55" t="str">
        <f>"22"</f>
        <v>22</v>
      </c>
      <c r="P55" t="str">
        <f>"25"</f>
        <v>25</v>
      </c>
      <c r="Q55" t="str">
        <f>"22"</f>
        <v>22</v>
      </c>
      <c r="R55" t="str">
        <f t="shared" si="24"/>
        <v>3</v>
      </c>
    </row>
    <row r="56" spans="1:18" x14ac:dyDescent="0.25">
      <c r="A56" t="s">
        <v>52</v>
      </c>
      <c r="B56" t="str">
        <f t="shared" si="22"/>
        <v>47000</v>
      </c>
      <c r="C56" t="str">
        <f>"2821380815"</f>
        <v>2821380815</v>
      </c>
      <c r="D56" s="2">
        <v>1</v>
      </c>
      <c r="E56" s="3" t="s">
        <v>56</v>
      </c>
      <c r="F56" s="2" t="str">
        <f t="shared" si="23"/>
        <v>1133</v>
      </c>
      <c r="G56" s="2">
        <v>101</v>
      </c>
      <c r="H56" s="2" t="s">
        <v>24</v>
      </c>
      <c r="I56" s="1">
        <v>42863.579618055555</v>
      </c>
      <c r="J56" t="str">
        <f>"18"</f>
        <v>18</v>
      </c>
      <c r="K56" t="s">
        <v>39</v>
      </c>
      <c r="L56" s="1">
        <v>42863.661944444444</v>
      </c>
      <c r="M56" t="str">
        <f>"1"</f>
        <v>1</v>
      </c>
      <c r="N56" t="s">
        <v>19</v>
      </c>
      <c r="O56" t="str">
        <f>"78"</f>
        <v>78</v>
      </c>
      <c r="P56" t="str">
        <f>"89"</f>
        <v>89</v>
      </c>
      <c r="Q56" t="str">
        <f>"78"</f>
        <v>78</v>
      </c>
      <c r="R56" t="str">
        <f>"11"</f>
        <v>11</v>
      </c>
    </row>
    <row r="57" spans="1:18" x14ac:dyDescent="0.25">
      <c r="A57" t="s">
        <v>52</v>
      </c>
      <c r="B57" t="str">
        <f t="shared" si="22"/>
        <v>47000</v>
      </c>
      <c r="C57" t="str">
        <f>"2116105448"</f>
        <v>2116105448</v>
      </c>
      <c r="D57" s="2">
        <v>0</v>
      </c>
      <c r="E57" s="3" t="s">
        <v>51</v>
      </c>
      <c r="F57" s="2" t="str">
        <f t="shared" si="23"/>
        <v>1133</v>
      </c>
      <c r="G57" s="2">
        <v>101</v>
      </c>
      <c r="H57" s="2" t="s">
        <v>24</v>
      </c>
      <c r="I57" s="1">
        <v>42863.579652777778</v>
      </c>
      <c r="J57" t="str">
        <f>"18"</f>
        <v>18</v>
      </c>
      <c r="K57" t="s">
        <v>39</v>
      </c>
      <c r="L57" s="1">
        <v>42863.661909722221</v>
      </c>
      <c r="M57" t="str">
        <f>"1"</f>
        <v>1</v>
      </c>
      <c r="N57" t="s">
        <v>19</v>
      </c>
      <c r="O57" t="str">
        <f>"155"</f>
        <v>155</v>
      </c>
      <c r="P57" t="str">
        <f>"177"</f>
        <v>177</v>
      </c>
      <c r="Q57" t="str">
        <f>"155"</f>
        <v>155</v>
      </c>
      <c r="R57" t="str">
        <f>"22"</f>
        <v>22</v>
      </c>
    </row>
    <row r="58" spans="1:18" x14ac:dyDescent="0.25">
      <c r="A58" t="s">
        <v>52</v>
      </c>
      <c r="B58" t="str">
        <f t="shared" si="22"/>
        <v>47000</v>
      </c>
      <c r="C58" t="str">
        <f>"715872837"</f>
        <v>715872837</v>
      </c>
      <c r="D58" s="2">
        <v>0</v>
      </c>
      <c r="E58" s="3" t="s">
        <v>51</v>
      </c>
      <c r="F58" s="2" t="str">
        <f t="shared" si="23"/>
        <v>1133</v>
      </c>
      <c r="G58" s="2">
        <v>101</v>
      </c>
      <c r="H58" s="2" t="s">
        <v>24</v>
      </c>
      <c r="I58" s="1">
        <v>42863.581643518519</v>
      </c>
      <c r="J58" t="str">
        <f>"18"</f>
        <v>18</v>
      </c>
      <c r="K58" t="s">
        <v>39</v>
      </c>
      <c r="L58" s="1">
        <v>42863.588900462964</v>
      </c>
      <c r="M58" t="str">
        <f>"17"</f>
        <v>17</v>
      </c>
      <c r="N58" t="s">
        <v>47</v>
      </c>
      <c r="O58" t="str">
        <f>"22"</f>
        <v>22</v>
      </c>
      <c r="P58" t="str">
        <f>"25"</f>
        <v>25</v>
      </c>
      <c r="Q58" t="str">
        <f>"22"</f>
        <v>22</v>
      </c>
      <c r="R58" t="str">
        <f>"3"</f>
        <v>3</v>
      </c>
    </row>
    <row r="59" spans="1:18" x14ac:dyDescent="0.25">
      <c r="A59" t="s">
        <v>52</v>
      </c>
      <c r="B59" t="str">
        <f t="shared" si="22"/>
        <v>47000</v>
      </c>
      <c r="C59" t="str">
        <f>"754400485"</f>
        <v>754400485</v>
      </c>
      <c r="D59" s="2">
        <v>0</v>
      </c>
      <c r="E59" s="3" t="s">
        <v>51</v>
      </c>
      <c r="F59" s="2" t="str">
        <f t="shared" si="23"/>
        <v>1133</v>
      </c>
      <c r="G59" s="2">
        <v>101</v>
      </c>
      <c r="H59" s="2" t="s">
        <v>24</v>
      </c>
      <c r="I59" s="1">
        <v>42863.611527777779</v>
      </c>
      <c r="J59" t="str">
        <f>"14"</f>
        <v>14</v>
      </c>
      <c r="K59" t="s">
        <v>43</v>
      </c>
      <c r="L59" s="1">
        <v>42863.661979166667</v>
      </c>
      <c r="M59" t="str">
        <f>"1"</f>
        <v>1</v>
      </c>
      <c r="N59" t="s">
        <v>19</v>
      </c>
      <c r="O59" t="str">
        <f>"97"</f>
        <v>97</v>
      </c>
      <c r="P59" t="str">
        <f>"110"</f>
        <v>110</v>
      </c>
      <c r="Q59" t="str">
        <f>"97"</f>
        <v>97</v>
      </c>
      <c r="R59" t="str">
        <f>"13"</f>
        <v>13</v>
      </c>
    </row>
    <row r="60" spans="1:18" x14ac:dyDescent="0.25">
      <c r="A60" t="s">
        <v>52</v>
      </c>
      <c r="B60" t="str">
        <f t="shared" si="22"/>
        <v>47000</v>
      </c>
      <c r="C60" t="str">
        <f>"777483941"</f>
        <v>777483941</v>
      </c>
      <c r="D60" s="2">
        <v>0</v>
      </c>
      <c r="E60" s="3" t="s">
        <v>51</v>
      </c>
      <c r="F60" s="2" t="str">
        <f t="shared" si="23"/>
        <v>1133</v>
      </c>
      <c r="G60" s="2">
        <v>101</v>
      </c>
      <c r="H60" s="2" t="s">
        <v>24</v>
      </c>
      <c r="I60" s="1">
        <v>42863.63653935185</v>
      </c>
      <c r="J60" t="str">
        <f>"6"</f>
        <v>6</v>
      </c>
      <c r="K60" t="s">
        <v>32</v>
      </c>
      <c r="L60" s="1">
        <v>42863.662210648145</v>
      </c>
      <c r="M60" t="str">
        <f>"1"</f>
        <v>1</v>
      </c>
      <c r="N60" t="s">
        <v>19</v>
      </c>
      <c r="O60" t="str">
        <f>"33"</f>
        <v>33</v>
      </c>
      <c r="P60" t="str">
        <f>"38"</f>
        <v>38</v>
      </c>
      <c r="Q60" t="str">
        <f>"33"</f>
        <v>33</v>
      </c>
      <c r="R60" t="str">
        <f>"5"</f>
        <v>5</v>
      </c>
    </row>
    <row r="61" spans="1:18" x14ac:dyDescent="0.25">
      <c r="A61" t="s">
        <v>52</v>
      </c>
      <c r="B61" t="str">
        <f t="shared" si="22"/>
        <v>47000</v>
      </c>
      <c r="C61" t="str">
        <f>"4026006932"</f>
        <v>4026006932</v>
      </c>
      <c r="D61" s="2">
        <v>0</v>
      </c>
      <c r="E61" s="3" t="s">
        <v>51</v>
      </c>
      <c r="F61" s="2" t="str">
        <f t="shared" ref="F61:F72" si="25">"1141"</f>
        <v>1141</v>
      </c>
      <c r="G61" s="2">
        <v>191</v>
      </c>
      <c r="H61" s="2" t="s">
        <v>37</v>
      </c>
      <c r="I61" s="1">
        <v>42863.358842592592</v>
      </c>
      <c r="J61" t="str">
        <f t="shared" ref="J61:J65" si="26">"1"</f>
        <v>1</v>
      </c>
      <c r="K61" t="s">
        <v>19</v>
      </c>
      <c r="L61" s="1">
        <v>42863.572997685187</v>
      </c>
      <c r="M61" t="str">
        <f>"29"</f>
        <v>29</v>
      </c>
      <c r="N61" t="s">
        <v>40</v>
      </c>
      <c r="O61" t="str">
        <f>"387"</f>
        <v>387</v>
      </c>
      <c r="P61" t="str">
        <f>"440"</f>
        <v>440</v>
      </c>
      <c r="Q61" t="str">
        <f>"387"</f>
        <v>387</v>
      </c>
      <c r="R61" t="str">
        <f>"53"</f>
        <v>53</v>
      </c>
    </row>
    <row r="62" spans="1:18" x14ac:dyDescent="0.25">
      <c r="A62" t="s">
        <v>52</v>
      </c>
      <c r="B62" t="str">
        <f t="shared" si="22"/>
        <v>47000</v>
      </c>
      <c r="C62" t="str">
        <f>"793651925"</f>
        <v>793651925</v>
      </c>
      <c r="D62" s="2">
        <v>1</v>
      </c>
      <c r="E62" s="3" t="s">
        <v>56</v>
      </c>
      <c r="F62" s="2" t="str">
        <f t="shared" si="25"/>
        <v>1141</v>
      </c>
      <c r="G62" s="2">
        <v>191</v>
      </c>
      <c r="H62" s="2" t="s">
        <v>37</v>
      </c>
      <c r="I62" s="1">
        <v>42863.359085648146</v>
      </c>
      <c r="J62" t="str">
        <f t="shared" si="26"/>
        <v>1</v>
      </c>
      <c r="K62" t="s">
        <v>19</v>
      </c>
      <c r="L62" s="1">
        <v>42863.366099537037</v>
      </c>
      <c r="M62" t="str">
        <f>"1"</f>
        <v>1</v>
      </c>
      <c r="N62" t="s">
        <v>19</v>
      </c>
      <c r="O62" t="str">
        <f>"11"</f>
        <v>11</v>
      </c>
      <c r="P62" t="str">
        <f>"12"</f>
        <v>12</v>
      </c>
      <c r="Q62" t="str">
        <f>"11"</f>
        <v>11</v>
      </c>
      <c r="R62" t="str">
        <f>"1"</f>
        <v>1</v>
      </c>
    </row>
    <row r="63" spans="1:18" x14ac:dyDescent="0.25">
      <c r="A63" t="s">
        <v>52</v>
      </c>
      <c r="B63" t="str">
        <f t="shared" si="22"/>
        <v>47000</v>
      </c>
      <c r="C63" t="str">
        <f>"1683620496"</f>
        <v>1683620496</v>
      </c>
      <c r="D63" s="2">
        <v>1</v>
      </c>
      <c r="E63" s="3" t="s">
        <v>56</v>
      </c>
      <c r="F63" s="2" t="str">
        <f t="shared" si="25"/>
        <v>1141</v>
      </c>
      <c r="G63" s="2">
        <v>191</v>
      </c>
      <c r="H63" s="2" t="s">
        <v>37</v>
      </c>
      <c r="I63" s="1">
        <v>42863.359490740739</v>
      </c>
      <c r="J63" t="str">
        <f t="shared" si="26"/>
        <v>1</v>
      </c>
      <c r="K63" t="s">
        <v>19</v>
      </c>
      <c r="L63" s="1">
        <v>42863.383668981478</v>
      </c>
      <c r="M63" t="str">
        <f>"5"</f>
        <v>5</v>
      </c>
      <c r="N63" t="s">
        <v>34</v>
      </c>
      <c r="O63" t="str">
        <f>"15"</f>
        <v>15</v>
      </c>
      <c r="P63" t="str">
        <f>"17"</f>
        <v>17</v>
      </c>
      <c r="Q63" t="str">
        <f>"15"</f>
        <v>15</v>
      </c>
      <c r="R63" t="str">
        <f>"2"</f>
        <v>2</v>
      </c>
    </row>
    <row r="64" spans="1:18" x14ac:dyDescent="0.25">
      <c r="A64" t="s">
        <v>52</v>
      </c>
      <c r="B64" t="str">
        <f t="shared" ref="B64:B78" si="27">"47000"</f>
        <v>47000</v>
      </c>
      <c r="C64" t="str">
        <f>"63770369"</f>
        <v>63770369</v>
      </c>
      <c r="D64" s="2">
        <v>0</v>
      </c>
      <c r="E64" s="3" t="s">
        <v>51</v>
      </c>
      <c r="F64" s="2" t="str">
        <f t="shared" si="25"/>
        <v>1141</v>
      </c>
      <c r="G64" s="2">
        <v>191</v>
      </c>
      <c r="H64" s="2" t="s">
        <v>37</v>
      </c>
      <c r="I64" s="1">
        <v>42863.359560185185</v>
      </c>
      <c r="J64" t="str">
        <f t="shared" si="26"/>
        <v>1</v>
      </c>
      <c r="K64" t="s">
        <v>19</v>
      </c>
      <c r="L64" s="1">
        <v>42863.366203703707</v>
      </c>
      <c r="M64" t="str">
        <f>"1"</f>
        <v>1</v>
      </c>
      <c r="N64" t="s">
        <v>19</v>
      </c>
      <c r="O64" t="str">
        <f>"21"</f>
        <v>21</v>
      </c>
      <c r="P64" t="str">
        <f>"24"</f>
        <v>24</v>
      </c>
      <c r="Q64" t="str">
        <f>"21"</f>
        <v>21</v>
      </c>
      <c r="R64" t="str">
        <f>"3"</f>
        <v>3</v>
      </c>
    </row>
    <row r="65" spans="1:18" x14ac:dyDescent="0.25">
      <c r="A65" t="s">
        <v>52</v>
      </c>
      <c r="B65" t="str">
        <f t="shared" si="27"/>
        <v>47000</v>
      </c>
      <c r="C65" t="str">
        <f>"1633926517"</f>
        <v>1633926517</v>
      </c>
      <c r="D65" s="2">
        <v>0</v>
      </c>
      <c r="E65" s="3" t="s">
        <v>51</v>
      </c>
      <c r="F65" s="2" t="str">
        <f t="shared" si="25"/>
        <v>1141</v>
      </c>
      <c r="G65" s="2">
        <v>191</v>
      </c>
      <c r="H65" s="2" t="s">
        <v>37</v>
      </c>
      <c r="I65" s="1">
        <v>42863.359826388885</v>
      </c>
      <c r="J65" t="str">
        <f t="shared" si="26"/>
        <v>1</v>
      </c>
      <c r="K65" t="s">
        <v>19</v>
      </c>
      <c r="L65" s="1">
        <v>42863.38653935185</v>
      </c>
      <c r="M65" t="str">
        <f>"6"</f>
        <v>6</v>
      </c>
      <c r="N65" t="s">
        <v>32</v>
      </c>
      <c r="O65" t="str">
        <f>"33"</f>
        <v>33</v>
      </c>
      <c r="P65" t="str">
        <f>"38"</f>
        <v>38</v>
      </c>
      <c r="Q65" t="str">
        <f>"33"</f>
        <v>33</v>
      </c>
      <c r="R65" t="str">
        <f>"5"</f>
        <v>5</v>
      </c>
    </row>
    <row r="66" spans="1:18" x14ac:dyDescent="0.25">
      <c r="A66" t="s">
        <v>52</v>
      </c>
      <c r="B66" t="str">
        <f t="shared" si="27"/>
        <v>47000</v>
      </c>
      <c r="C66" t="str">
        <f>"661255045"</f>
        <v>661255045</v>
      </c>
      <c r="D66" s="2">
        <v>0</v>
      </c>
      <c r="E66" s="3" t="s">
        <v>51</v>
      </c>
      <c r="F66" s="2" t="str">
        <f t="shared" si="25"/>
        <v>1141</v>
      </c>
      <c r="G66" s="2">
        <v>191</v>
      </c>
      <c r="H66" s="2" t="s">
        <v>37</v>
      </c>
      <c r="I66" s="1">
        <v>42863.62027777778</v>
      </c>
      <c r="J66" t="str">
        <f>"29"</f>
        <v>29</v>
      </c>
      <c r="K66" t="s">
        <v>40</v>
      </c>
      <c r="L66" s="1">
        <v>42863.772256944445</v>
      </c>
      <c r="M66" t="str">
        <f>"11"</f>
        <v>11</v>
      </c>
      <c r="N66" t="s">
        <v>35</v>
      </c>
      <c r="O66" t="str">
        <f>"317"</f>
        <v>317</v>
      </c>
      <c r="P66" t="str">
        <f>"361"</f>
        <v>361</v>
      </c>
      <c r="Q66" t="str">
        <f>"317"</f>
        <v>317</v>
      </c>
      <c r="R66" t="str">
        <f>"44"</f>
        <v>44</v>
      </c>
    </row>
    <row r="67" spans="1:18" x14ac:dyDescent="0.25">
      <c r="A67" t="s">
        <v>52</v>
      </c>
      <c r="B67" t="str">
        <f t="shared" si="27"/>
        <v>47000</v>
      </c>
      <c r="C67" t="str">
        <f>"3827400047"</f>
        <v>3827400047</v>
      </c>
      <c r="D67" s="2">
        <v>0</v>
      </c>
      <c r="E67" s="3" t="s">
        <v>51</v>
      </c>
      <c r="F67" s="2" t="str">
        <f t="shared" si="25"/>
        <v>1141</v>
      </c>
      <c r="G67" s="2">
        <v>191</v>
      </c>
      <c r="H67" s="2" t="s">
        <v>37</v>
      </c>
      <c r="I67" s="1">
        <v>42863.620879629627</v>
      </c>
      <c r="J67" t="str">
        <f>"29"</f>
        <v>29</v>
      </c>
      <c r="K67" t="s">
        <v>40</v>
      </c>
      <c r="L67" s="1">
        <v>42863.668217592596</v>
      </c>
      <c r="M67" t="str">
        <f>"24"</f>
        <v>24</v>
      </c>
      <c r="N67" t="s">
        <v>48</v>
      </c>
      <c r="O67" t="str">
        <f>"148"</f>
        <v>148</v>
      </c>
      <c r="P67" t="str">
        <f>"168"</f>
        <v>168</v>
      </c>
      <c r="Q67" t="str">
        <f>"148"</f>
        <v>148</v>
      </c>
      <c r="R67" t="str">
        <f>"20"</f>
        <v>20</v>
      </c>
    </row>
    <row r="68" spans="1:18" x14ac:dyDescent="0.25">
      <c r="A68" t="s">
        <v>52</v>
      </c>
      <c r="B68" t="str">
        <f t="shared" si="27"/>
        <v>47000</v>
      </c>
      <c r="C68" t="str">
        <f>"657260943"</f>
        <v>657260943</v>
      </c>
      <c r="D68" s="2">
        <v>0</v>
      </c>
      <c r="E68" s="3" t="s">
        <v>51</v>
      </c>
      <c r="F68" s="2" t="str">
        <f t="shared" si="25"/>
        <v>1141</v>
      </c>
      <c r="G68" s="2">
        <v>191</v>
      </c>
      <c r="H68" s="2" t="s">
        <v>37</v>
      </c>
      <c r="I68" s="1">
        <v>42863.620937500003</v>
      </c>
      <c r="J68" t="str">
        <f>"29"</f>
        <v>29</v>
      </c>
      <c r="K68" t="s">
        <v>40</v>
      </c>
      <c r="L68" s="1">
        <v>42863.668020833335</v>
      </c>
      <c r="M68" t="str">
        <f>"24"</f>
        <v>24</v>
      </c>
      <c r="N68" t="s">
        <v>48</v>
      </c>
      <c r="O68" t="str">
        <f>"148"</f>
        <v>148</v>
      </c>
      <c r="P68" t="str">
        <f>"168"</f>
        <v>168</v>
      </c>
      <c r="Q68" t="str">
        <f>"148"</f>
        <v>148</v>
      </c>
      <c r="R68" t="str">
        <f>"20"</f>
        <v>20</v>
      </c>
    </row>
    <row r="69" spans="1:18" x14ac:dyDescent="0.25">
      <c r="A69" t="s">
        <v>52</v>
      </c>
      <c r="B69" t="str">
        <f t="shared" si="27"/>
        <v>47000</v>
      </c>
      <c r="C69" t="str">
        <f>"4263606205"</f>
        <v>4263606205</v>
      </c>
      <c r="D69" s="2">
        <v>0</v>
      </c>
      <c r="E69" s="3" t="s">
        <v>51</v>
      </c>
      <c r="F69" s="2" t="str">
        <f t="shared" si="25"/>
        <v>1141</v>
      </c>
      <c r="G69" s="2">
        <v>191</v>
      </c>
      <c r="H69" s="2" t="s">
        <v>37</v>
      </c>
      <c r="I69" s="1">
        <v>42863.668761574074</v>
      </c>
      <c r="J69" t="str">
        <f>"25"</f>
        <v>25</v>
      </c>
      <c r="K69" t="s">
        <v>45</v>
      </c>
      <c r="L69" s="1">
        <v>42863.748842592591</v>
      </c>
      <c r="M69" t="str">
        <f>"18"</f>
        <v>18</v>
      </c>
      <c r="N69" t="s">
        <v>39</v>
      </c>
      <c r="O69" t="str">
        <f>"161"</f>
        <v>161</v>
      </c>
      <c r="P69" t="str">
        <f>"183"</f>
        <v>183</v>
      </c>
      <c r="Q69" t="str">
        <f>"161"</f>
        <v>161</v>
      </c>
      <c r="R69" t="str">
        <f>"22"</f>
        <v>22</v>
      </c>
    </row>
    <row r="70" spans="1:18" x14ac:dyDescent="0.25">
      <c r="A70" t="s">
        <v>53</v>
      </c>
      <c r="B70" t="str">
        <f t="shared" si="27"/>
        <v>47000</v>
      </c>
      <c r="C70" t="str">
        <f>"82451900"</f>
        <v>82451900</v>
      </c>
      <c r="D70" s="2" t="s">
        <v>21</v>
      </c>
      <c r="E70" s="3" t="s">
        <v>59</v>
      </c>
      <c r="F70" s="2" t="str">
        <f t="shared" si="25"/>
        <v>1141</v>
      </c>
      <c r="G70" s="2">
        <v>191</v>
      </c>
      <c r="H70" s="2" t="s">
        <v>37</v>
      </c>
      <c r="I70" s="1">
        <v>42863.66878472222</v>
      </c>
      <c r="J70" t="str">
        <f>"25"</f>
        <v>25</v>
      </c>
      <c r="K70" t="s">
        <v>45</v>
      </c>
      <c r="L70" s="1">
        <v>42863.748784722222</v>
      </c>
      <c r="M70" t="str">
        <f>"18"</f>
        <v>18</v>
      </c>
      <c r="N70" t="s">
        <v>39</v>
      </c>
      <c r="O70" t="str">
        <f>"161"</f>
        <v>161</v>
      </c>
      <c r="P70" t="str">
        <f>"183"</f>
        <v>183</v>
      </c>
      <c r="Q70" t="str">
        <f>"161"</f>
        <v>161</v>
      </c>
      <c r="R70" t="str">
        <f>"22"</f>
        <v>22</v>
      </c>
    </row>
    <row r="71" spans="1:18" x14ac:dyDescent="0.25">
      <c r="A71" t="s">
        <v>52</v>
      </c>
      <c r="B71" t="str">
        <f t="shared" si="27"/>
        <v>47000</v>
      </c>
      <c r="C71" t="str">
        <f>"247787425"</f>
        <v>247787425</v>
      </c>
      <c r="D71" s="2">
        <v>0</v>
      </c>
      <c r="E71" s="3" t="s">
        <v>51</v>
      </c>
      <c r="F71" s="2" t="str">
        <f t="shared" si="25"/>
        <v>1141</v>
      </c>
      <c r="G71" s="2">
        <v>191</v>
      </c>
      <c r="H71" s="2" t="s">
        <v>37</v>
      </c>
      <c r="I71" s="1">
        <v>42863.749143518522</v>
      </c>
      <c r="J71" t="str">
        <f>"18"</f>
        <v>18</v>
      </c>
      <c r="K71" t="s">
        <v>39</v>
      </c>
      <c r="L71" s="1">
        <v>42863.802152777775</v>
      </c>
      <c r="M71" t="str">
        <f>"1"</f>
        <v>1</v>
      </c>
      <c r="N71" t="s">
        <v>19</v>
      </c>
      <c r="O71" t="str">
        <f>"137"</f>
        <v>137</v>
      </c>
      <c r="P71" t="str">
        <f>"156"</f>
        <v>156</v>
      </c>
      <c r="Q71" t="str">
        <f>"137"</f>
        <v>137</v>
      </c>
      <c r="R71" t="str">
        <f>"19"</f>
        <v>19</v>
      </c>
    </row>
    <row r="72" spans="1:18" x14ac:dyDescent="0.25">
      <c r="A72" t="s">
        <v>52</v>
      </c>
      <c r="B72" t="str">
        <f t="shared" si="27"/>
        <v>47000</v>
      </c>
      <c r="C72" t="str">
        <f>"45363857"</f>
        <v>45363857</v>
      </c>
      <c r="D72" s="2">
        <v>0</v>
      </c>
      <c r="E72" s="3" t="s">
        <v>51</v>
      </c>
      <c r="F72" s="2" t="str">
        <f t="shared" si="25"/>
        <v>1141</v>
      </c>
      <c r="G72" s="2">
        <v>191</v>
      </c>
      <c r="H72" s="2" t="s">
        <v>37</v>
      </c>
      <c r="I72" s="1">
        <v>42863.773310185185</v>
      </c>
      <c r="J72" t="str">
        <f>"11"</f>
        <v>11</v>
      </c>
      <c r="K72" t="s">
        <v>35</v>
      </c>
      <c r="L72" s="1">
        <v>42863.7893287037</v>
      </c>
      <c r="M72" t="str">
        <f>"4"</f>
        <v>4</v>
      </c>
      <c r="N72" t="s">
        <v>41</v>
      </c>
      <c r="O72" t="str">
        <f>"41"</f>
        <v>41</v>
      </c>
      <c r="P72" t="str">
        <f>"47"</f>
        <v>47</v>
      </c>
      <c r="Q72" t="str">
        <f>"41"</f>
        <v>41</v>
      </c>
      <c r="R72" t="str">
        <f>"6"</f>
        <v>6</v>
      </c>
    </row>
    <row r="73" spans="1:18" x14ac:dyDescent="0.25">
      <c r="A73" t="s">
        <v>52</v>
      </c>
      <c r="B73" t="str">
        <f t="shared" si="27"/>
        <v>47000</v>
      </c>
      <c r="C73" t="str">
        <f>"228579855"</f>
        <v>228579855</v>
      </c>
      <c r="D73" s="2">
        <v>0</v>
      </c>
      <c r="E73" s="3" t="s">
        <v>51</v>
      </c>
      <c r="F73" s="2" t="str">
        <f t="shared" ref="F73:F78" si="28">"1126"</f>
        <v>1126</v>
      </c>
      <c r="G73" s="2">
        <v>191</v>
      </c>
      <c r="H73" s="2" t="s">
        <v>37</v>
      </c>
      <c r="I73" s="1">
        <v>42864.275578703702</v>
      </c>
      <c r="J73" t="str">
        <f>"1"</f>
        <v>1</v>
      </c>
      <c r="K73" t="s">
        <v>19</v>
      </c>
      <c r="L73" s="1">
        <v>42864.28565972222</v>
      </c>
      <c r="M73" t="str">
        <f>"2"</f>
        <v>2</v>
      </c>
      <c r="N73" t="s">
        <v>26</v>
      </c>
      <c r="O73" t="str">
        <f t="shared" ref="O73" si="29">"21"</f>
        <v>21</v>
      </c>
      <c r="P73" t="str">
        <f t="shared" ref="P73" si="30">"24"</f>
        <v>24</v>
      </c>
      <c r="Q73" t="str">
        <f t="shared" ref="Q73" si="31">"21"</f>
        <v>21</v>
      </c>
      <c r="R73" t="str">
        <f t="shared" ref="R73" si="32">"3"</f>
        <v>3</v>
      </c>
    </row>
    <row r="74" spans="1:18" x14ac:dyDescent="0.25">
      <c r="A74" t="s">
        <v>52</v>
      </c>
      <c r="B74" t="str">
        <f t="shared" si="27"/>
        <v>47000</v>
      </c>
      <c r="C74" t="str">
        <f>"794623557"</f>
        <v>794623557</v>
      </c>
      <c r="D74" s="2">
        <v>8</v>
      </c>
      <c r="E74" s="3" t="s">
        <v>54</v>
      </c>
      <c r="F74" s="2" t="str">
        <f t="shared" si="28"/>
        <v>1126</v>
      </c>
      <c r="G74" s="2">
        <v>191</v>
      </c>
      <c r="H74" s="2" t="s">
        <v>37</v>
      </c>
      <c r="I74" s="1">
        <v>42864.289375</v>
      </c>
      <c r="J74" t="str">
        <f>"3"</f>
        <v>3</v>
      </c>
      <c r="K74" t="s">
        <v>30</v>
      </c>
      <c r="L74" s="1">
        <v>42864.316759259258</v>
      </c>
      <c r="M74" t="str">
        <f>"13"</f>
        <v>13</v>
      </c>
      <c r="N74" t="s">
        <v>27</v>
      </c>
      <c r="O74" t="str">
        <f>"31"</f>
        <v>31</v>
      </c>
      <c r="P74" t="str">
        <f>"35"</f>
        <v>35</v>
      </c>
      <c r="Q74" t="str">
        <f>"31"</f>
        <v>31</v>
      </c>
      <c r="R74" t="str">
        <f>"4"</f>
        <v>4</v>
      </c>
    </row>
    <row r="75" spans="1:18" x14ac:dyDescent="0.25">
      <c r="A75" t="s">
        <v>52</v>
      </c>
      <c r="B75" t="str">
        <f t="shared" si="27"/>
        <v>47000</v>
      </c>
      <c r="C75" t="str">
        <f>"2015346768"</f>
        <v>2015346768</v>
      </c>
      <c r="D75" s="2">
        <v>5</v>
      </c>
      <c r="E75" s="3" t="s">
        <v>58</v>
      </c>
      <c r="F75" s="2" t="str">
        <f t="shared" si="28"/>
        <v>1126</v>
      </c>
      <c r="G75" s="2">
        <v>191</v>
      </c>
      <c r="H75" s="2" t="s">
        <v>37</v>
      </c>
      <c r="I75" s="1">
        <v>42864.380532407406</v>
      </c>
      <c r="J75" t="str">
        <f>"18"</f>
        <v>18</v>
      </c>
      <c r="K75" t="s">
        <v>39</v>
      </c>
      <c r="L75" s="1">
        <v>42864.442395833335</v>
      </c>
      <c r="M75" t="str">
        <f>"1"</f>
        <v>1</v>
      </c>
      <c r="N75" t="s">
        <v>19</v>
      </c>
      <c r="O75" t="str">
        <f>"137"</f>
        <v>137</v>
      </c>
      <c r="P75" t="str">
        <f>"156"</f>
        <v>156</v>
      </c>
      <c r="Q75" t="str">
        <f>"137"</f>
        <v>137</v>
      </c>
      <c r="R75" t="str">
        <f>"19"</f>
        <v>19</v>
      </c>
    </row>
    <row r="76" spans="1:18" x14ac:dyDescent="0.25">
      <c r="A76" t="s">
        <v>53</v>
      </c>
      <c r="B76" t="str">
        <f t="shared" si="27"/>
        <v>47000</v>
      </c>
      <c r="C76" t="str">
        <f>"82451900"</f>
        <v>82451900</v>
      </c>
      <c r="D76" s="2" t="s">
        <v>21</v>
      </c>
      <c r="E76" s="3" t="s">
        <v>59</v>
      </c>
      <c r="F76" s="2" t="str">
        <f t="shared" si="28"/>
        <v>1126</v>
      </c>
      <c r="G76" s="2">
        <v>191</v>
      </c>
      <c r="H76" s="2" t="s">
        <v>37</v>
      </c>
      <c r="I76" s="1">
        <v>42864.381284722222</v>
      </c>
      <c r="J76" t="str">
        <f>"18"</f>
        <v>18</v>
      </c>
      <c r="K76" t="s">
        <v>39</v>
      </c>
      <c r="L76" s="1">
        <v>42864.383564814816</v>
      </c>
      <c r="M76" t="str">
        <f>"17"</f>
        <v>17</v>
      </c>
      <c r="N76" t="s">
        <v>47</v>
      </c>
      <c r="O76" t="str">
        <f>"22"</f>
        <v>22</v>
      </c>
      <c r="P76" t="str">
        <f>"25"</f>
        <v>25</v>
      </c>
      <c r="Q76" t="str">
        <f>"22"</f>
        <v>22</v>
      </c>
      <c r="R76" t="str">
        <f>"3"</f>
        <v>3</v>
      </c>
    </row>
    <row r="77" spans="1:18" x14ac:dyDescent="0.25">
      <c r="A77" t="s">
        <v>52</v>
      </c>
      <c r="B77" t="str">
        <f t="shared" si="27"/>
        <v>47000</v>
      </c>
      <c r="C77" t="str">
        <f>"4263606205"</f>
        <v>4263606205</v>
      </c>
      <c r="D77" s="2">
        <v>0</v>
      </c>
      <c r="E77" s="3" t="s">
        <v>51</v>
      </c>
      <c r="F77" s="2" t="str">
        <f t="shared" si="28"/>
        <v>1126</v>
      </c>
      <c r="G77" s="2">
        <v>191</v>
      </c>
      <c r="H77" s="2" t="s">
        <v>37</v>
      </c>
      <c r="I77" s="1">
        <v>42864.381319444445</v>
      </c>
      <c r="J77" t="str">
        <f>"18"</f>
        <v>18</v>
      </c>
      <c r="K77" t="s">
        <v>39</v>
      </c>
      <c r="L77" s="1">
        <v>42864.38354166667</v>
      </c>
      <c r="M77" t="str">
        <f>"17"</f>
        <v>17</v>
      </c>
      <c r="N77" t="s">
        <v>47</v>
      </c>
      <c r="O77" t="str">
        <f>"22"</f>
        <v>22</v>
      </c>
      <c r="P77" t="str">
        <f>"25"</f>
        <v>25</v>
      </c>
      <c r="Q77" t="str">
        <f>"22"</f>
        <v>22</v>
      </c>
      <c r="R77" t="str">
        <f>"3"</f>
        <v>3</v>
      </c>
    </row>
    <row r="78" spans="1:18" x14ac:dyDescent="0.25">
      <c r="A78" t="s">
        <v>52</v>
      </c>
      <c r="B78" t="str">
        <f t="shared" si="27"/>
        <v>47000</v>
      </c>
      <c r="C78" t="str">
        <f>"1552611439"</f>
        <v>1552611439</v>
      </c>
      <c r="D78" s="2">
        <v>0</v>
      </c>
      <c r="E78" s="3" t="s">
        <v>51</v>
      </c>
      <c r="F78" s="2" t="str">
        <f t="shared" si="28"/>
        <v>1126</v>
      </c>
      <c r="G78" s="2">
        <v>191</v>
      </c>
      <c r="H78" s="2" t="s">
        <v>37</v>
      </c>
      <c r="I78" s="1">
        <v>42864.384664351855</v>
      </c>
      <c r="J78" t="str">
        <f>"17"</f>
        <v>17</v>
      </c>
      <c r="K78" t="s">
        <v>47</v>
      </c>
      <c r="L78" s="1">
        <v>42864.442662037036</v>
      </c>
      <c r="M78" t="str">
        <f>"1"</f>
        <v>1</v>
      </c>
      <c r="N78" t="s">
        <v>19</v>
      </c>
      <c r="O78" t="str">
        <f>"131"</f>
        <v>131</v>
      </c>
      <c r="P78" t="str">
        <f>"149"</f>
        <v>149</v>
      </c>
      <c r="Q78" t="str">
        <f>"131"</f>
        <v>131</v>
      </c>
      <c r="R78" t="str">
        <f>"18"</f>
        <v>18</v>
      </c>
    </row>
    <row r="79" spans="1:18" x14ac:dyDescent="0.25">
      <c r="A79" t="s">
        <v>52</v>
      </c>
      <c r="B79" t="str">
        <f t="shared" ref="B79:B84" si="33">"47000"</f>
        <v>47000</v>
      </c>
      <c r="C79" t="str">
        <f>"4272974717"</f>
        <v>4272974717</v>
      </c>
      <c r="D79" s="2">
        <v>0</v>
      </c>
      <c r="E79" s="3" t="s">
        <v>51</v>
      </c>
      <c r="F79" s="2" t="str">
        <f t="shared" ref="F79:F84" si="34">"1133"</f>
        <v>1133</v>
      </c>
      <c r="G79" s="2">
        <v>247</v>
      </c>
      <c r="H79" s="2" t="s">
        <v>18</v>
      </c>
      <c r="I79" s="1">
        <v>42865.574108796296</v>
      </c>
      <c r="J79" t="str">
        <f>"1"</f>
        <v>1</v>
      </c>
      <c r="K79" t="s">
        <v>19</v>
      </c>
      <c r="L79" s="1">
        <v>42865.586284722223</v>
      </c>
      <c r="M79" t="str">
        <f>"1"</f>
        <v>1</v>
      </c>
      <c r="N79" t="s">
        <v>19</v>
      </c>
      <c r="O79" t="str">
        <f>"21"</f>
        <v>21</v>
      </c>
      <c r="P79" t="str">
        <f>"24"</f>
        <v>24</v>
      </c>
      <c r="Q79" t="str">
        <f>"21"</f>
        <v>21</v>
      </c>
      <c r="R79" t="str">
        <f>"3"</f>
        <v>3</v>
      </c>
    </row>
    <row r="80" spans="1:18" x14ac:dyDescent="0.25">
      <c r="A80" t="s">
        <v>52</v>
      </c>
      <c r="B80" t="str">
        <f t="shared" si="33"/>
        <v>47000</v>
      </c>
      <c r="C80" t="str">
        <f>"3160092066"</f>
        <v>3160092066</v>
      </c>
      <c r="D80" s="2">
        <v>3</v>
      </c>
      <c r="E80" s="3" t="s">
        <v>55</v>
      </c>
      <c r="F80" s="2" t="str">
        <f t="shared" si="34"/>
        <v>1133</v>
      </c>
      <c r="G80" s="2">
        <v>247</v>
      </c>
      <c r="H80" s="2" t="s">
        <v>18</v>
      </c>
      <c r="I80" s="1">
        <v>42865.574652777781</v>
      </c>
      <c r="J80" t="str">
        <f>"1"</f>
        <v>1</v>
      </c>
      <c r="K80" t="s">
        <v>19</v>
      </c>
      <c r="L80" s="1">
        <v>42865.596898148149</v>
      </c>
      <c r="M80" t="str">
        <f>"6"</f>
        <v>6</v>
      </c>
      <c r="N80" t="s">
        <v>32</v>
      </c>
      <c r="O80" t="str">
        <f>"17"</f>
        <v>17</v>
      </c>
      <c r="P80" t="str">
        <f>"19"</f>
        <v>19</v>
      </c>
      <c r="Q80" t="str">
        <f>"17"</f>
        <v>17</v>
      </c>
      <c r="R80" t="str">
        <f>"2"</f>
        <v>2</v>
      </c>
    </row>
    <row r="81" spans="1:18" x14ac:dyDescent="0.25">
      <c r="A81" t="s">
        <v>52</v>
      </c>
      <c r="B81" t="str">
        <f t="shared" si="33"/>
        <v>47000</v>
      </c>
      <c r="C81" t="str">
        <f>"2793454671"</f>
        <v>2793454671</v>
      </c>
      <c r="D81" s="2">
        <v>1</v>
      </c>
      <c r="E81" s="3" t="s">
        <v>56</v>
      </c>
      <c r="F81" s="2" t="str">
        <f t="shared" si="34"/>
        <v>1133</v>
      </c>
      <c r="G81" s="2">
        <v>247</v>
      </c>
      <c r="H81" s="2" t="s">
        <v>18</v>
      </c>
      <c r="I81" s="1">
        <v>42865.696770833332</v>
      </c>
      <c r="J81" t="str">
        <f>"18"</f>
        <v>18</v>
      </c>
      <c r="K81" t="s">
        <v>39</v>
      </c>
      <c r="L81" s="1">
        <v>42865.77306712963</v>
      </c>
      <c r="M81" t="str">
        <f>"1"</f>
        <v>1</v>
      </c>
      <c r="N81" t="s">
        <v>19</v>
      </c>
      <c r="O81" t="str">
        <f>"78"</f>
        <v>78</v>
      </c>
      <c r="P81" t="str">
        <f>"89"</f>
        <v>89</v>
      </c>
      <c r="Q81" t="str">
        <f>"78"</f>
        <v>78</v>
      </c>
      <c r="R81" t="str">
        <f>"11"</f>
        <v>11</v>
      </c>
    </row>
    <row r="82" spans="1:18" x14ac:dyDescent="0.25">
      <c r="A82" t="s">
        <v>52</v>
      </c>
      <c r="B82" t="str">
        <f t="shared" si="33"/>
        <v>47000</v>
      </c>
      <c r="C82" t="str">
        <f>"2725771823"</f>
        <v>2725771823</v>
      </c>
      <c r="D82" s="2">
        <v>1</v>
      </c>
      <c r="E82" s="3" t="s">
        <v>56</v>
      </c>
      <c r="F82" s="2" t="str">
        <f t="shared" si="34"/>
        <v>1133</v>
      </c>
      <c r="G82" s="2">
        <v>247</v>
      </c>
      <c r="H82" s="2" t="s">
        <v>18</v>
      </c>
      <c r="I82" s="1">
        <v>42865.696805555555</v>
      </c>
      <c r="J82" t="str">
        <f>"18"</f>
        <v>18</v>
      </c>
      <c r="K82" t="s">
        <v>39</v>
      </c>
      <c r="L82" s="1">
        <v>42865.773032407407</v>
      </c>
      <c r="M82" t="str">
        <f>"1"</f>
        <v>1</v>
      </c>
      <c r="N82" t="s">
        <v>19</v>
      </c>
      <c r="O82" t="str">
        <f>"78"</f>
        <v>78</v>
      </c>
      <c r="P82" t="str">
        <f>"89"</f>
        <v>89</v>
      </c>
      <c r="Q82" t="str">
        <f>"78"</f>
        <v>78</v>
      </c>
      <c r="R82" t="str">
        <f>"11"</f>
        <v>11</v>
      </c>
    </row>
    <row r="83" spans="1:18" x14ac:dyDescent="0.25">
      <c r="A83" t="s">
        <v>52</v>
      </c>
      <c r="B83" t="str">
        <f t="shared" si="33"/>
        <v>47000</v>
      </c>
      <c r="C83" t="str">
        <f>"858396581"</f>
        <v>858396581</v>
      </c>
      <c r="D83" s="2">
        <v>0</v>
      </c>
      <c r="E83" s="3" t="s">
        <v>51</v>
      </c>
      <c r="F83" s="2" t="str">
        <f t="shared" si="34"/>
        <v>1133</v>
      </c>
      <c r="G83" s="2">
        <v>247</v>
      </c>
      <c r="H83" s="2" t="s">
        <v>18</v>
      </c>
      <c r="I83" s="1">
        <v>42865.713425925926</v>
      </c>
      <c r="J83" t="str">
        <f>"16"</f>
        <v>16</v>
      </c>
      <c r="K83" t="s">
        <v>42</v>
      </c>
      <c r="L83" s="1">
        <v>42865.724745370368</v>
      </c>
      <c r="M83" t="str">
        <f>"13"</f>
        <v>13</v>
      </c>
      <c r="N83" t="s">
        <v>27</v>
      </c>
      <c r="O83" t="str">
        <f>"43"</f>
        <v>43</v>
      </c>
      <c r="P83" t="str">
        <f>"49"</f>
        <v>49</v>
      </c>
      <c r="Q83" t="str">
        <f>"43"</f>
        <v>43</v>
      </c>
      <c r="R83" t="str">
        <f>"6"</f>
        <v>6</v>
      </c>
    </row>
    <row r="84" spans="1:18" x14ac:dyDescent="0.25">
      <c r="A84" t="s">
        <v>52</v>
      </c>
      <c r="B84" t="str">
        <f t="shared" si="33"/>
        <v>47000</v>
      </c>
      <c r="C84" t="str">
        <f>"850631589"</f>
        <v>850631589</v>
      </c>
      <c r="D84" s="2">
        <v>0</v>
      </c>
      <c r="E84" s="3" t="s">
        <v>51</v>
      </c>
      <c r="F84" s="2" t="str">
        <f t="shared" si="34"/>
        <v>1133</v>
      </c>
      <c r="G84" s="2">
        <v>247</v>
      </c>
      <c r="H84" s="2" t="s">
        <v>18</v>
      </c>
      <c r="I84" s="1">
        <v>42865.713460648149</v>
      </c>
      <c r="J84" t="str">
        <f>"16"</f>
        <v>16</v>
      </c>
      <c r="K84" t="s">
        <v>42</v>
      </c>
      <c r="L84" s="1">
        <v>42865.724768518521</v>
      </c>
      <c r="M84" t="str">
        <f>"13"</f>
        <v>13</v>
      </c>
      <c r="N84" t="s">
        <v>27</v>
      </c>
      <c r="O84" t="str">
        <f>"43"</f>
        <v>43</v>
      </c>
      <c r="P84" t="str">
        <f>"49"</f>
        <v>49</v>
      </c>
      <c r="Q84" t="str">
        <f>"43"</f>
        <v>43</v>
      </c>
      <c r="R84" t="str">
        <f>"6"</f>
        <v>6</v>
      </c>
    </row>
    <row r="85" spans="1:18" x14ac:dyDescent="0.25">
      <c r="A85" t="s">
        <v>53</v>
      </c>
      <c r="B85" t="str">
        <f t="shared" ref="B85:B123" si="35">"47000"</f>
        <v>47000</v>
      </c>
      <c r="C85" t="str">
        <f>"D7848DC1"</f>
        <v>D7848DC1</v>
      </c>
      <c r="D85" s="2" t="s">
        <v>21</v>
      </c>
      <c r="E85" s="3" t="s">
        <v>59</v>
      </c>
      <c r="F85" s="2" t="str">
        <f t="shared" ref="F85:F101" si="36">"1133"</f>
        <v>1133</v>
      </c>
      <c r="G85" s="2">
        <v>206</v>
      </c>
      <c r="H85" s="2" t="s">
        <v>29</v>
      </c>
      <c r="I85" s="1">
        <v>42866.450520833336</v>
      </c>
      <c r="J85" t="str">
        <f>"1"</f>
        <v>1</v>
      </c>
      <c r="K85" t="s">
        <v>19</v>
      </c>
      <c r="L85" s="1">
        <v>42866.507754629631</v>
      </c>
      <c r="M85" t="str">
        <f>"13"</f>
        <v>13</v>
      </c>
      <c r="N85" t="s">
        <v>27</v>
      </c>
      <c r="O85" t="str">
        <f>"87"</f>
        <v>87</v>
      </c>
      <c r="P85" t="str">
        <f>"99"</f>
        <v>99</v>
      </c>
      <c r="Q85" t="str">
        <f>"87"</f>
        <v>87</v>
      </c>
      <c r="R85" t="str">
        <f>"12"</f>
        <v>12</v>
      </c>
    </row>
    <row r="86" spans="1:18" x14ac:dyDescent="0.25">
      <c r="A86" t="s">
        <v>53</v>
      </c>
      <c r="B86" t="str">
        <f t="shared" si="35"/>
        <v>47000</v>
      </c>
      <c r="C86" t="str">
        <f>"E77290C1"</f>
        <v>E77290C1</v>
      </c>
      <c r="D86" s="2" t="s">
        <v>21</v>
      </c>
      <c r="E86" s="3" t="s">
        <v>59</v>
      </c>
      <c r="F86" s="2" t="str">
        <f t="shared" si="36"/>
        <v>1133</v>
      </c>
      <c r="G86" s="2">
        <v>206</v>
      </c>
      <c r="H86" s="2" t="s">
        <v>29</v>
      </c>
      <c r="I86" s="1">
        <v>42866.450543981482</v>
      </c>
      <c r="J86" t="str">
        <f>"1"</f>
        <v>1</v>
      </c>
      <c r="K86" t="s">
        <v>19</v>
      </c>
      <c r="L86" s="1">
        <v>42866.507731481484</v>
      </c>
      <c r="M86" t="str">
        <f>"13"</f>
        <v>13</v>
      </c>
      <c r="N86" t="s">
        <v>27</v>
      </c>
      <c r="O86" t="str">
        <f>"87"</f>
        <v>87</v>
      </c>
      <c r="P86" t="str">
        <f>"99"</f>
        <v>99</v>
      </c>
      <c r="Q86" t="str">
        <f>"87"</f>
        <v>87</v>
      </c>
      <c r="R86" t="str">
        <f>"12"</f>
        <v>12</v>
      </c>
    </row>
    <row r="87" spans="1:18" x14ac:dyDescent="0.25">
      <c r="A87" t="s">
        <v>53</v>
      </c>
      <c r="B87" t="str">
        <f t="shared" si="35"/>
        <v>47000</v>
      </c>
      <c r="C87" t="str">
        <f>"82A32502"</f>
        <v>82A32502</v>
      </c>
      <c r="D87" s="2" t="s">
        <v>21</v>
      </c>
      <c r="E87" s="3" t="s">
        <v>59</v>
      </c>
      <c r="F87" s="2" t="str">
        <f t="shared" si="36"/>
        <v>1133</v>
      </c>
      <c r="G87" s="2">
        <v>206</v>
      </c>
      <c r="H87" s="2" t="s">
        <v>29</v>
      </c>
      <c r="I87" s="1">
        <v>42866.51054398148</v>
      </c>
      <c r="J87" t="str">
        <f>"14"</f>
        <v>14</v>
      </c>
      <c r="K87" t="s">
        <v>43</v>
      </c>
      <c r="L87" s="1">
        <v>42866.522893518515</v>
      </c>
      <c r="M87" t="str">
        <f>"16"</f>
        <v>16</v>
      </c>
      <c r="N87" t="s">
        <v>42</v>
      </c>
      <c r="O87" t="str">
        <f>"33"</f>
        <v>33</v>
      </c>
      <c r="P87" t="str">
        <f>"37"</f>
        <v>37</v>
      </c>
      <c r="Q87" t="str">
        <f>"33"</f>
        <v>33</v>
      </c>
      <c r="R87" t="str">
        <f>"4"</f>
        <v>4</v>
      </c>
    </row>
    <row r="88" spans="1:18" x14ac:dyDescent="0.25">
      <c r="A88" t="s">
        <v>52</v>
      </c>
      <c r="B88" t="str">
        <f t="shared" si="35"/>
        <v>47000</v>
      </c>
      <c r="C88" t="str">
        <f>"110100177"</f>
        <v>110100177</v>
      </c>
      <c r="D88" s="2">
        <v>1</v>
      </c>
      <c r="E88" s="3" t="s">
        <v>56</v>
      </c>
      <c r="F88" s="2" t="str">
        <f t="shared" si="36"/>
        <v>1133</v>
      </c>
      <c r="G88" s="2">
        <v>206</v>
      </c>
      <c r="H88" s="2" t="s">
        <v>29</v>
      </c>
      <c r="I88" s="1">
        <v>42866.537731481483</v>
      </c>
      <c r="J88" t="str">
        <f>"17"</f>
        <v>17</v>
      </c>
      <c r="K88" t="s">
        <v>47</v>
      </c>
      <c r="L88" s="1">
        <v>42866.540763888886</v>
      </c>
      <c r="M88" t="str">
        <f>"18"</f>
        <v>18</v>
      </c>
      <c r="N88" t="s">
        <v>39</v>
      </c>
      <c r="O88" t="str">
        <f>"12"</f>
        <v>12</v>
      </c>
      <c r="P88" t="str">
        <f>"12"</f>
        <v>12</v>
      </c>
      <c r="Q88" t="str">
        <f>"12"</f>
        <v>12</v>
      </c>
      <c r="R88" t="str">
        <f>"0"</f>
        <v>0</v>
      </c>
    </row>
    <row r="89" spans="1:18" x14ac:dyDescent="0.25">
      <c r="A89" t="s">
        <v>52</v>
      </c>
      <c r="B89" t="str">
        <f t="shared" si="35"/>
        <v>47000</v>
      </c>
      <c r="C89" t="str">
        <f>"2623064879"</f>
        <v>2623064879</v>
      </c>
      <c r="D89" s="2">
        <v>0</v>
      </c>
      <c r="E89" s="3" t="s">
        <v>51</v>
      </c>
      <c r="F89" s="2" t="str">
        <f t="shared" si="36"/>
        <v>1133</v>
      </c>
      <c r="G89" s="2">
        <v>206</v>
      </c>
      <c r="H89" s="2" t="s">
        <v>29</v>
      </c>
      <c r="I89" s="1">
        <v>42866.588935185187</v>
      </c>
      <c r="J89" t="str">
        <f>"18"</f>
        <v>18</v>
      </c>
      <c r="K89" t="s">
        <v>39</v>
      </c>
      <c r="L89" s="1">
        <v>42866.624895833331</v>
      </c>
      <c r="M89" t="str">
        <f>"13"</f>
        <v>13</v>
      </c>
      <c r="N89" t="s">
        <v>27</v>
      </c>
      <c r="O89" t="str">
        <f>"69"</f>
        <v>69</v>
      </c>
      <c r="P89" t="str">
        <f>"78"</f>
        <v>78</v>
      </c>
      <c r="Q89" t="str">
        <f>"69"</f>
        <v>69</v>
      </c>
      <c r="R89" t="str">
        <f>"9"</f>
        <v>9</v>
      </c>
    </row>
    <row r="90" spans="1:18" x14ac:dyDescent="0.25">
      <c r="A90" t="s">
        <v>53</v>
      </c>
      <c r="B90" t="str">
        <f t="shared" si="35"/>
        <v>47000</v>
      </c>
      <c r="C90" t="str">
        <f>"2502239C"</f>
        <v>2502239C</v>
      </c>
      <c r="D90" s="2" t="s">
        <v>36</v>
      </c>
      <c r="E90" s="3" t="s">
        <v>60</v>
      </c>
      <c r="F90" s="2" t="str">
        <f t="shared" si="36"/>
        <v>1133</v>
      </c>
      <c r="G90" s="2">
        <v>206</v>
      </c>
      <c r="H90" s="2" t="s">
        <v>29</v>
      </c>
      <c r="I90" s="1">
        <v>42866.601481481484</v>
      </c>
      <c r="J90" t="str">
        <f>"16"</f>
        <v>16</v>
      </c>
      <c r="K90" t="s">
        <v>42</v>
      </c>
      <c r="L90" s="1">
        <v>42866.667766203704</v>
      </c>
      <c r="M90" t="str">
        <f>"1"</f>
        <v>1</v>
      </c>
      <c r="N90" t="s">
        <v>19</v>
      </c>
      <c r="O90" t="str">
        <f>"65"</f>
        <v>65</v>
      </c>
      <c r="P90" t="str">
        <f>"74"</f>
        <v>74</v>
      </c>
      <c r="Q90" t="str">
        <f>"65"</f>
        <v>65</v>
      </c>
      <c r="R90" t="str">
        <f>"9"</f>
        <v>9</v>
      </c>
    </row>
    <row r="91" spans="1:18" x14ac:dyDescent="0.25">
      <c r="A91" t="s">
        <v>52</v>
      </c>
      <c r="B91" t="str">
        <f t="shared" si="35"/>
        <v>47000</v>
      </c>
      <c r="C91" t="str">
        <f>"3717930430"</f>
        <v>3717930430</v>
      </c>
      <c r="D91" s="2">
        <v>5</v>
      </c>
      <c r="E91" s="3" t="s">
        <v>58</v>
      </c>
      <c r="F91" s="2" t="str">
        <f t="shared" si="36"/>
        <v>1133</v>
      </c>
      <c r="G91" s="2">
        <v>206</v>
      </c>
      <c r="H91" s="2" t="s">
        <v>29</v>
      </c>
      <c r="I91" s="1">
        <v>42866.601585648146</v>
      </c>
      <c r="J91" t="str">
        <f>"16"</f>
        <v>16</v>
      </c>
      <c r="K91" t="s">
        <v>42</v>
      </c>
      <c r="L91" s="1">
        <v>42866.631180555552</v>
      </c>
      <c r="M91" t="str">
        <f>"12"</f>
        <v>12</v>
      </c>
      <c r="N91" t="s">
        <v>31</v>
      </c>
      <c r="O91" t="str">
        <f>"45"</f>
        <v>45</v>
      </c>
      <c r="P91" t="str">
        <f>"51"</f>
        <v>51</v>
      </c>
      <c r="Q91" t="str">
        <f>"45"</f>
        <v>45</v>
      </c>
      <c r="R91" t="str">
        <f>"6"</f>
        <v>6</v>
      </c>
    </row>
    <row r="92" spans="1:18" x14ac:dyDescent="0.25">
      <c r="A92" t="s">
        <v>52</v>
      </c>
      <c r="B92" t="str">
        <f t="shared" si="35"/>
        <v>47000</v>
      </c>
      <c r="C92" t="str">
        <f>"90227151"</f>
        <v>90227151</v>
      </c>
      <c r="D92" s="2">
        <v>0</v>
      </c>
      <c r="E92" s="3" t="s">
        <v>51</v>
      </c>
      <c r="F92" s="2" t="str">
        <f t="shared" si="36"/>
        <v>1133</v>
      </c>
      <c r="G92" s="2">
        <v>206</v>
      </c>
      <c r="H92" s="2" t="s">
        <v>29</v>
      </c>
      <c r="I92" s="1">
        <v>42866.601701388892</v>
      </c>
      <c r="J92" t="str">
        <f>"16"</f>
        <v>16</v>
      </c>
      <c r="K92" t="s">
        <v>42</v>
      </c>
      <c r="L92" s="1">
        <v>42866.631261574075</v>
      </c>
      <c r="M92" t="str">
        <f>"12"</f>
        <v>12</v>
      </c>
      <c r="N92" t="s">
        <v>31</v>
      </c>
      <c r="O92" t="str">
        <f>"45"</f>
        <v>45</v>
      </c>
      <c r="P92" t="str">
        <f>"51"</f>
        <v>51</v>
      </c>
      <c r="Q92" t="str">
        <f>"45"</f>
        <v>45</v>
      </c>
      <c r="R92" t="str">
        <f>"6"</f>
        <v>6</v>
      </c>
    </row>
    <row r="93" spans="1:18" x14ac:dyDescent="0.25">
      <c r="A93" t="s">
        <v>52</v>
      </c>
      <c r="B93" t="str">
        <f t="shared" si="35"/>
        <v>47000</v>
      </c>
      <c r="C93" t="str">
        <f>"2325165563"</f>
        <v>2325165563</v>
      </c>
      <c r="D93" s="2">
        <v>5</v>
      </c>
      <c r="E93" s="3" t="s">
        <v>58</v>
      </c>
      <c r="F93" s="2" t="str">
        <f t="shared" si="36"/>
        <v>1133</v>
      </c>
      <c r="G93" s="2">
        <v>206</v>
      </c>
      <c r="H93" s="2" t="s">
        <v>29</v>
      </c>
      <c r="I93" s="1">
        <v>42866.601990740739</v>
      </c>
      <c r="J93" t="str">
        <f>"16"</f>
        <v>16</v>
      </c>
      <c r="K93" t="s">
        <v>42</v>
      </c>
      <c r="L93" s="1">
        <v>42866.630949074075</v>
      </c>
      <c r="M93" t="str">
        <f>"12"</f>
        <v>12</v>
      </c>
      <c r="N93" t="s">
        <v>31</v>
      </c>
      <c r="O93" t="str">
        <f>"45"</f>
        <v>45</v>
      </c>
      <c r="P93" t="str">
        <f>"51"</f>
        <v>51</v>
      </c>
      <c r="Q93" t="str">
        <f>"45"</f>
        <v>45</v>
      </c>
      <c r="R93" t="str">
        <f>"6"</f>
        <v>6</v>
      </c>
    </row>
    <row r="94" spans="1:18" x14ac:dyDescent="0.25">
      <c r="A94" t="s">
        <v>52</v>
      </c>
      <c r="B94" t="str">
        <f t="shared" si="35"/>
        <v>47000</v>
      </c>
      <c r="C94" t="str">
        <f>"828561552"</f>
        <v>828561552</v>
      </c>
      <c r="D94" s="2">
        <v>0</v>
      </c>
      <c r="E94" s="3" t="s">
        <v>51</v>
      </c>
      <c r="F94" s="2" t="str">
        <f t="shared" si="36"/>
        <v>1133</v>
      </c>
      <c r="G94" s="2">
        <v>206</v>
      </c>
      <c r="H94" s="2" t="s">
        <v>29</v>
      </c>
      <c r="I94" s="1">
        <v>42866.627025462964</v>
      </c>
      <c r="J94" t="str">
        <f>"13"</f>
        <v>13</v>
      </c>
      <c r="K94" t="s">
        <v>27</v>
      </c>
      <c r="L94" s="1">
        <v>42866.682175925926</v>
      </c>
      <c r="M94" t="str">
        <f>"1"</f>
        <v>1</v>
      </c>
      <c r="N94" t="s">
        <v>19</v>
      </c>
      <c r="O94" t="str">
        <f>"87"</f>
        <v>87</v>
      </c>
      <c r="P94" t="str">
        <f>"99"</f>
        <v>99</v>
      </c>
      <c r="Q94" t="str">
        <f>"87"</f>
        <v>87</v>
      </c>
      <c r="R94" t="str">
        <f>"12"</f>
        <v>12</v>
      </c>
    </row>
    <row r="95" spans="1:18" x14ac:dyDescent="0.25">
      <c r="A95" t="s">
        <v>52</v>
      </c>
      <c r="B95" t="str">
        <f t="shared" si="35"/>
        <v>47000</v>
      </c>
      <c r="C95" t="str">
        <f>"793650965"</f>
        <v>793650965</v>
      </c>
      <c r="D95" s="2">
        <v>1</v>
      </c>
      <c r="E95" s="3" t="s">
        <v>56</v>
      </c>
      <c r="F95" s="2" t="str">
        <f t="shared" si="36"/>
        <v>1133</v>
      </c>
      <c r="G95" s="2">
        <v>206</v>
      </c>
      <c r="H95" s="2" t="s">
        <v>29</v>
      </c>
      <c r="I95" s="1">
        <v>42866.66511574074</v>
      </c>
      <c r="J95" t="str">
        <f>"1"</f>
        <v>1</v>
      </c>
      <c r="K95" t="s">
        <v>19</v>
      </c>
      <c r="L95" s="1">
        <v>42866.682129629633</v>
      </c>
      <c r="M95" t="str">
        <f>"1"</f>
        <v>1</v>
      </c>
      <c r="N95" t="s">
        <v>19</v>
      </c>
      <c r="O95" t="str">
        <f>"11"</f>
        <v>11</v>
      </c>
      <c r="P95" t="str">
        <f>"12"</f>
        <v>12</v>
      </c>
      <c r="Q95" t="str">
        <f>"11"</f>
        <v>11</v>
      </c>
      <c r="R95" t="str">
        <f>"1"</f>
        <v>1</v>
      </c>
    </row>
    <row r="96" spans="1:18" x14ac:dyDescent="0.25">
      <c r="A96" t="s">
        <v>52</v>
      </c>
      <c r="B96" t="str">
        <f t="shared" si="35"/>
        <v>47000</v>
      </c>
      <c r="C96" t="str">
        <f>"794623557"</f>
        <v>794623557</v>
      </c>
      <c r="D96" s="2">
        <v>8</v>
      </c>
      <c r="E96" s="3" t="s">
        <v>54</v>
      </c>
      <c r="F96" s="2" t="str">
        <f t="shared" si="36"/>
        <v>1133</v>
      </c>
      <c r="G96" s="2">
        <v>247</v>
      </c>
      <c r="H96" s="2" t="s">
        <v>18</v>
      </c>
      <c r="I96" s="1">
        <v>42866.576215277775</v>
      </c>
      <c r="J96" t="str">
        <f>"1"</f>
        <v>1</v>
      </c>
      <c r="K96" t="s">
        <v>19</v>
      </c>
      <c r="L96" s="1">
        <v>42866.593217592592</v>
      </c>
      <c r="M96" t="str">
        <f>"3"</f>
        <v>3</v>
      </c>
      <c r="N96" t="s">
        <v>30</v>
      </c>
      <c r="O96" t="str">
        <f>"11"</f>
        <v>11</v>
      </c>
      <c r="P96" t="str">
        <f>"12"</f>
        <v>12</v>
      </c>
      <c r="Q96" t="str">
        <f>"11"</f>
        <v>11</v>
      </c>
      <c r="R96" t="str">
        <f>"1"</f>
        <v>1</v>
      </c>
    </row>
    <row r="97" spans="1:18" x14ac:dyDescent="0.25">
      <c r="A97" t="s">
        <v>52</v>
      </c>
      <c r="B97" t="str">
        <f t="shared" si="35"/>
        <v>47000</v>
      </c>
      <c r="C97" t="str">
        <f>"2612225295"</f>
        <v>2612225295</v>
      </c>
      <c r="D97" s="2">
        <v>0</v>
      </c>
      <c r="E97" s="3" t="s">
        <v>51</v>
      </c>
      <c r="F97" s="2" t="str">
        <f t="shared" si="36"/>
        <v>1133</v>
      </c>
      <c r="G97" s="2">
        <v>247</v>
      </c>
      <c r="H97" s="2" t="s">
        <v>18</v>
      </c>
      <c r="I97" s="1">
        <v>42866.576504629629</v>
      </c>
      <c r="J97" t="str">
        <f>"1"</f>
        <v>1</v>
      </c>
      <c r="K97" t="s">
        <v>19</v>
      </c>
      <c r="L97" s="1">
        <v>42866.651250000003</v>
      </c>
      <c r="M97" t="str">
        <f>"18"</f>
        <v>18</v>
      </c>
      <c r="N97" t="s">
        <v>39</v>
      </c>
      <c r="O97" t="str">
        <f>"155"</f>
        <v>155</v>
      </c>
      <c r="P97" t="str">
        <f>"177"</f>
        <v>177</v>
      </c>
      <c r="Q97" t="str">
        <f>"155"</f>
        <v>155</v>
      </c>
      <c r="R97" t="str">
        <f>"22"</f>
        <v>22</v>
      </c>
    </row>
    <row r="98" spans="1:18" x14ac:dyDescent="0.25">
      <c r="A98" t="s">
        <v>52</v>
      </c>
      <c r="B98" t="str">
        <f t="shared" si="35"/>
        <v>47000</v>
      </c>
      <c r="C98" t="str">
        <f>"3606891443"</f>
        <v>3606891443</v>
      </c>
      <c r="D98" s="2">
        <v>0</v>
      </c>
      <c r="E98" s="3" t="s">
        <v>51</v>
      </c>
      <c r="F98" s="2" t="str">
        <f t="shared" si="36"/>
        <v>1133</v>
      </c>
      <c r="G98" s="2">
        <v>247</v>
      </c>
      <c r="H98" s="2" t="s">
        <v>18</v>
      </c>
      <c r="I98" s="1">
        <v>42866.576689814814</v>
      </c>
      <c r="J98" t="str">
        <f>"1"</f>
        <v>1</v>
      </c>
      <c r="K98" t="s">
        <v>19</v>
      </c>
      <c r="L98" s="1">
        <v>42866.651712962965</v>
      </c>
      <c r="M98" t="str">
        <f>"18"</f>
        <v>18</v>
      </c>
      <c r="N98" t="s">
        <v>39</v>
      </c>
      <c r="O98" t="str">
        <f>"155"</f>
        <v>155</v>
      </c>
      <c r="P98" t="str">
        <f>"177"</f>
        <v>177</v>
      </c>
      <c r="Q98" t="str">
        <f>"155"</f>
        <v>155</v>
      </c>
      <c r="R98" t="str">
        <f>"22"</f>
        <v>22</v>
      </c>
    </row>
    <row r="99" spans="1:18" x14ac:dyDescent="0.25">
      <c r="A99" t="s">
        <v>52</v>
      </c>
      <c r="B99" t="str">
        <f t="shared" si="35"/>
        <v>47000</v>
      </c>
      <c r="C99" t="str">
        <f>"1086071720"</f>
        <v>1086071720</v>
      </c>
      <c r="D99" s="2">
        <v>1</v>
      </c>
      <c r="E99" s="3" t="s">
        <v>56</v>
      </c>
      <c r="F99" s="2" t="str">
        <f t="shared" si="36"/>
        <v>1133</v>
      </c>
      <c r="G99" s="2">
        <v>247</v>
      </c>
      <c r="H99" s="2" t="s">
        <v>18</v>
      </c>
      <c r="I99" s="1">
        <v>42866.691944444443</v>
      </c>
      <c r="J99" t="str">
        <f>"17"</f>
        <v>17</v>
      </c>
      <c r="K99" t="s">
        <v>47</v>
      </c>
      <c r="L99" s="1">
        <v>42866.769571759258</v>
      </c>
      <c r="M99" t="str">
        <f>"1"</f>
        <v>1</v>
      </c>
      <c r="N99" t="s">
        <v>19</v>
      </c>
      <c r="O99" t="str">
        <f>"75"</f>
        <v>75</v>
      </c>
      <c r="P99" t="str">
        <f>"85"</f>
        <v>85</v>
      </c>
      <c r="Q99" t="str">
        <f>"75"</f>
        <v>75</v>
      </c>
      <c r="R99" t="str">
        <f>"10"</f>
        <v>10</v>
      </c>
    </row>
    <row r="100" spans="1:18" x14ac:dyDescent="0.25">
      <c r="A100" t="s">
        <v>52</v>
      </c>
      <c r="B100" t="str">
        <f t="shared" si="35"/>
        <v>47000</v>
      </c>
      <c r="C100" t="str">
        <f>"2612225295"</f>
        <v>2612225295</v>
      </c>
      <c r="D100" s="2">
        <v>0</v>
      </c>
      <c r="E100" s="3" t="s">
        <v>51</v>
      </c>
      <c r="F100" s="2" t="str">
        <f t="shared" si="36"/>
        <v>1133</v>
      </c>
      <c r="G100" s="2">
        <v>247</v>
      </c>
      <c r="H100" s="2" t="s">
        <v>18</v>
      </c>
      <c r="I100" s="1">
        <v>42866.692256944443</v>
      </c>
      <c r="J100" t="str">
        <f>"18"</f>
        <v>18</v>
      </c>
      <c r="K100" t="s">
        <v>39</v>
      </c>
      <c r="L100" s="1">
        <v>42866.769432870373</v>
      </c>
      <c r="M100" t="str">
        <f>"1"</f>
        <v>1</v>
      </c>
      <c r="N100" t="s">
        <v>19</v>
      </c>
      <c r="O100" t="str">
        <f>"155"</f>
        <v>155</v>
      </c>
      <c r="P100" t="str">
        <f>"177"</f>
        <v>177</v>
      </c>
      <c r="Q100" t="str">
        <f>"155"</f>
        <v>155</v>
      </c>
      <c r="R100" t="str">
        <f>"22"</f>
        <v>22</v>
      </c>
    </row>
    <row r="101" spans="1:18" x14ac:dyDescent="0.25">
      <c r="A101" t="s">
        <v>52</v>
      </c>
      <c r="B101" t="str">
        <f t="shared" si="35"/>
        <v>47000</v>
      </c>
      <c r="C101" t="str">
        <f>"2859224563"</f>
        <v>2859224563</v>
      </c>
      <c r="D101" s="2">
        <v>0</v>
      </c>
      <c r="E101" s="3" t="s">
        <v>51</v>
      </c>
      <c r="F101" s="2" t="str">
        <f t="shared" si="36"/>
        <v>1133</v>
      </c>
      <c r="G101" s="2">
        <v>247</v>
      </c>
      <c r="H101" s="2" t="s">
        <v>18</v>
      </c>
      <c r="I101" s="1">
        <v>42866.723020833335</v>
      </c>
      <c r="J101" t="str">
        <f>"13"</f>
        <v>13</v>
      </c>
      <c r="K101" t="s">
        <v>27</v>
      </c>
      <c r="L101" s="1">
        <v>42866.728333333333</v>
      </c>
      <c r="M101" t="str">
        <f>"12"</f>
        <v>12</v>
      </c>
      <c r="N101" t="s">
        <v>31</v>
      </c>
      <c r="O101" t="str">
        <f>"21"</f>
        <v>21</v>
      </c>
      <c r="P101" t="str">
        <f>"24"</f>
        <v>24</v>
      </c>
      <c r="Q101" t="str">
        <f>"21"</f>
        <v>21</v>
      </c>
      <c r="R101" t="str">
        <f>"3"</f>
        <v>3</v>
      </c>
    </row>
    <row r="102" spans="1:18" x14ac:dyDescent="0.25">
      <c r="A102" t="s">
        <v>52</v>
      </c>
      <c r="B102" t="str">
        <f t="shared" si="35"/>
        <v>47000</v>
      </c>
      <c r="C102" t="str">
        <f>"793638469"</f>
        <v>793638469</v>
      </c>
      <c r="D102" s="2">
        <v>1</v>
      </c>
      <c r="E102" s="3" t="s">
        <v>56</v>
      </c>
      <c r="F102" s="2" t="str">
        <f t="shared" ref="F102:F114" si="37">"1141"</f>
        <v>1141</v>
      </c>
      <c r="G102" s="2">
        <v>191</v>
      </c>
      <c r="H102" s="2" t="s">
        <v>37</v>
      </c>
      <c r="I102" s="1">
        <v>42866.359236111108</v>
      </c>
      <c r="J102" t="str">
        <f t="shared" ref="J102:J109" si="38">"1"</f>
        <v>1</v>
      </c>
      <c r="K102" t="s">
        <v>19</v>
      </c>
      <c r="L102" s="1">
        <v>42866.586689814816</v>
      </c>
      <c r="M102" t="str">
        <f>"29"</f>
        <v>29</v>
      </c>
      <c r="N102" t="s">
        <v>40</v>
      </c>
      <c r="O102" t="str">
        <f>"193"</f>
        <v>193</v>
      </c>
      <c r="P102" t="str">
        <f>"220"</f>
        <v>220</v>
      </c>
      <c r="Q102" t="str">
        <f>"193"</f>
        <v>193</v>
      </c>
      <c r="R102" t="str">
        <f>"27"</f>
        <v>27</v>
      </c>
    </row>
    <row r="103" spans="1:18" x14ac:dyDescent="0.25">
      <c r="A103" t="s">
        <v>52</v>
      </c>
      <c r="B103" t="str">
        <f t="shared" si="35"/>
        <v>47000</v>
      </c>
      <c r="C103" t="str">
        <f>"1642356645"</f>
        <v>1642356645</v>
      </c>
      <c r="D103" s="2">
        <v>1</v>
      </c>
      <c r="E103" s="3" t="s">
        <v>56</v>
      </c>
      <c r="F103" s="2" t="str">
        <f t="shared" si="37"/>
        <v>1141</v>
      </c>
      <c r="G103" s="2">
        <v>191</v>
      </c>
      <c r="H103" s="2" t="s">
        <v>37</v>
      </c>
      <c r="I103" s="1">
        <v>42866.359282407408</v>
      </c>
      <c r="J103" t="str">
        <f t="shared" si="38"/>
        <v>1</v>
      </c>
      <c r="K103" t="s">
        <v>19</v>
      </c>
      <c r="L103" s="1">
        <v>42866.586365740739</v>
      </c>
      <c r="M103" t="str">
        <f>"29"</f>
        <v>29</v>
      </c>
      <c r="N103" t="s">
        <v>40</v>
      </c>
      <c r="O103" t="str">
        <f>"193"</f>
        <v>193</v>
      </c>
      <c r="P103" t="str">
        <f>"220"</f>
        <v>220</v>
      </c>
      <c r="Q103" t="str">
        <f>"193"</f>
        <v>193</v>
      </c>
      <c r="R103" t="str">
        <f>"27"</f>
        <v>27</v>
      </c>
    </row>
    <row r="104" spans="1:18" x14ac:dyDescent="0.25">
      <c r="A104" t="s">
        <v>52</v>
      </c>
      <c r="B104" t="str">
        <f t="shared" si="35"/>
        <v>47000</v>
      </c>
      <c r="C104" t="str">
        <f>"104691281"</f>
        <v>104691281</v>
      </c>
      <c r="D104" s="2">
        <v>0</v>
      </c>
      <c r="E104" s="3" t="s">
        <v>51</v>
      </c>
      <c r="F104" s="2" t="str">
        <f t="shared" si="37"/>
        <v>1141</v>
      </c>
      <c r="G104" s="2">
        <v>191</v>
      </c>
      <c r="H104" s="2" t="s">
        <v>37</v>
      </c>
      <c r="I104" s="1">
        <v>42866.359305555554</v>
      </c>
      <c r="J104" t="str">
        <f t="shared" si="38"/>
        <v>1</v>
      </c>
      <c r="K104" t="s">
        <v>19</v>
      </c>
      <c r="L104" s="1">
        <v>42866.586435185185</v>
      </c>
      <c r="M104" t="str">
        <f>"29"</f>
        <v>29</v>
      </c>
      <c r="N104" t="s">
        <v>40</v>
      </c>
      <c r="O104" t="str">
        <f>"289"</f>
        <v>289</v>
      </c>
      <c r="P104" t="str">
        <f>"440"</f>
        <v>440</v>
      </c>
      <c r="Q104" t="str">
        <f>"289"</f>
        <v>289</v>
      </c>
      <c r="R104" t="str">
        <f>"151"</f>
        <v>151</v>
      </c>
    </row>
    <row r="105" spans="1:18" x14ac:dyDescent="0.25">
      <c r="A105" t="s">
        <v>52</v>
      </c>
      <c r="B105" t="str">
        <f t="shared" si="35"/>
        <v>47000</v>
      </c>
      <c r="C105" t="str">
        <f>"793651925"</f>
        <v>793651925</v>
      </c>
      <c r="D105" s="2">
        <v>1</v>
      </c>
      <c r="E105" s="3" t="s">
        <v>56</v>
      </c>
      <c r="F105" s="2" t="str">
        <f t="shared" si="37"/>
        <v>1141</v>
      </c>
      <c r="G105" s="2">
        <v>191</v>
      </c>
      <c r="H105" s="2" t="s">
        <v>37</v>
      </c>
      <c r="I105" s="1">
        <v>42866.3594212963</v>
      </c>
      <c r="J105" t="str">
        <f t="shared" si="38"/>
        <v>1</v>
      </c>
      <c r="K105" t="s">
        <v>19</v>
      </c>
      <c r="L105" s="1">
        <v>42866.367152777777</v>
      </c>
      <c r="M105" t="str">
        <f>"1"</f>
        <v>1</v>
      </c>
      <c r="N105" t="s">
        <v>19</v>
      </c>
      <c r="O105" t="str">
        <f>"11"</f>
        <v>11</v>
      </c>
      <c r="P105" t="str">
        <f>"12"</f>
        <v>12</v>
      </c>
      <c r="Q105" t="str">
        <f>"11"</f>
        <v>11</v>
      </c>
      <c r="R105" t="str">
        <f>"1"</f>
        <v>1</v>
      </c>
    </row>
    <row r="106" spans="1:18" x14ac:dyDescent="0.25">
      <c r="A106" t="s">
        <v>52</v>
      </c>
      <c r="B106" t="str">
        <f t="shared" si="35"/>
        <v>47000</v>
      </c>
      <c r="C106" t="str">
        <f>"681645141"</f>
        <v>681645141</v>
      </c>
      <c r="D106" s="2">
        <v>0</v>
      </c>
      <c r="E106" s="3" t="s">
        <v>51</v>
      </c>
      <c r="F106" s="2" t="str">
        <f t="shared" si="37"/>
        <v>1141</v>
      </c>
      <c r="G106" s="2">
        <v>191</v>
      </c>
      <c r="H106" s="2" t="s">
        <v>37</v>
      </c>
      <c r="I106" s="1">
        <v>42866.359560185185</v>
      </c>
      <c r="J106" t="str">
        <f t="shared" si="38"/>
        <v>1</v>
      </c>
      <c r="K106" t="s">
        <v>19</v>
      </c>
      <c r="L106" s="1">
        <v>42866.366030092591</v>
      </c>
      <c r="M106" t="str">
        <f>"1"</f>
        <v>1</v>
      </c>
      <c r="N106" t="s">
        <v>19</v>
      </c>
      <c r="O106" t="str">
        <f>"21"</f>
        <v>21</v>
      </c>
      <c r="P106" t="str">
        <f>"24"</f>
        <v>24</v>
      </c>
      <c r="Q106" t="str">
        <f>"21"</f>
        <v>21</v>
      </c>
      <c r="R106" t="str">
        <f>"3"</f>
        <v>3</v>
      </c>
    </row>
    <row r="107" spans="1:18" x14ac:dyDescent="0.25">
      <c r="A107" t="s">
        <v>53</v>
      </c>
      <c r="B107" t="str">
        <f t="shared" si="35"/>
        <v>47000</v>
      </c>
      <c r="C107" t="str">
        <f>"2F72FC26"</f>
        <v>2F72FC26</v>
      </c>
      <c r="D107" s="2" t="s">
        <v>21</v>
      </c>
      <c r="E107" s="3" t="s">
        <v>59</v>
      </c>
      <c r="F107" s="2" t="str">
        <f t="shared" si="37"/>
        <v>1141</v>
      </c>
      <c r="G107" s="2">
        <v>191</v>
      </c>
      <c r="H107" s="2" t="s">
        <v>37</v>
      </c>
      <c r="I107" s="1">
        <v>42866.360150462962</v>
      </c>
      <c r="J107" t="str">
        <f t="shared" si="38"/>
        <v>1</v>
      </c>
      <c r="K107" t="s">
        <v>19</v>
      </c>
      <c r="L107" s="1">
        <v>42866.430462962962</v>
      </c>
      <c r="M107" t="str">
        <f>"18"</f>
        <v>18</v>
      </c>
      <c r="N107" t="s">
        <v>39</v>
      </c>
      <c r="O107" t="str">
        <f>"97"</f>
        <v>97</v>
      </c>
      <c r="P107" t="str">
        <f>"156"</f>
        <v>156</v>
      </c>
      <c r="Q107" t="str">
        <f>"97"</f>
        <v>97</v>
      </c>
      <c r="R107" t="str">
        <f>"59"</f>
        <v>59</v>
      </c>
    </row>
    <row r="108" spans="1:18" x14ac:dyDescent="0.25">
      <c r="A108" t="s">
        <v>52</v>
      </c>
      <c r="B108" t="str">
        <f t="shared" si="35"/>
        <v>47000</v>
      </c>
      <c r="C108" t="str">
        <f>"1611617973"</f>
        <v>1611617973</v>
      </c>
      <c r="D108" s="2">
        <v>0</v>
      </c>
      <c r="E108" s="3" t="s">
        <v>51</v>
      </c>
      <c r="F108" s="2" t="str">
        <f t="shared" si="37"/>
        <v>1141</v>
      </c>
      <c r="G108" s="2">
        <v>191</v>
      </c>
      <c r="H108" s="2" t="s">
        <v>37</v>
      </c>
      <c r="I108" s="1">
        <v>42866.361701388887</v>
      </c>
      <c r="J108" t="str">
        <f t="shared" si="38"/>
        <v>1</v>
      </c>
      <c r="K108" t="s">
        <v>19</v>
      </c>
      <c r="L108" s="1">
        <v>42866.384409722225</v>
      </c>
      <c r="M108" t="str">
        <f>"3"</f>
        <v>3</v>
      </c>
      <c r="N108" t="s">
        <v>30</v>
      </c>
      <c r="O108" t="str">
        <f>"21"</f>
        <v>21</v>
      </c>
      <c r="P108" t="str">
        <f>"24"</f>
        <v>24</v>
      </c>
      <c r="Q108" t="str">
        <f>"21"</f>
        <v>21</v>
      </c>
      <c r="R108" t="str">
        <f>"3"</f>
        <v>3</v>
      </c>
    </row>
    <row r="109" spans="1:18" x14ac:dyDescent="0.25">
      <c r="A109" t="s">
        <v>52</v>
      </c>
      <c r="B109" t="str">
        <f t="shared" si="35"/>
        <v>47000</v>
      </c>
      <c r="C109" t="str">
        <f>"3639054810"</f>
        <v>3639054810</v>
      </c>
      <c r="D109" s="2">
        <v>0</v>
      </c>
      <c r="E109" s="3" t="s">
        <v>51</v>
      </c>
      <c r="F109" s="2" t="str">
        <f t="shared" si="37"/>
        <v>1141</v>
      </c>
      <c r="G109" s="2">
        <v>191</v>
      </c>
      <c r="H109" s="2" t="s">
        <v>37</v>
      </c>
      <c r="I109" s="1">
        <v>42866.368622685186</v>
      </c>
      <c r="J109" t="str">
        <f t="shared" si="38"/>
        <v>1</v>
      </c>
      <c r="K109" t="s">
        <v>19</v>
      </c>
      <c r="L109" s="1">
        <v>42866.430289351854</v>
      </c>
      <c r="M109" t="str">
        <f>"18"</f>
        <v>18</v>
      </c>
      <c r="N109" t="s">
        <v>39</v>
      </c>
      <c r="O109" t="str">
        <f>"137"</f>
        <v>137</v>
      </c>
      <c r="P109" t="str">
        <f>"156"</f>
        <v>156</v>
      </c>
      <c r="Q109" t="str">
        <f>"137"</f>
        <v>137</v>
      </c>
      <c r="R109" t="str">
        <f>"19"</f>
        <v>19</v>
      </c>
    </row>
    <row r="110" spans="1:18" x14ac:dyDescent="0.25">
      <c r="A110" t="s">
        <v>52</v>
      </c>
      <c r="B110" t="str">
        <f t="shared" si="35"/>
        <v>47000</v>
      </c>
      <c r="C110" t="str">
        <f>"3287287660"</f>
        <v>3287287660</v>
      </c>
      <c r="D110" s="2">
        <v>0</v>
      </c>
      <c r="E110" s="3" t="s">
        <v>51</v>
      </c>
      <c r="F110" s="2" t="str">
        <f t="shared" si="37"/>
        <v>1141</v>
      </c>
      <c r="G110" s="2">
        <v>191</v>
      </c>
      <c r="H110" s="2" t="s">
        <v>37</v>
      </c>
      <c r="I110" s="1">
        <v>42866.390717592592</v>
      </c>
      <c r="J110" t="str">
        <f>"6"</f>
        <v>6</v>
      </c>
      <c r="K110" t="s">
        <v>32</v>
      </c>
      <c r="L110" s="1">
        <v>42866.393611111111</v>
      </c>
      <c r="M110" t="str">
        <f>"7"</f>
        <v>7</v>
      </c>
      <c r="N110" t="s">
        <v>28</v>
      </c>
      <c r="O110" t="str">
        <f>"21"</f>
        <v>21</v>
      </c>
      <c r="P110" t="str">
        <f>"24"</f>
        <v>24</v>
      </c>
      <c r="Q110" t="str">
        <f>"21"</f>
        <v>21</v>
      </c>
      <c r="R110" t="str">
        <f>"3"</f>
        <v>3</v>
      </c>
    </row>
    <row r="111" spans="1:18" x14ac:dyDescent="0.25">
      <c r="A111" t="s">
        <v>52</v>
      </c>
      <c r="B111" t="str">
        <f t="shared" si="35"/>
        <v>47000</v>
      </c>
      <c r="C111" t="str">
        <f>"793638469"</f>
        <v>793638469</v>
      </c>
      <c r="D111" s="2">
        <v>1</v>
      </c>
      <c r="E111" s="3" t="s">
        <v>56</v>
      </c>
      <c r="F111" s="2" t="str">
        <f t="shared" si="37"/>
        <v>1141</v>
      </c>
      <c r="G111" s="2">
        <v>191</v>
      </c>
      <c r="H111" s="2" t="s">
        <v>37</v>
      </c>
      <c r="I111" s="1">
        <v>42866.622187499997</v>
      </c>
      <c r="J111" t="str">
        <f>"29"</f>
        <v>29</v>
      </c>
      <c r="K111" t="s">
        <v>40</v>
      </c>
      <c r="L111" s="1">
        <v>42866.815034722225</v>
      </c>
      <c r="M111" t="str">
        <f t="shared" ref="M111:M114" si="39">"1"</f>
        <v>1</v>
      </c>
      <c r="N111" t="s">
        <v>19</v>
      </c>
      <c r="O111" t="str">
        <f>"193"</f>
        <v>193</v>
      </c>
      <c r="P111" t="str">
        <f>"220"</f>
        <v>220</v>
      </c>
      <c r="Q111" t="str">
        <f>"193"</f>
        <v>193</v>
      </c>
      <c r="R111" t="str">
        <f>"27"</f>
        <v>27</v>
      </c>
    </row>
    <row r="112" spans="1:18" x14ac:dyDescent="0.25">
      <c r="A112" t="s">
        <v>52</v>
      </c>
      <c r="B112" t="str">
        <f t="shared" si="35"/>
        <v>47000</v>
      </c>
      <c r="C112" t="str">
        <f>"1642356645"</f>
        <v>1642356645</v>
      </c>
      <c r="D112" s="2">
        <v>1</v>
      </c>
      <c r="E112" s="3" t="s">
        <v>56</v>
      </c>
      <c r="F112" s="2" t="str">
        <f t="shared" si="37"/>
        <v>1141</v>
      </c>
      <c r="G112" s="2">
        <v>191</v>
      </c>
      <c r="H112" s="2" t="s">
        <v>37</v>
      </c>
      <c r="I112" s="1">
        <v>42866.622499999998</v>
      </c>
      <c r="J112" t="str">
        <f>"29"</f>
        <v>29</v>
      </c>
      <c r="K112" t="s">
        <v>40</v>
      </c>
      <c r="L112" s="1">
        <v>42866.815532407411</v>
      </c>
      <c r="M112" t="str">
        <f t="shared" si="39"/>
        <v>1</v>
      </c>
      <c r="N112" t="s">
        <v>19</v>
      </c>
      <c r="O112" t="str">
        <f>"193"</f>
        <v>193</v>
      </c>
      <c r="P112" t="str">
        <f>"220"</f>
        <v>220</v>
      </c>
      <c r="Q112" t="str">
        <f>"193"</f>
        <v>193</v>
      </c>
      <c r="R112" t="str">
        <f>"27"</f>
        <v>27</v>
      </c>
    </row>
    <row r="113" spans="1:18" x14ac:dyDescent="0.25">
      <c r="A113" t="s">
        <v>52</v>
      </c>
      <c r="B113" t="str">
        <f t="shared" si="35"/>
        <v>47000</v>
      </c>
      <c r="C113" t="str">
        <f>"3639054810"</f>
        <v>3639054810</v>
      </c>
      <c r="D113" s="2">
        <v>0</v>
      </c>
      <c r="E113" s="3" t="s">
        <v>51</v>
      </c>
      <c r="F113" s="2" t="str">
        <f t="shared" si="37"/>
        <v>1141</v>
      </c>
      <c r="G113" s="2">
        <v>191</v>
      </c>
      <c r="H113" s="2" t="s">
        <v>37</v>
      </c>
      <c r="I113" s="1">
        <v>42866.74622685185</v>
      </c>
      <c r="J113" t="str">
        <f>"18"</f>
        <v>18</v>
      </c>
      <c r="K113" t="s">
        <v>39</v>
      </c>
      <c r="L113" s="1">
        <v>42866.805995370371</v>
      </c>
      <c r="M113" t="str">
        <f t="shared" si="39"/>
        <v>1</v>
      </c>
      <c r="N113" t="s">
        <v>19</v>
      </c>
      <c r="O113" t="str">
        <f>"137"</f>
        <v>137</v>
      </c>
      <c r="P113" t="str">
        <f>"156"</f>
        <v>156</v>
      </c>
      <c r="Q113" t="str">
        <f>"137"</f>
        <v>137</v>
      </c>
      <c r="R113" t="str">
        <f>"19"</f>
        <v>19</v>
      </c>
    </row>
    <row r="114" spans="1:18" x14ac:dyDescent="0.25">
      <c r="A114" t="s">
        <v>52</v>
      </c>
      <c r="B114" t="str">
        <f t="shared" si="35"/>
        <v>47000</v>
      </c>
      <c r="C114" t="str">
        <f>"192187681"</f>
        <v>192187681</v>
      </c>
      <c r="D114" s="2">
        <v>0</v>
      </c>
      <c r="E114" s="3" t="s">
        <v>51</v>
      </c>
      <c r="F114" s="2" t="str">
        <f t="shared" si="37"/>
        <v>1141</v>
      </c>
      <c r="G114" s="2">
        <v>191</v>
      </c>
      <c r="H114" s="2" t="s">
        <v>37</v>
      </c>
      <c r="I114" s="1">
        <v>42866.747025462966</v>
      </c>
      <c r="J114" t="str">
        <f>"18"</f>
        <v>18</v>
      </c>
      <c r="K114" t="s">
        <v>39</v>
      </c>
      <c r="L114" s="1">
        <v>42866.805185185185</v>
      </c>
      <c r="M114" t="str">
        <f t="shared" si="39"/>
        <v>1</v>
      </c>
      <c r="N114" t="s">
        <v>19</v>
      </c>
      <c r="O114" t="str">
        <f>"137"</f>
        <v>137</v>
      </c>
      <c r="P114" t="str">
        <f>"156"</f>
        <v>156</v>
      </c>
      <c r="Q114" t="str">
        <f>"137"</f>
        <v>137</v>
      </c>
      <c r="R114" t="str">
        <f>"19"</f>
        <v>19</v>
      </c>
    </row>
    <row r="115" spans="1:18" x14ac:dyDescent="0.25">
      <c r="A115" t="s">
        <v>52</v>
      </c>
      <c r="B115" t="str">
        <f t="shared" si="35"/>
        <v>47000</v>
      </c>
      <c r="C115" t="str">
        <f>"687358325"</f>
        <v>687358325</v>
      </c>
      <c r="D115" s="2">
        <v>5</v>
      </c>
      <c r="E115" s="3" t="s">
        <v>58</v>
      </c>
      <c r="F115" s="2" t="str">
        <f t="shared" ref="F115:F123" si="40">"1126"</f>
        <v>1126</v>
      </c>
      <c r="G115" s="2">
        <v>191</v>
      </c>
      <c r="H115" s="2" t="s">
        <v>37</v>
      </c>
      <c r="I115" s="1">
        <v>42867.270254629628</v>
      </c>
      <c r="J115" t="str">
        <f t="shared" ref="J115:J121" si="41">"1"</f>
        <v>1</v>
      </c>
      <c r="K115" t="s">
        <v>19</v>
      </c>
      <c r="L115" s="1">
        <v>42867.31354166667</v>
      </c>
      <c r="M115" t="str">
        <f>"13"</f>
        <v>13</v>
      </c>
      <c r="N115" t="s">
        <v>27</v>
      </c>
      <c r="O115" t="str">
        <f>"81"</f>
        <v>81</v>
      </c>
      <c r="P115" t="str">
        <f>"92"</f>
        <v>92</v>
      </c>
      <c r="Q115" t="str">
        <f>"81"</f>
        <v>81</v>
      </c>
      <c r="R115" t="str">
        <f>"11"</f>
        <v>11</v>
      </c>
    </row>
    <row r="116" spans="1:18" x14ac:dyDescent="0.25">
      <c r="A116" t="s">
        <v>52</v>
      </c>
      <c r="B116" t="str">
        <f t="shared" si="35"/>
        <v>47000</v>
      </c>
      <c r="C116" t="str">
        <f>"691334389"</f>
        <v>691334389</v>
      </c>
      <c r="D116" s="2">
        <v>5</v>
      </c>
      <c r="E116" s="3" t="s">
        <v>58</v>
      </c>
      <c r="F116" s="2" t="str">
        <f t="shared" si="40"/>
        <v>1126</v>
      </c>
      <c r="G116" s="2">
        <v>191</v>
      </c>
      <c r="H116" s="2" t="s">
        <v>37</v>
      </c>
      <c r="I116" s="1">
        <v>42867.270300925928</v>
      </c>
      <c r="J116" t="str">
        <f t="shared" si="41"/>
        <v>1</v>
      </c>
      <c r="K116" t="s">
        <v>19</v>
      </c>
      <c r="L116" s="1">
        <v>42867.313449074078</v>
      </c>
      <c r="M116" t="str">
        <f>"13"</f>
        <v>13</v>
      </c>
      <c r="N116" t="s">
        <v>27</v>
      </c>
      <c r="O116" t="str">
        <f>"81"</f>
        <v>81</v>
      </c>
      <c r="P116" t="str">
        <f>"92"</f>
        <v>92</v>
      </c>
      <c r="Q116" t="str">
        <f>"81"</f>
        <v>81</v>
      </c>
      <c r="R116" t="str">
        <f>"11"</f>
        <v>11</v>
      </c>
    </row>
    <row r="117" spans="1:18" x14ac:dyDescent="0.25">
      <c r="A117" t="s">
        <v>52</v>
      </c>
      <c r="B117" t="str">
        <f t="shared" si="35"/>
        <v>47000</v>
      </c>
      <c r="C117" t="str">
        <f>"691334597"</f>
        <v>691334597</v>
      </c>
      <c r="D117" s="2">
        <v>5</v>
      </c>
      <c r="E117" s="3" t="s">
        <v>58</v>
      </c>
      <c r="F117" s="2" t="str">
        <f t="shared" si="40"/>
        <v>1126</v>
      </c>
      <c r="G117" s="2">
        <v>191</v>
      </c>
      <c r="H117" s="2" t="s">
        <v>37</v>
      </c>
      <c r="I117" s="1">
        <v>42867.27034722222</v>
      </c>
      <c r="J117" t="str">
        <f t="shared" si="41"/>
        <v>1</v>
      </c>
      <c r="K117" t="s">
        <v>19</v>
      </c>
      <c r="L117" s="1">
        <v>42867.31391203704</v>
      </c>
      <c r="M117" t="str">
        <f>"13"</f>
        <v>13</v>
      </c>
      <c r="N117" t="s">
        <v>27</v>
      </c>
      <c r="O117" t="str">
        <f>"81"</f>
        <v>81</v>
      </c>
      <c r="P117" t="str">
        <f>"92"</f>
        <v>92</v>
      </c>
      <c r="Q117" t="str">
        <f>"81"</f>
        <v>81</v>
      </c>
      <c r="R117" t="str">
        <f>"11"</f>
        <v>11</v>
      </c>
    </row>
    <row r="118" spans="1:18" x14ac:dyDescent="0.25">
      <c r="A118" t="s">
        <v>52</v>
      </c>
      <c r="B118" t="str">
        <f t="shared" si="35"/>
        <v>47000</v>
      </c>
      <c r="C118" t="str">
        <f>"687357445"</f>
        <v>687357445</v>
      </c>
      <c r="D118" s="2">
        <v>5</v>
      </c>
      <c r="E118" s="3" t="s">
        <v>58</v>
      </c>
      <c r="F118" s="2" t="str">
        <f t="shared" si="40"/>
        <v>1126</v>
      </c>
      <c r="G118" s="2">
        <v>191</v>
      </c>
      <c r="H118" s="2" t="s">
        <v>37</v>
      </c>
      <c r="I118" s="1">
        <v>42867.270416666666</v>
      </c>
      <c r="J118" t="str">
        <f t="shared" si="41"/>
        <v>1</v>
      </c>
      <c r="K118" t="s">
        <v>19</v>
      </c>
      <c r="L118" s="1">
        <v>42867.314016203702</v>
      </c>
      <c r="M118" t="str">
        <f>"13"</f>
        <v>13</v>
      </c>
      <c r="N118" t="s">
        <v>27</v>
      </c>
      <c r="O118" t="str">
        <f>"81"</f>
        <v>81</v>
      </c>
      <c r="P118" t="str">
        <f>"92"</f>
        <v>92</v>
      </c>
      <c r="Q118" t="str">
        <f>"81"</f>
        <v>81</v>
      </c>
      <c r="R118" t="str">
        <f>"11"</f>
        <v>11</v>
      </c>
    </row>
    <row r="119" spans="1:18" x14ac:dyDescent="0.25">
      <c r="A119" t="s">
        <v>52</v>
      </c>
      <c r="B119" t="str">
        <f t="shared" si="35"/>
        <v>47000</v>
      </c>
      <c r="C119" t="str">
        <f>"228579855"</f>
        <v>228579855</v>
      </c>
      <c r="D119" s="2">
        <v>0</v>
      </c>
      <c r="E119" s="3" t="s">
        <v>51</v>
      </c>
      <c r="F119" s="2" t="str">
        <f t="shared" si="40"/>
        <v>1126</v>
      </c>
      <c r="G119" s="2">
        <v>191</v>
      </c>
      <c r="H119" s="2" t="s">
        <v>37</v>
      </c>
      <c r="I119" s="1">
        <v>42867.273611111108</v>
      </c>
      <c r="J119" t="str">
        <f t="shared" si="41"/>
        <v>1</v>
      </c>
      <c r="K119" t="s">
        <v>19</v>
      </c>
      <c r="L119" s="1">
        <v>42867.283182870371</v>
      </c>
      <c r="M119" t="str">
        <f>"2"</f>
        <v>2</v>
      </c>
      <c r="N119" t="s">
        <v>26</v>
      </c>
      <c r="O119" t="str">
        <f>"21"</f>
        <v>21</v>
      </c>
      <c r="P119" t="str">
        <f>"24"</f>
        <v>24</v>
      </c>
      <c r="Q119" t="str">
        <f>"21"</f>
        <v>21</v>
      </c>
      <c r="R119" t="str">
        <f>"3"</f>
        <v>3</v>
      </c>
    </row>
    <row r="120" spans="1:18" x14ac:dyDescent="0.25">
      <c r="A120" t="s">
        <v>52</v>
      </c>
      <c r="B120" t="str">
        <f t="shared" si="35"/>
        <v>47000</v>
      </c>
      <c r="C120" t="str">
        <f>"192187681"</f>
        <v>192187681</v>
      </c>
      <c r="D120" s="2">
        <v>0</v>
      </c>
      <c r="E120" s="3" t="s">
        <v>51</v>
      </c>
      <c r="F120" s="2" t="str">
        <f t="shared" si="40"/>
        <v>1126</v>
      </c>
      <c r="G120" s="2">
        <v>191</v>
      </c>
      <c r="H120" s="2" t="s">
        <v>37</v>
      </c>
      <c r="I120" s="1">
        <v>42867.275763888887</v>
      </c>
      <c r="J120" t="str">
        <f t="shared" si="41"/>
        <v>1</v>
      </c>
      <c r="K120" t="s">
        <v>19</v>
      </c>
      <c r="L120" s="1">
        <v>42867.331192129626</v>
      </c>
      <c r="M120" t="str">
        <f>"18"</f>
        <v>18</v>
      </c>
      <c r="N120" t="s">
        <v>39</v>
      </c>
      <c r="O120" t="str">
        <f>"137"</f>
        <v>137</v>
      </c>
      <c r="P120" t="str">
        <f>"156"</f>
        <v>156</v>
      </c>
      <c r="Q120" t="str">
        <f>"137"</f>
        <v>137</v>
      </c>
      <c r="R120" t="str">
        <f>"19"</f>
        <v>19</v>
      </c>
    </row>
    <row r="121" spans="1:18" x14ac:dyDescent="0.25">
      <c r="A121" t="s">
        <v>52</v>
      </c>
      <c r="B121" t="str">
        <f t="shared" si="35"/>
        <v>47000</v>
      </c>
      <c r="C121" t="str">
        <f>"3584809843"</f>
        <v>3584809843</v>
      </c>
      <c r="D121" s="2">
        <v>8</v>
      </c>
      <c r="E121" s="3" t="s">
        <v>54</v>
      </c>
      <c r="F121" s="2" t="str">
        <f t="shared" si="40"/>
        <v>1126</v>
      </c>
      <c r="G121" s="2">
        <v>191</v>
      </c>
      <c r="H121" s="2" t="s">
        <v>37</v>
      </c>
      <c r="I121" s="1">
        <v>42867.278969907406</v>
      </c>
      <c r="J121" t="str">
        <f t="shared" si="41"/>
        <v>1</v>
      </c>
      <c r="K121" t="s">
        <v>19</v>
      </c>
      <c r="L121" s="1">
        <v>42867.313425925924</v>
      </c>
      <c r="M121" t="str">
        <f>"13"</f>
        <v>13</v>
      </c>
      <c r="N121" t="s">
        <v>27</v>
      </c>
      <c r="O121" t="str">
        <f>"40"</f>
        <v>40</v>
      </c>
      <c r="P121" t="str">
        <f>"46"</f>
        <v>46</v>
      </c>
      <c r="Q121" t="str">
        <f>"40"</f>
        <v>40</v>
      </c>
      <c r="R121" t="str">
        <f>"6"</f>
        <v>6</v>
      </c>
    </row>
    <row r="122" spans="1:18" x14ac:dyDescent="0.25">
      <c r="A122" t="s">
        <v>52</v>
      </c>
      <c r="B122" t="str">
        <f t="shared" si="35"/>
        <v>47000</v>
      </c>
      <c r="C122" t="str">
        <f>"891730613"</f>
        <v>891730613</v>
      </c>
      <c r="D122" s="2">
        <v>3</v>
      </c>
      <c r="E122" s="3" t="s">
        <v>55</v>
      </c>
      <c r="F122" s="2" t="str">
        <f t="shared" si="40"/>
        <v>1126</v>
      </c>
      <c r="G122" s="2">
        <v>191</v>
      </c>
      <c r="H122" s="2" t="s">
        <v>37</v>
      </c>
      <c r="I122" s="1">
        <v>42867.380960648145</v>
      </c>
      <c r="J122" t="str">
        <f>"18"</f>
        <v>18</v>
      </c>
      <c r="K122" t="s">
        <v>39</v>
      </c>
      <c r="L122" s="1">
        <v>42867.390138888892</v>
      </c>
      <c r="M122" t="str">
        <f>"15"</f>
        <v>15</v>
      </c>
      <c r="N122" t="s">
        <v>49</v>
      </c>
      <c r="O122" t="str">
        <f>"17"</f>
        <v>17</v>
      </c>
      <c r="P122" t="str">
        <f>"20"</f>
        <v>20</v>
      </c>
      <c r="Q122" t="str">
        <f>"17"</f>
        <v>17</v>
      </c>
      <c r="R122" t="str">
        <f>"3"</f>
        <v>3</v>
      </c>
    </row>
    <row r="123" spans="1:18" x14ac:dyDescent="0.25">
      <c r="A123" t="s">
        <v>52</v>
      </c>
      <c r="B123" t="str">
        <f t="shared" si="35"/>
        <v>47000</v>
      </c>
      <c r="C123" t="str">
        <f>"1643064997"</f>
        <v>1643064997</v>
      </c>
      <c r="D123" s="2">
        <v>0</v>
      </c>
      <c r="E123" s="3" t="s">
        <v>51</v>
      </c>
      <c r="F123" s="2" t="str">
        <f t="shared" si="40"/>
        <v>1126</v>
      </c>
      <c r="G123" s="2">
        <v>191</v>
      </c>
      <c r="H123" s="2" t="s">
        <v>37</v>
      </c>
      <c r="I123" s="1">
        <v>42867.422777777778</v>
      </c>
      <c r="J123" t="str">
        <f>"4"</f>
        <v>4</v>
      </c>
      <c r="K123" t="s">
        <v>41</v>
      </c>
      <c r="L123" s="1">
        <v>42867.428738425922</v>
      </c>
      <c r="M123" t="str">
        <f>"2"</f>
        <v>2</v>
      </c>
      <c r="N123" t="s">
        <v>26</v>
      </c>
      <c r="O123" t="str">
        <f>"21"</f>
        <v>21</v>
      </c>
      <c r="P123" t="str">
        <f>"24"</f>
        <v>24</v>
      </c>
      <c r="Q123" t="str">
        <f>"21"</f>
        <v>21</v>
      </c>
      <c r="R123" t="str">
        <f>"3"</f>
        <v>3</v>
      </c>
    </row>
    <row r="124" spans="1:18" x14ac:dyDescent="0.25">
      <c r="A124" t="s">
        <v>52</v>
      </c>
      <c r="B124" t="str">
        <f t="shared" ref="B124:B136" si="42">"47000"</f>
        <v>47000</v>
      </c>
      <c r="C124" t="str">
        <f>"754353317"</f>
        <v>754353317</v>
      </c>
      <c r="D124" s="2">
        <v>0</v>
      </c>
      <c r="E124" s="3" t="s">
        <v>51</v>
      </c>
      <c r="F124" s="2" t="str">
        <f>"1126"</f>
        <v>1126</v>
      </c>
      <c r="G124" s="2">
        <v>101</v>
      </c>
      <c r="H124" s="2" t="s">
        <v>25</v>
      </c>
      <c r="I124" s="1">
        <v>42870.454421296294</v>
      </c>
      <c r="J124" t="str">
        <f>"7"</f>
        <v>7</v>
      </c>
      <c r="K124" t="s">
        <v>28</v>
      </c>
      <c r="L124" s="1">
        <v>42870.469722222224</v>
      </c>
      <c r="M124" t="str">
        <f>"1"</f>
        <v>1</v>
      </c>
      <c r="N124" t="s">
        <v>19</v>
      </c>
      <c r="O124" t="str">
        <f>"39"</f>
        <v>39</v>
      </c>
      <c r="P124" t="str">
        <f>"44"</f>
        <v>44</v>
      </c>
      <c r="Q124" t="str">
        <f>"39"</f>
        <v>39</v>
      </c>
      <c r="R124" t="str">
        <f>"5"</f>
        <v>5</v>
      </c>
    </row>
    <row r="125" spans="1:18" x14ac:dyDescent="0.25">
      <c r="A125" t="s">
        <v>52</v>
      </c>
      <c r="B125" t="str">
        <f t="shared" si="42"/>
        <v>47000</v>
      </c>
      <c r="C125" t="str">
        <f>"1627014533"</f>
        <v>1627014533</v>
      </c>
      <c r="D125" s="2">
        <v>3</v>
      </c>
      <c r="E125" s="3" t="s">
        <v>55</v>
      </c>
      <c r="F125" s="2" t="str">
        <f t="shared" ref="F125:F152" si="43">"1133"</f>
        <v>1133</v>
      </c>
      <c r="G125" s="2">
        <v>208</v>
      </c>
      <c r="H125" s="2" t="s">
        <v>18</v>
      </c>
      <c r="I125" s="1">
        <v>42870.449224537035</v>
      </c>
      <c r="J125" t="str">
        <f>"1"</f>
        <v>1</v>
      </c>
      <c r="K125" t="s">
        <v>19</v>
      </c>
      <c r="L125" s="1">
        <v>42870.536712962959</v>
      </c>
      <c r="M125" t="str">
        <f>"18"</f>
        <v>18</v>
      </c>
      <c r="N125" t="s">
        <v>39</v>
      </c>
      <c r="O125" t="str">
        <f>"78"</f>
        <v>78</v>
      </c>
      <c r="P125" t="str">
        <f>"89"</f>
        <v>89</v>
      </c>
      <c r="Q125" t="str">
        <f>"78"</f>
        <v>78</v>
      </c>
      <c r="R125" t="str">
        <f>"11"</f>
        <v>11</v>
      </c>
    </row>
    <row r="126" spans="1:18" x14ac:dyDescent="0.25">
      <c r="A126" t="s">
        <v>52</v>
      </c>
      <c r="B126" t="str">
        <f t="shared" si="42"/>
        <v>47000</v>
      </c>
      <c r="C126" t="str">
        <f>"687417717"</f>
        <v>687417717</v>
      </c>
      <c r="D126" s="2">
        <v>4</v>
      </c>
      <c r="E126" s="3" t="s">
        <v>20</v>
      </c>
      <c r="F126" s="2" t="str">
        <f t="shared" si="43"/>
        <v>1133</v>
      </c>
      <c r="G126" s="2">
        <v>208</v>
      </c>
      <c r="H126" s="2" t="s">
        <v>18</v>
      </c>
      <c r="I126" s="1">
        <v>42870.449247685188</v>
      </c>
      <c r="J126" t="str">
        <f>"1"</f>
        <v>1</v>
      </c>
      <c r="K126" t="s">
        <v>19</v>
      </c>
      <c r="L126" s="1">
        <v>42870.536724537036</v>
      </c>
      <c r="M126" t="str">
        <f>"18"</f>
        <v>18</v>
      </c>
      <c r="N126" t="s">
        <v>39</v>
      </c>
      <c r="O126" t="str">
        <f>"78"</f>
        <v>78</v>
      </c>
      <c r="P126" t="str">
        <f>"177"</f>
        <v>177</v>
      </c>
      <c r="Q126" t="str">
        <f>"78"</f>
        <v>78</v>
      </c>
      <c r="R126" t="str">
        <f>"99"</f>
        <v>99</v>
      </c>
    </row>
    <row r="127" spans="1:18" x14ac:dyDescent="0.25">
      <c r="A127" t="s">
        <v>52</v>
      </c>
      <c r="B127" t="str">
        <f t="shared" si="42"/>
        <v>47000</v>
      </c>
      <c r="C127" t="str">
        <f>"1641015061"</f>
        <v>1641015061</v>
      </c>
      <c r="D127" s="2">
        <v>0</v>
      </c>
      <c r="E127" s="3" t="s">
        <v>51</v>
      </c>
      <c r="F127" s="2" t="str">
        <f t="shared" si="43"/>
        <v>1133</v>
      </c>
      <c r="G127" s="2">
        <v>208</v>
      </c>
      <c r="H127" s="2" t="s">
        <v>18</v>
      </c>
      <c r="I127" s="1">
        <v>42870.472326388888</v>
      </c>
      <c r="J127" t="str">
        <f>"3"</f>
        <v>3</v>
      </c>
      <c r="K127" t="s">
        <v>30</v>
      </c>
      <c r="L127" s="1">
        <v>42870.500104166669</v>
      </c>
      <c r="M127" t="str">
        <f>"12"</f>
        <v>12</v>
      </c>
      <c r="N127" t="s">
        <v>31</v>
      </c>
      <c r="O127" t="str">
        <f>"65"</f>
        <v>65</v>
      </c>
      <c r="P127" t="str">
        <f>"74"</f>
        <v>74</v>
      </c>
      <c r="Q127" t="str">
        <f>"65"</f>
        <v>65</v>
      </c>
      <c r="R127" t="str">
        <f>"9"</f>
        <v>9</v>
      </c>
    </row>
    <row r="128" spans="1:18" x14ac:dyDescent="0.25">
      <c r="A128" t="s">
        <v>52</v>
      </c>
      <c r="B128" t="str">
        <f t="shared" si="42"/>
        <v>47000</v>
      </c>
      <c r="C128" t="str">
        <f>"3947549262"</f>
        <v>3947549262</v>
      </c>
      <c r="D128" s="2">
        <v>0</v>
      </c>
      <c r="E128" s="3" t="s">
        <v>51</v>
      </c>
      <c r="F128" s="2" t="str">
        <f t="shared" si="43"/>
        <v>1133</v>
      </c>
      <c r="G128" s="2">
        <v>208</v>
      </c>
      <c r="H128" s="2" t="s">
        <v>18</v>
      </c>
      <c r="I128" s="1">
        <v>42870.497141203705</v>
      </c>
      <c r="J128" t="str">
        <f t="shared" ref="J128:J133" si="44">"12"</f>
        <v>12</v>
      </c>
      <c r="K128" t="s">
        <v>31</v>
      </c>
      <c r="L128" s="1">
        <v>42870.504293981481</v>
      </c>
      <c r="M128" t="str">
        <f>"13"</f>
        <v>13</v>
      </c>
      <c r="N128" t="s">
        <v>27</v>
      </c>
      <c r="O128" t="str">
        <f>"21"</f>
        <v>21</v>
      </c>
      <c r="P128" t="str">
        <f>"24"</f>
        <v>24</v>
      </c>
      <c r="Q128" t="str">
        <f>"21"</f>
        <v>21</v>
      </c>
      <c r="R128" t="str">
        <f>"3"</f>
        <v>3</v>
      </c>
    </row>
    <row r="129" spans="1:18" x14ac:dyDescent="0.25">
      <c r="A129" t="s">
        <v>52</v>
      </c>
      <c r="B129" t="str">
        <f t="shared" si="42"/>
        <v>47000</v>
      </c>
      <c r="C129" t="str">
        <f>"3201410627"</f>
        <v>3201410627</v>
      </c>
      <c r="D129" s="2">
        <v>1</v>
      </c>
      <c r="E129" s="3" t="s">
        <v>56</v>
      </c>
      <c r="F129" s="2" t="str">
        <f t="shared" si="43"/>
        <v>1133</v>
      </c>
      <c r="G129" s="2">
        <v>208</v>
      </c>
      <c r="H129" s="2" t="s">
        <v>18</v>
      </c>
      <c r="I129" s="1">
        <v>42870.497175925928</v>
      </c>
      <c r="J129" t="str">
        <f t="shared" si="44"/>
        <v>12</v>
      </c>
      <c r="K129" t="s">
        <v>31</v>
      </c>
      <c r="L129" s="1">
        <v>42870.504236111112</v>
      </c>
      <c r="M129" t="str">
        <f>"13"</f>
        <v>13</v>
      </c>
      <c r="N129" t="s">
        <v>27</v>
      </c>
      <c r="O129" t="str">
        <f>"11"</f>
        <v>11</v>
      </c>
      <c r="P129" t="str">
        <f>"12"</f>
        <v>12</v>
      </c>
      <c r="Q129" t="str">
        <f>"11"</f>
        <v>11</v>
      </c>
      <c r="R129" t="str">
        <f>"1"</f>
        <v>1</v>
      </c>
    </row>
    <row r="130" spans="1:18" x14ac:dyDescent="0.25">
      <c r="A130" t="s">
        <v>52</v>
      </c>
      <c r="B130" t="str">
        <f t="shared" si="42"/>
        <v>47000</v>
      </c>
      <c r="C130" t="str">
        <f>"2830438767"</f>
        <v>2830438767</v>
      </c>
      <c r="D130" s="2">
        <v>3</v>
      </c>
      <c r="E130" s="3" t="s">
        <v>55</v>
      </c>
      <c r="F130" s="2" t="str">
        <f t="shared" si="43"/>
        <v>1133</v>
      </c>
      <c r="G130" s="2">
        <v>208</v>
      </c>
      <c r="H130" s="2" t="s">
        <v>18</v>
      </c>
      <c r="I130" s="1">
        <v>42870.49722222222</v>
      </c>
      <c r="J130" t="str">
        <f t="shared" si="44"/>
        <v>12</v>
      </c>
      <c r="K130" t="s">
        <v>31</v>
      </c>
      <c r="L130" s="1">
        <v>42870.517557870371</v>
      </c>
      <c r="M130" t="str">
        <f>"16"</f>
        <v>16</v>
      </c>
      <c r="N130" t="s">
        <v>42</v>
      </c>
      <c r="O130" t="str">
        <f>"22"</f>
        <v>22</v>
      </c>
      <c r="P130" t="str">
        <f>"26"</f>
        <v>26</v>
      </c>
      <c r="Q130" t="str">
        <f>"22"</f>
        <v>22</v>
      </c>
      <c r="R130" t="str">
        <f>"4"</f>
        <v>4</v>
      </c>
    </row>
    <row r="131" spans="1:18" x14ac:dyDescent="0.25">
      <c r="A131" t="s">
        <v>52</v>
      </c>
      <c r="B131" t="str">
        <f t="shared" si="42"/>
        <v>47000</v>
      </c>
      <c r="C131" t="str">
        <f>"244367377"</f>
        <v>244367377</v>
      </c>
      <c r="D131" s="2">
        <v>0</v>
      </c>
      <c r="E131" s="3" t="s">
        <v>51</v>
      </c>
      <c r="F131" s="2" t="str">
        <f t="shared" si="43"/>
        <v>1133</v>
      </c>
      <c r="G131" s="2">
        <v>208</v>
      </c>
      <c r="H131" s="2" t="s">
        <v>18</v>
      </c>
      <c r="I131" s="1">
        <v>42870.497361111113</v>
      </c>
      <c r="J131" t="str">
        <f t="shared" si="44"/>
        <v>12</v>
      </c>
      <c r="K131" t="s">
        <v>31</v>
      </c>
      <c r="L131" s="1">
        <v>42870.506238425929</v>
      </c>
      <c r="M131" t="str">
        <f>"14"</f>
        <v>14</v>
      </c>
      <c r="N131" t="s">
        <v>43</v>
      </c>
      <c r="O131" t="str">
        <f>"22"</f>
        <v>22</v>
      </c>
      <c r="P131" t="str">
        <f>"25"</f>
        <v>25</v>
      </c>
      <c r="Q131" t="str">
        <f>"22"</f>
        <v>22</v>
      </c>
      <c r="R131" t="str">
        <f>"3"</f>
        <v>3</v>
      </c>
    </row>
    <row r="132" spans="1:18" x14ac:dyDescent="0.25">
      <c r="A132" t="s">
        <v>52</v>
      </c>
      <c r="B132" t="str">
        <f t="shared" si="42"/>
        <v>47000</v>
      </c>
      <c r="C132" t="str">
        <f>"715203605"</f>
        <v>715203605</v>
      </c>
      <c r="D132" s="2">
        <v>0</v>
      </c>
      <c r="E132" s="3" t="s">
        <v>51</v>
      </c>
      <c r="F132" s="2" t="str">
        <f t="shared" si="43"/>
        <v>1133</v>
      </c>
      <c r="G132" s="2">
        <v>208</v>
      </c>
      <c r="H132" s="2" t="s">
        <v>18</v>
      </c>
      <c r="I132" s="1">
        <v>42870.497465277775</v>
      </c>
      <c r="J132" t="str">
        <f t="shared" si="44"/>
        <v>12</v>
      </c>
      <c r="K132" t="s">
        <v>31</v>
      </c>
      <c r="L132" s="1">
        <v>42870.506284722222</v>
      </c>
      <c r="M132" t="str">
        <f>"14"</f>
        <v>14</v>
      </c>
      <c r="N132" t="s">
        <v>43</v>
      </c>
      <c r="O132" t="str">
        <f>"22"</f>
        <v>22</v>
      </c>
      <c r="P132" t="str">
        <f>"25"</f>
        <v>25</v>
      </c>
      <c r="Q132" t="str">
        <f>"22"</f>
        <v>22</v>
      </c>
      <c r="R132" t="str">
        <f>"3"</f>
        <v>3</v>
      </c>
    </row>
    <row r="133" spans="1:18" x14ac:dyDescent="0.25">
      <c r="A133" t="s">
        <v>52</v>
      </c>
      <c r="B133" t="str">
        <f t="shared" si="42"/>
        <v>47000</v>
      </c>
      <c r="C133" t="str">
        <f>"863595205"</f>
        <v>863595205</v>
      </c>
      <c r="D133" s="2">
        <v>0</v>
      </c>
      <c r="E133" s="3" t="s">
        <v>51</v>
      </c>
      <c r="F133" s="2" t="str">
        <f t="shared" si="43"/>
        <v>1133</v>
      </c>
      <c r="G133" s="2">
        <v>208</v>
      </c>
      <c r="H133" s="2" t="s">
        <v>18</v>
      </c>
      <c r="I133" s="1">
        <v>42870.497523148151</v>
      </c>
      <c r="J133" t="str">
        <f t="shared" si="44"/>
        <v>12</v>
      </c>
      <c r="K133" t="s">
        <v>31</v>
      </c>
      <c r="L133" s="1">
        <v>42870.506273148145</v>
      </c>
      <c r="M133" t="str">
        <f>"14"</f>
        <v>14</v>
      </c>
      <c r="N133" t="s">
        <v>43</v>
      </c>
      <c r="O133" t="str">
        <f>"22"</f>
        <v>22</v>
      </c>
      <c r="P133" t="str">
        <f>"25"</f>
        <v>25</v>
      </c>
      <c r="Q133" t="str">
        <f>"22"</f>
        <v>22</v>
      </c>
      <c r="R133" t="str">
        <f>"3"</f>
        <v>3</v>
      </c>
    </row>
    <row r="134" spans="1:18" x14ac:dyDescent="0.25">
      <c r="A134" t="s">
        <v>53</v>
      </c>
      <c r="B134" t="str">
        <f t="shared" si="42"/>
        <v>47000</v>
      </c>
      <c r="C134" t="str">
        <f>"D25A3B06"</f>
        <v>D25A3B06</v>
      </c>
      <c r="D134" s="2" t="s">
        <v>21</v>
      </c>
      <c r="E134" s="3" t="s">
        <v>59</v>
      </c>
      <c r="F134" s="2" t="str">
        <f t="shared" si="43"/>
        <v>1133</v>
      </c>
      <c r="G134" s="2">
        <v>208</v>
      </c>
      <c r="H134" s="2" t="s">
        <v>18</v>
      </c>
      <c r="I134" s="1">
        <v>42870.504490740743</v>
      </c>
      <c r="J134" t="str">
        <f>"13"</f>
        <v>13</v>
      </c>
      <c r="K134" t="s">
        <v>27</v>
      </c>
      <c r="L134" s="1">
        <v>42870.536851851852</v>
      </c>
      <c r="M134" t="str">
        <f>"18"</f>
        <v>18</v>
      </c>
      <c r="N134" t="s">
        <v>39</v>
      </c>
      <c r="O134" t="str">
        <f>"69"</f>
        <v>69</v>
      </c>
      <c r="P134" t="str">
        <f>"78"</f>
        <v>78</v>
      </c>
      <c r="Q134" t="str">
        <f>"69"</f>
        <v>69</v>
      </c>
      <c r="R134" t="str">
        <f>"9"</f>
        <v>9</v>
      </c>
    </row>
    <row r="135" spans="1:18" x14ac:dyDescent="0.25">
      <c r="A135" t="s">
        <v>52</v>
      </c>
      <c r="B135" t="str">
        <f t="shared" si="42"/>
        <v>47000</v>
      </c>
      <c r="C135" t="str">
        <f>"1047316384"</f>
        <v>1047316384</v>
      </c>
      <c r="D135" s="2">
        <v>5</v>
      </c>
      <c r="E135" s="3" t="s">
        <v>58</v>
      </c>
      <c r="F135" s="2" t="str">
        <f t="shared" si="43"/>
        <v>1133</v>
      </c>
      <c r="G135" s="2">
        <v>208</v>
      </c>
      <c r="H135" s="2" t="s">
        <v>18</v>
      </c>
      <c r="I135" s="1">
        <v>42870.506701388891</v>
      </c>
      <c r="J135" t="str">
        <f>"14"</f>
        <v>14</v>
      </c>
      <c r="K135" t="s">
        <v>43</v>
      </c>
      <c r="L135" s="1">
        <v>42870.51767361111</v>
      </c>
      <c r="M135" t="str">
        <f>"16"</f>
        <v>16</v>
      </c>
      <c r="N135" t="s">
        <v>42</v>
      </c>
      <c r="O135" t="str">
        <f>"33"</f>
        <v>33</v>
      </c>
      <c r="P135" t="str">
        <f>"37"</f>
        <v>37</v>
      </c>
      <c r="Q135" t="str">
        <f>"33"</f>
        <v>33</v>
      </c>
      <c r="R135" t="str">
        <f>"4"</f>
        <v>4</v>
      </c>
    </row>
    <row r="136" spans="1:18" x14ac:dyDescent="0.25">
      <c r="A136" t="s">
        <v>52</v>
      </c>
      <c r="B136" t="str">
        <f t="shared" si="42"/>
        <v>47000</v>
      </c>
      <c r="C136" t="str">
        <f>"751465173"</f>
        <v>751465173</v>
      </c>
      <c r="D136" s="2">
        <v>5</v>
      </c>
      <c r="E136" s="3" t="s">
        <v>58</v>
      </c>
      <c r="F136" s="2" t="str">
        <f t="shared" si="43"/>
        <v>1133</v>
      </c>
      <c r="G136" s="2">
        <v>208</v>
      </c>
      <c r="H136" s="2" t="s">
        <v>18</v>
      </c>
      <c r="I136" s="1">
        <v>42870.506724537037</v>
      </c>
      <c r="J136" t="str">
        <f>"14"</f>
        <v>14</v>
      </c>
      <c r="K136" t="s">
        <v>43</v>
      </c>
      <c r="L136" s="1">
        <v>42870.517650462964</v>
      </c>
      <c r="M136" t="str">
        <f>"16"</f>
        <v>16</v>
      </c>
      <c r="N136" t="s">
        <v>42</v>
      </c>
      <c r="O136" t="str">
        <f>"33"</f>
        <v>33</v>
      </c>
      <c r="P136" t="str">
        <f>"37"</f>
        <v>37</v>
      </c>
      <c r="Q136" t="str">
        <f>"33"</f>
        <v>33</v>
      </c>
      <c r="R136" t="str">
        <f>"4"</f>
        <v>4</v>
      </c>
    </row>
    <row r="137" spans="1:18" x14ac:dyDescent="0.25">
      <c r="A137" t="s">
        <v>52</v>
      </c>
      <c r="B137" t="str">
        <f t="shared" ref="B137:B152" si="45">"47000"</f>
        <v>47000</v>
      </c>
      <c r="C137" t="str">
        <f>"830035280"</f>
        <v>830035280</v>
      </c>
      <c r="D137" s="2">
        <v>5</v>
      </c>
      <c r="E137" s="3" t="s">
        <v>58</v>
      </c>
      <c r="F137" s="2" t="str">
        <f t="shared" si="43"/>
        <v>1133</v>
      </c>
      <c r="G137" s="2">
        <v>208</v>
      </c>
      <c r="H137" s="2" t="s">
        <v>18</v>
      </c>
      <c r="I137" s="1">
        <v>42870.50675925926</v>
      </c>
      <c r="J137" t="str">
        <f>"14"</f>
        <v>14</v>
      </c>
      <c r="K137" t="s">
        <v>43</v>
      </c>
      <c r="L137" s="1">
        <v>42870.51761574074</v>
      </c>
      <c r="M137" t="str">
        <f>"16"</f>
        <v>16</v>
      </c>
      <c r="N137" t="s">
        <v>42</v>
      </c>
      <c r="O137" t="str">
        <f>"33"</f>
        <v>33</v>
      </c>
      <c r="P137" t="str">
        <f>"37"</f>
        <v>37</v>
      </c>
      <c r="Q137" t="str">
        <f>"33"</f>
        <v>33</v>
      </c>
      <c r="R137" t="str">
        <f>"4"</f>
        <v>4</v>
      </c>
    </row>
    <row r="138" spans="1:18" x14ac:dyDescent="0.25">
      <c r="A138" t="s">
        <v>52</v>
      </c>
      <c r="B138" t="str">
        <f t="shared" si="45"/>
        <v>47000</v>
      </c>
      <c r="C138" t="str">
        <f>"1627014533"</f>
        <v>1627014533</v>
      </c>
      <c r="D138" s="2">
        <v>3</v>
      </c>
      <c r="E138" s="3" t="s">
        <v>55</v>
      </c>
      <c r="F138" s="2" t="str">
        <f t="shared" si="43"/>
        <v>1133</v>
      </c>
      <c r="G138" s="2">
        <v>208</v>
      </c>
      <c r="H138" s="2" t="s">
        <v>18</v>
      </c>
      <c r="I138" s="1">
        <v>42870.581608796296</v>
      </c>
      <c r="J138" t="str">
        <f>"18"</f>
        <v>18</v>
      </c>
      <c r="K138" t="s">
        <v>39</v>
      </c>
      <c r="L138" s="1">
        <v>42870.67728009259</v>
      </c>
      <c r="M138" t="str">
        <f>"1"</f>
        <v>1</v>
      </c>
      <c r="N138" t="s">
        <v>19</v>
      </c>
      <c r="O138" t="str">
        <f>"78"</f>
        <v>78</v>
      </c>
      <c r="P138" t="str">
        <f>"89"</f>
        <v>89</v>
      </c>
      <c r="Q138" t="str">
        <f>"78"</f>
        <v>78</v>
      </c>
      <c r="R138" t="str">
        <f>"11"</f>
        <v>11</v>
      </c>
    </row>
    <row r="139" spans="1:18" x14ac:dyDescent="0.25">
      <c r="A139" t="s">
        <v>52</v>
      </c>
      <c r="B139" t="str">
        <f t="shared" si="45"/>
        <v>47000</v>
      </c>
      <c r="C139" t="str">
        <f>"687417717"</f>
        <v>687417717</v>
      </c>
      <c r="D139" s="2">
        <v>4</v>
      </c>
      <c r="E139" s="3" t="s">
        <v>20</v>
      </c>
      <c r="F139" s="2" t="str">
        <f t="shared" si="43"/>
        <v>1133</v>
      </c>
      <c r="G139" s="2">
        <v>208</v>
      </c>
      <c r="H139" s="2" t="s">
        <v>18</v>
      </c>
      <c r="I139" s="1">
        <v>42870.581631944442</v>
      </c>
      <c r="J139" t="str">
        <f>"18"</f>
        <v>18</v>
      </c>
      <c r="K139" t="s">
        <v>39</v>
      </c>
      <c r="L139" s="1">
        <v>42870.677303240744</v>
      </c>
      <c r="M139" t="str">
        <f>"1"</f>
        <v>1</v>
      </c>
      <c r="N139" t="s">
        <v>19</v>
      </c>
      <c r="O139" t="str">
        <f>"78"</f>
        <v>78</v>
      </c>
      <c r="P139" t="str">
        <f>"177"</f>
        <v>177</v>
      </c>
      <c r="Q139" t="str">
        <f>"78"</f>
        <v>78</v>
      </c>
      <c r="R139" t="str">
        <f>"99"</f>
        <v>99</v>
      </c>
    </row>
    <row r="140" spans="1:18" x14ac:dyDescent="0.25">
      <c r="A140" t="s">
        <v>52</v>
      </c>
      <c r="B140" t="str">
        <f t="shared" si="45"/>
        <v>47000</v>
      </c>
      <c r="C140" t="str">
        <f>"4222805517"</f>
        <v>4222805517</v>
      </c>
      <c r="D140" s="2">
        <v>1</v>
      </c>
      <c r="E140" s="3" t="s">
        <v>56</v>
      </c>
      <c r="F140" s="2" t="str">
        <f t="shared" si="43"/>
        <v>1133</v>
      </c>
      <c r="G140" s="2">
        <v>208</v>
      </c>
      <c r="H140" s="2" t="s">
        <v>18</v>
      </c>
      <c r="I140" s="1">
        <v>42870.588460648149</v>
      </c>
      <c r="J140" t="str">
        <f t="shared" ref="J140:J146" si="46">"17"</f>
        <v>17</v>
      </c>
      <c r="K140" t="s">
        <v>47</v>
      </c>
      <c r="L140" s="1">
        <v>42870.615011574075</v>
      </c>
      <c r="M140" t="str">
        <f>"14"</f>
        <v>14</v>
      </c>
      <c r="N140" t="s">
        <v>43</v>
      </c>
      <c r="O140" t="str">
        <f>"26"</f>
        <v>26</v>
      </c>
      <c r="P140" t="str">
        <f>"30"</f>
        <v>30</v>
      </c>
      <c r="Q140" t="str">
        <f>"26"</f>
        <v>26</v>
      </c>
      <c r="R140" t="str">
        <f>"4"</f>
        <v>4</v>
      </c>
    </row>
    <row r="141" spans="1:18" x14ac:dyDescent="0.25">
      <c r="A141" t="s">
        <v>52</v>
      </c>
      <c r="B141" t="str">
        <f t="shared" si="45"/>
        <v>47000</v>
      </c>
      <c r="C141" t="str">
        <f>"795822101"</f>
        <v>795822101</v>
      </c>
      <c r="D141" s="2">
        <v>1</v>
      </c>
      <c r="E141" s="3" t="s">
        <v>56</v>
      </c>
      <c r="F141" s="2" t="str">
        <f t="shared" si="43"/>
        <v>1133</v>
      </c>
      <c r="G141" s="2">
        <v>208</v>
      </c>
      <c r="H141" s="2" t="s">
        <v>18</v>
      </c>
      <c r="I141" s="1">
        <v>42870.588483796295</v>
      </c>
      <c r="J141" t="str">
        <f t="shared" si="46"/>
        <v>17</v>
      </c>
      <c r="K141" t="s">
        <v>47</v>
      </c>
      <c r="L141" s="1">
        <v>42870.614953703705</v>
      </c>
      <c r="M141" t="str">
        <f>"14"</f>
        <v>14</v>
      </c>
      <c r="N141" t="s">
        <v>43</v>
      </c>
      <c r="O141" t="str">
        <f>"26"</f>
        <v>26</v>
      </c>
      <c r="P141" t="str">
        <f>"30"</f>
        <v>30</v>
      </c>
      <c r="Q141" t="str">
        <f>"26"</f>
        <v>26</v>
      </c>
      <c r="R141" t="str">
        <f>"4"</f>
        <v>4</v>
      </c>
    </row>
    <row r="142" spans="1:18" x14ac:dyDescent="0.25">
      <c r="A142" t="s">
        <v>52</v>
      </c>
      <c r="B142" t="str">
        <f t="shared" si="45"/>
        <v>47000</v>
      </c>
      <c r="C142" t="str">
        <f>"2489475010"</f>
        <v>2489475010</v>
      </c>
      <c r="D142" s="2">
        <v>0</v>
      </c>
      <c r="E142" s="3" t="s">
        <v>51</v>
      </c>
      <c r="F142" s="2" t="str">
        <f t="shared" si="43"/>
        <v>1133</v>
      </c>
      <c r="G142" s="2">
        <v>208</v>
      </c>
      <c r="H142" s="2" t="s">
        <v>18</v>
      </c>
      <c r="I142" s="1">
        <v>42870.597962962966</v>
      </c>
      <c r="J142" t="str">
        <f t="shared" si="46"/>
        <v>17</v>
      </c>
      <c r="K142" t="s">
        <v>47</v>
      </c>
      <c r="L142" s="1">
        <v>42870.664444444446</v>
      </c>
      <c r="M142" t="str">
        <f>"1"</f>
        <v>1</v>
      </c>
      <c r="N142" t="s">
        <v>19</v>
      </c>
      <c r="O142" t="str">
        <f>"149"</f>
        <v>149</v>
      </c>
      <c r="P142" t="str">
        <f>"170"</f>
        <v>170</v>
      </c>
      <c r="Q142" t="str">
        <f>"149"</f>
        <v>149</v>
      </c>
      <c r="R142" t="str">
        <f>"21"</f>
        <v>21</v>
      </c>
    </row>
    <row r="143" spans="1:18" x14ac:dyDescent="0.25">
      <c r="A143" t="s">
        <v>52</v>
      </c>
      <c r="B143" t="str">
        <f t="shared" si="45"/>
        <v>47000</v>
      </c>
      <c r="C143" t="str">
        <f>"870485160"</f>
        <v>870485160</v>
      </c>
      <c r="D143" s="2">
        <v>5</v>
      </c>
      <c r="E143" s="3" t="s">
        <v>58</v>
      </c>
      <c r="F143" s="2" t="str">
        <f t="shared" si="43"/>
        <v>1133</v>
      </c>
      <c r="G143" s="2">
        <v>208</v>
      </c>
      <c r="H143" s="2" t="s">
        <v>18</v>
      </c>
      <c r="I143" s="1">
        <v>42870.598055555558</v>
      </c>
      <c r="J143" t="str">
        <f t="shared" si="46"/>
        <v>17</v>
      </c>
      <c r="K143" t="s">
        <v>47</v>
      </c>
      <c r="L143" s="1">
        <v>42870.664513888885</v>
      </c>
      <c r="M143" t="str">
        <f>"1"</f>
        <v>1</v>
      </c>
      <c r="N143" t="s">
        <v>19</v>
      </c>
      <c r="O143" t="str">
        <f>"149"</f>
        <v>149</v>
      </c>
      <c r="P143" t="str">
        <f>"170"</f>
        <v>170</v>
      </c>
      <c r="Q143" t="str">
        <f>"149"</f>
        <v>149</v>
      </c>
      <c r="R143" t="str">
        <f>"21"</f>
        <v>21</v>
      </c>
    </row>
    <row r="144" spans="1:18" x14ac:dyDescent="0.25">
      <c r="A144" t="s">
        <v>52</v>
      </c>
      <c r="B144" t="str">
        <f t="shared" si="45"/>
        <v>47000</v>
      </c>
      <c r="C144" t="str">
        <f>"2807374831"</f>
        <v>2807374831</v>
      </c>
      <c r="D144" s="2">
        <v>0</v>
      </c>
      <c r="E144" s="3" t="s">
        <v>51</v>
      </c>
      <c r="F144" s="2" t="str">
        <f t="shared" si="43"/>
        <v>1133</v>
      </c>
      <c r="G144" s="2">
        <v>208</v>
      </c>
      <c r="H144" s="2" t="s">
        <v>18</v>
      </c>
      <c r="I144" s="1">
        <v>42870.598078703704</v>
      </c>
      <c r="J144" t="str">
        <f t="shared" si="46"/>
        <v>17</v>
      </c>
      <c r="K144" t="s">
        <v>47</v>
      </c>
      <c r="L144" s="1">
        <v>42870.664479166669</v>
      </c>
      <c r="M144" t="str">
        <f>"1"</f>
        <v>1</v>
      </c>
      <c r="N144" t="s">
        <v>19</v>
      </c>
      <c r="O144" t="str">
        <f>"149"</f>
        <v>149</v>
      </c>
      <c r="P144" t="str">
        <f>"170"</f>
        <v>170</v>
      </c>
      <c r="Q144" t="str">
        <f>"149"</f>
        <v>149</v>
      </c>
      <c r="R144" t="str">
        <f>"21"</f>
        <v>21</v>
      </c>
    </row>
    <row r="145" spans="1:18" x14ac:dyDescent="0.25">
      <c r="A145" t="s">
        <v>52</v>
      </c>
      <c r="B145" t="str">
        <f t="shared" si="45"/>
        <v>47000</v>
      </c>
      <c r="C145" t="str">
        <f>"838740510"</f>
        <v>838740510</v>
      </c>
      <c r="D145" s="2">
        <v>3</v>
      </c>
      <c r="E145" s="3" t="s">
        <v>55</v>
      </c>
      <c r="F145" s="2" t="str">
        <f t="shared" si="43"/>
        <v>1133</v>
      </c>
      <c r="G145" s="2">
        <v>208</v>
      </c>
      <c r="H145" s="2" t="s">
        <v>18</v>
      </c>
      <c r="I145" s="1">
        <v>42870.598194444443</v>
      </c>
      <c r="J145" t="str">
        <f t="shared" si="46"/>
        <v>17</v>
      </c>
      <c r="K145" t="s">
        <v>47</v>
      </c>
      <c r="L145" s="1">
        <v>42870.615243055552</v>
      </c>
      <c r="M145" t="str">
        <f>"14"</f>
        <v>14</v>
      </c>
      <c r="N145" t="s">
        <v>43</v>
      </c>
      <c r="O145" t="str">
        <f>"26"</f>
        <v>26</v>
      </c>
      <c r="P145" t="str">
        <f>"30"</f>
        <v>30</v>
      </c>
      <c r="Q145" t="str">
        <f>"26"</f>
        <v>26</v>
      </c>
      <c r="R145" t="str">
        <f>"4"</f>
        <v>4</v>
      </c>
    </row>
    <row r="146" spans="1:18" x14ac:dyDescent="0.25">
      <c r="A146" t="s">
        <v>52</v>
      </c>
      <c r="B146" t="str">
        <f t="shared" si="45"/>
        <v>47000</v>
      </c>
      <c r="C146" t="str">
        <f>"2460778451"</f>
        <v>2460778451</v>
      </c>
      <c r="D146" s="2">
        <v>0</v>
      </c>
      <c r="E146" s="3" t="s">
        <v>51</v>
      </c>
      <c r="F146" s="2" t="str">
        <f t="shared" si="43"/>
        <v>1133</v>
      </c>
      <c r="G146" s="2">
        <v>208</v>
      </c>
      <c r="H146" s="2" t="s">
        <v>18</v>
      </c>
      <c r="I146" s="1">
        <v>42870.599259259259</v>
      </c>
      <c r="J146" t="str">
        <f t="shared" si="46"/>
        <v>17</v>
      </c>
      <c r="K146" t="s">
        <v>47</v>
      </c>
      <c r="L146" s="1">
        <v>42870.615277777775</v>
      </c>
      <c r="M146" t="str">
        <f>"14"</f>
        <v>14</v>
      </c>
      <c r="N146" t="s">
        <v>43</v>
      </c>
      <c r="O146" t="str">
        <f>"53"</f>
        <v>53</v>
      </c>
      <c r="P146" t="str">
        <f>"60"</f>
        <v>60</v>
      </c>
      <c r="Q146" t="str">
        <f>"53"</f>
        <v>53</v>
      </c>
      <c r="R146" t="str">
        <f>"7"</f>
        <v>7</v>
      </c>
    </row>
    <row r="147" spans="1:18" x14ac:dyDescent="0.25">
      <c r="A147" t="s">
        <v>52</v>
      </c>
      <c r="B147" t="str">
        <f t="shared" si="45"/>
        <v>47000</v>
      </c>
      <c r="C147" t="str">
        <f>"888186078"</f>
        <v>888186078</v>
      </c>
      <c r="D147" s="2">
        <v>1</v>
      </c>
      <c r="E147" s="3" t="s">
        <v>56</v>
      </c>
      <c r="F147" s="2" t="str">
        <f t="shared" si="43"/>
        <v>1133</v>
      </c>
      <c r="G147" s="2">
        <v>208</v>
      </c>
      <c r="H147" s="2" t="s">
        <v>18</v>
      </c>
      <c r="I147" s="1">
        <v>42870.622395833336</v>
      </c>
      <c r="J147" t="str">
        <f>"13"</f>
        <v>13</v>
      </c>
      <c r="K147" t="s">
        <v>27</v>
      </c>
      <c r="L147" s="1">
        <v>42870.672037037039</v>
      </c>
      <c r="M147" t="str">
        <f>"1"</f>
        <v>1</v>
      </c>
      <c r="N147" t="s">
        <v>19</v>
      </c>
      <c r="O147" t="str">
        <f>"43"</f>
        <v>43</v>
      </c>
      <c r="P147" t="str">
        <f>"50"</f>
        <v>50</v>
      </c>
      <c r="Q147" t="str">
        <f>"43"</f>
        <v>43</v>
      </c>
      <c r="R147" t="str">
        <f>"7"</f>
        <v>7</v>
      </c>
    </row>
    <row r="148" spans="1:18" x14ac:dyDescent="0.25">
      <c r="A148" t="s">
        <v>52</v>
      </c>
      <c r="B148" t="str">
        <f t="shared" si="45"/>
        <v>47000</v>
      </c>
      <c r="C148" t="str">
        <f>"302406607"</f>
        <v>302406607</v>
      </c>
      <c r="D148" s="2">
        <v>0</v>
      </c>
      <c r="E148" s="3" t="s">
        <v>51</v>
      </c>
      <c r="F148" s="2" t="str">
        <f t="shared" si="43"/>
        <v>1133</v>
      </c>
      <c r="G148" s="2">
        <v>208</v>
      </c>
      <c r="H148" s="2" t="s">
        <v>18</v>
      </c>
      <c r="I148" s="1">
        <v>42870.622453703705</v>
      </c>
      <c r="J148" t="str">
        <f>"13"</f>
        <v>13</v>
      </c>
      <c r="K148" t="s">
        <v>27</v>
      </c>
      <c r="L148" s="1">
        <v>42870.628622685188</v>
      </c>
      <c r="M148" t="str">
        <f>"12"</f>
        <v>12</v>
      </c>
      <c r="N148" t="s">
        <v>31</v>
      </c>
      <c r="O148" t="str">
        <f>"21"</f>
        <v>21</v>
      </c>
      <c r="P148" t="str">
        <f>"24"</f>
        <v>24</v>
      </c>
      <c r="Q148" t="str">
        <f>"21"</f>
        <v>21</v>
      </c>
      <c r="R148" t="str">
        <f>"3"</f>
        <v>3</v>
      </c>
    </row>
    <row r="149" spans="1:18" x14ac:dyDescent="0.25">
      <c r="A149" t="s">
        <v>52</v>
      </c>
      <c r="B149" t="str">
        <f t="shared" si="45"/>
        <v>47000</v>
      </c>
      <c r="C149" t="str">
        <f>"1770099232"</f>
        <v>1770099232</v>
      </c>
      <c r="D149" s="2">
        <v>1</v>
      </c>
      <c r="E149" s="3" t="s">
        <v>56</v>
      </c>
      <c r="F149" s="2" t="str">
        <f t="shared" si="43"/>
        <v>1133</v>
      </c>
      <c r="G149" s="2">
        <v>208</v>
      </c>
      <c r="H149" s="2" t="s">
        <v>18</v>
      </c>
      <c r="I149" s="1">
        <v>42870.622523148151</v>
      </c>
      <c r="J149" t="str">
        <f>"13"</f>
        <v>13</v>
      </c>
      <c r="K149" t="s">
        <v>27</v>
      </c>
      <c r="L149" s="1">
        <v>42870.672013888892</v>
      </c>
      <c r="M149" t="str">
        <f>"1"</f>
        <v>1</v>
      </c>
      <c r="N149" t="s">
        <v>19</v>
      </c>
      <c r="O149" t="str">
        <f>"43"</f>
        <v>43</v>
      </c>
      <c r="P149" t="str">
        <f>"50"</f>
        <v>50</v>
      </c>
      <c r="Q149" t="str">
        <f>"43"</f>
        <v>43</v>
      </c>
      <c r="R149" t="str">
        <f>"7"</f>
        <v>7</v>
      </c>
    </row>
    <row r="150" spans="1:18" x14ac:dyDescent="0.25">
      <c r="A150" t="s">
        <v>52</v>
      </c>
      <c r="B150" t="str">
        <f t="shared" si="45"/>
        <v>47000</v>
      </c>
      <c r="C150" t="str">
        <f>"1621383653"</f>
        <v>1621383653</v>
      </c>
      <c r="D150" s="2">
        <v>1</v>
      </c>
      <c r="E150" s="3" t="s">
        <v>56</v>
      </c>
      <c r="F150" s="2" t="str">
        <f t="shared" si="43"/>
        <v>1133</v>
      </c>
      <c r="G150" s="2">
        <v>208</v>
      </c>
      <c r="H150" s="2" t="s">
        <v>18</v>
      </c>
      <c r="I150" s="1">
        <v>42870.622557870367</v>
      </c>
      <c r="J150" t="str">
        <f>"13"</f>
        <v>13</v>
      </c>
      <c r="K150" t="s">
        <v>27</v>
      </c>
      <c r="L150" s="1">
        <v>42870.672071759262</v>
      </c>
      <c r="M150" t="str">
        <f>"1"</f>
        <v>1</v>
      </c>
      <c r="N150" t="s">
        <v>19</v>
      </c>
      <c r="O150" t="str">
        <f>"43"</f>
        <v>43</v>
      </c>
      <c r="P150" t="str">
        <f>"50"</f>
        <v>50</v>
      </c>
      <c r="Q150" t="str">
        <f>"43"</f>
        <v>43</v>
      </c>
      <c r="R150" t="str">
        <f>"7"</f>
        <v>7</v>
      </c>
    </row>
    <row r="151" spans="1:18" x14ac:dyDescent="0.25">
      <c r="A151" t="s">
        <v>52</v>
      </c>
      <c r="B151" t="str">
        <f t="shared" si="45"/>
        <v>47000</v>
      </c>
      <c r="C151" t="str">
        <f>"891315061"</f>
        <v>891315061</v>
      </c>
      <c r="D151" s="2">
        <v>1</v>
      </c>
      <c r="E151" s="3" t="s">
        <v>56</v>
      </c>
      <c r="F151" s="2" t="str">
        <f t="shared" si="43"/>
        <v>1133</v>
      </c>
      <c r="G151" s="2">
        <v>208</v>
      </c>
      <c r="H151" s="2" t="s">
        <v>18</v>
      </c>
      <c r="I151" s="1">
        <v>42870.622696759259</v>
      </c>
      <c r="J151" t="str">
        <f>"13"</f>
        <v>13</v>
      </c>
      <c r="K151" t="s">
        <v>27</v>
      </c>
      <c r="L151" s="1">
        <v>42870.672094907408</v>
      </c>
      <c r="M151" t="str">
        <f>"1"</f>
        <v>1</v>
      </c>
      <c r="N151" t="s">
        <v>19</v>
      </c>
      <c r="O151" t="str">
        <f>"43"</f>
        <v>43</v>
      </c>
      <c r="P151" t="str">
        <f>"50"</f>
        <v>50</v>
      </c>
      <c r="Q151" t="str">
        <f>"43"</f>
        <v>43</v>
      </c>
      <c r="R151" t="str">
        <f>"7"</f>
        <v>7</v>
      </c>
    </row>
    <row r="152" spans="1:18" x14ac:dyDescent="0.25">
      <c r="A152" t="s">
        <v>52</v>
      </c>
      <c r="B152" t="str">
        <f t="shared" si="45"/>
        <v>47000</v>
      </c>
      <c r="C152" t="str">
        <f>"777483941"</f>
        <v>777483941</v>
      </c>
      <c r="D152" s="2">
        <v>0</v>
      </c>
      <c r="E152" s="3" t="s">
        <v>51</v>
      </c>
      <c r="F152" s="2" t="str">
        <f t="shared" si="43"/>
        <v>1133</v>
      </c>
      <c r="G152" s="2">
        <v>208</v>
      </c>
      <c r="H152" s="2" t="s">
        <v>18</v>
      </c>
      <c r="I152" s="1">
        <v>42870.649317129632</v>
      </c>
      <c r="J152" t="str">
        <f>"6"</f>
        <v>6</v>
      </c>
      <c r="K152" t="s">
        <v>32</v>
      </c>
      <c r="L152" s="1">
        <v>42870.677106481482</v>
      </c>
      <c r="M152" t="str">
        <f>"1"</f>
        <v>1</v>
      </c>
      <c r="N152" t="s">
        <v>19</v>
      </c>
      <c r="O152" t="str">
        <f>"33"</f>
        <v>33</v>
      </c>
      <c r="P152" t="str">
        <f>"38"</f>
        <v>38</v>
      </c>
      <c r="Q152" t="str">
        <f>"33"</f>
        <v>33</v>
      </c>
      <c r="R152" t="str">
        <f>"5"</f>
        <v>5</v>
      </c>
    </row>
    <row r="153" spans="1:18" x14ac:dyDescent="0.25">
      <c r="A153" t="s">
        <v>52</v>
      </c>
      <c r="B153" t="str">
        <f t="shared" ref="B153:B156" si="47">"47000"</f>
        <v>47000</v>
      </c>
      <c r="C153" t="str">
        <f>"1470545359"</f>
        <v>1470545359</v>
      </c>
      <c r="D153" s="2">
        <v>0</v>
      </c>
      <c r="E153" s="3" t="s">
        <v>51</v>
      </c>
      <c r="F153" s="2" t="str">
        <f>"1126"</f>
        <v>1126</v>
      </c>
      <c r="G153" s="2">
        <v>280</v>
      </c>
      <c r="H153" s="2" t="s">
        <v>46</v>
      </c>
      <c r="I153" s="1">
        <v>42873.270740740743</v>
      </c>
      <c r="J153" t="str">
        <f>"1"</f>
        <v>1</v>
      </c>
      <c r="K153" t="s">
        <v>19</v>
      </c>
      <c r="L153" s="1">
        <v>42873.338773148149</v>
      </c>
      <c r="M153" t="str">
        <f>"18"</f>
        <v>18</v>
      </c>
      <c r="N153" t="s">
        <v>39</v>
      </c>
      <c r="O153" t="str">
        <f>"137"</f>
        <v>137</v>
      </c>
      <c r="P153" t="str">
        <f>"156"</f>
        <v>156</v>
      </c>
      <c r="Q153" t="str">
        <f>"137"</f>
        <v>137</v>
      </c>
      <c r="R153" t="str">
        <f>"19"</f>
        <v>19</v>
      </c>
    </row>
    <row r="154" spans="1:18" x14ac:dyDescent="0.25">
      <c r="A154" t="s">
        <v>52</v>
      </c>
      <c r="B154" t="str">
        <f t="shared" si="47"/>
        <v>47000</v>
      </c>
      <c r="C154" t="str">
        <f>"247787425"</f>
        <v>247787425</v>
      </c>
      <c r="D154" s="2">
        <v>0</v>
      </c>
      <c r="E154" s="3" t="s">
        <v>51</v>
      </c>
      <c r="F154" s="2" t="str">
        <f>"1126"</f>
        <v>1126</v>
      </c>
      <c r="G154" s="2">
        <v>280</v>
      </c>
      <c r="H154" s="2" t="s">
        <v>46</v>
      </c>
      <c r="I154" s="1">
        <v>42873.275902777779</v>
      </c>
      <c r="J154" t="str">
        <f>"1"</f>
        <v>1</v>
      </c>
      <c r="K154" t="s">
        <v>19</v>
      </c>
      <c r="L154" s="1">
        <v>42873.338599537034</v>
      </c>
      <c r="M154" t="str">
        <f>"18"</f>
        <v>18</v>
      </c>
      <c r="N154" t="s">
        <v>39</v>
      </c>
      <c r="O154" t="str">
        <f>"137"</f>
        <v>137</v>
      </c>
      <c r="P154" t="str">
        <f>"156"</f>
        <v>156</v>
      </c>
      <c r="Q154" t="str">
        <f>"137"</f>
        <v>137</v>
      </c>
      <c r="R154" t="str">
        <f>"19"</f>
        <v>19</v>
      </c>
    </row>
    <row r="155" spans="1:18" x14ac:dyDescent="0.25">
      <c r="A155" t="s">
        <v>52</v>
      </c>
      <c r="B155" t="str">
        <f t="shared" si="47"/>
        <v>47000</v>
      </c>
      <c r="C155" t="str">
        <f>"838673605"</f>
        <v>838673605</v>
      </c>
      <c r="D155" s="2">
        <v>0</v>
      </c>
      <c r="E155" s="3" t="s">
        <v>51</v>
      </c>
      <c r="F155" s="2" t="str">
        <f>"1126"</f>
        <v>1126</v>
      </c>
      <c r="G155" s="2">
        <v>280</v>
      </c>
      <c r="H155" s="2" t="s">
        <v>46</v>
      </c>
      <c r="I155" s="1">
        <v>42873.306805555556</v>
      </c>
      <c r="J155" t="str">
        <f>"10"</f>
        <v>10</v>
      </c>
      <c r="K155" t="s">
        <v>33</v>
      </c>
      <c r="L155" s="1">
        <v>42873.309814814813</v>
      </c>
      <c r="M155" t="str">
        <f>"11"</f>
        <v>11</v>
      </c>
      <c r="N155" t="s">
        <v>35</v>
      </c>
      <c r="O155" t="str">
        <f>"21"</f>
        <v>21</v>
      </c>
      <c r="P155" t="str">
        <f>"24"</f>
        <v>24</v>
      </c>
      <c r="Q155" t="str">
        <f>"21"</f>
        <v>21</v>
      </c>
      <c r="R155" t="str">
        <f>"3"</f>
        <v>3</v>
      </c>
    </row>
    <row r="156" spans="1:18" x14ac:dyDescent="0.25">
      <c r="A156" t="s">
        <v>53</v>
      </c>
      <c r="B156" t="str">
        <f t="shared" si="47"/>
        <v>47000</v>
      </c>
      <c r="C156" t="str">
        <f>"E1344233"</f>
        <v>E1344233</v>
      </c>
      <c r="D156" s="2" t="s">
        <v>21</v>
      </c>
      <c r="E156" s="3" t="s">
        <v>59</v>
      </c>
      <c r="F156" s="2" t="str">
        <f>"1126"</f>
        <v>1126</v>
      </c>
      <c r="G156" s="2">
        <v>280</v>
      </c>
      <c r="H156" s="2" t="s">
        <v>46</v>
      </c>
      <c r="I156" s="1">
        <v>42873.338842592595</v>
      </c>
      <c r="J156" t="str">
        <f>"18"</f>
        <v>18</v>
      </c>
      <c r="K156" t="s">
        <v>39</v>
      </c>
      <c r="L156" s="1">
        <v>42873.358182870368</v>
      </c>
      <c r="M156" t="str">
        <f>"23"</f>
        <v>23</v>
      </c>
      <c r="N156" t="s">
        <v>50</v>
      </c>
      <c r="O156" t="str">
        <f>"46"</f>
        <v>46</v>
      </c>
      <c r="P156" t="str">
        <f>"52"</f>
        <v>52</v>
      </c>
      <c r="Q156" t="str">
        <f>"46"</f>
        <v>46</v>
      </c>
      <c r="R156" t="str">
        <f>"6"</f>
        <v>6</v>
      </c>
    </row>
    <row r="157" spans="1:18" x14ac:dyDescent="0.25">
      <c r="A157" t="s">
        <v>52</v>
      </c>
      <c r="B157" t="str">
        <f t="shared" ref="B157:B167" si="48">"47000"</f>
        <v>47000</v>
      </c>
      <c r="C157" t="str">
        <f>"2832702452"</f>
        <v>2832702452</v>
      </c>
      <c r="D157" s="2">
        <v>0</v>
      </c>
      <c r="E157" s="3" t="s">
        <v>51</v>
      </c>
      <c r="F157" s="2" t="str">
        <f t="shared" ref="F157:F167" si="49">"1133"</f>
        <v>1133</v>
      </c>
      <c r="G157" s="2">
        <v>246</v>
      </c>
      <c r="H157" s="2" t="s">
        <v>25</v>
      </c>
      <c r="I157" s="1">
        <v>42875.446898148148</v>
      </c>
      <c r="J157" t="str">
        <f t="shared" ref="J157:J162" si="50">"1"</f>
        <v>1</v>
      </c>
      <c r="K157" t="s">
        <v>19</v>
      </c>
      <c r="L157" s="1">
        <v>42875.47</v>
      </c>
      <c r="M157" t="str">
        <f>"3"</f>
        <v>3</v>
      </c>
      <c r="N157" t="s">
        <v>30</v>
      </c>
      <c r="O157" t="str">
        <f>"21"</f>
        <v>21</v>
      </c>
      <c r="P157" t="str">
        <f>"24"</f>
        <v>24</v>
      </c>
      <c r="Q157" t="str">
        <f>"21"</f>
        <v>21</v>
      </c>
      <c r="R157" t="str">
        <f>"3"</f>
        <v>3</v>
      </c>
    </row>
    <row r="158" spans="1:18" x14ac:dyDescent="0.25">
      <c r="A158" t="s">
        <v>52</v>
      </c>
      <c r="B158" t="str">
        <f t="shared" si="48"/>
        <v>47000</v>
      </c>
      <c r="C158" t="str">
        <f>"3731202362"</f>
        <v>3731202362</v>
      </c>
      <c r="D158" s="2">
        <v>0</v>
      </c>
      <c r="E158" s="3" t="s">
        <v>51</v>
      </c>
      <c r="F158" s="2" t="str">
        <f t="shared" si="49"/>
        <v>1133</v>
      </c>
      <c r="G158" s="2">
        <v>246</v>
      </c>
      <c r="H158" s="2" t="s">
        <v>25</v>
      </c>
      <c r="I158" s="1">
        <v>42875.44908564815</v>
      </c>
      <c r="J158" t="str">
        <f t="shared" si="50"/>
        <v>1</v>
      </c>
      <c r="K158" t="s">
        <v>19</v>
      </c>
      <c r="L158" s="1">
        <v>42875.468472222223</v>
      </c>
      <c r="M158" t="str">
        <f>"3"</f>
        <v>3</v>
      </c>
      <c r="N158" t="s">
        <v>30</v>
      </c>
      <c r="O158" t="str">
        <f>"21"</f>
        <v>21</v>
      </c>
      <c r="P158" t="str">
        <f>"24"</f>
        <v>24</v>
      </c>
      <c r="Q158" t="str">
        <f>"21"</f>
        <v>21</v>
      </c>
      <c r="R158" t="str">
        <f>"3"</f>
        <v>3</v>
      </c>
    </row>
    <row r="159" spans="1:18" x14ac:dyDescent="0.25">
      <c r="A159" t="s">
        <v>52</v>
      </c>
      <c r="B159" t="str">
        <f t="shared" si="48"/>
        <v>47000</v>
      </c>
      <c r="C159" t="str">
        <f>"657186991"</f>
        <v>657186991</v>
      </c>
      <c r="D159" s="2">
        <v>0</v>
      </c>
      <c r="E159" s="3" t="s">
        <v>51</v>
      </c>
      <c r="F159" s="2" t="str">
        <f t="shared" si="49"/>
        <v>1133</v>
      </c>
      <c r="G159" s="2">
        <v>246</v>
      </c>
      <c r="H159" s="2" t="s">
        <v>25</v>
      </c>
      <c r="I159" s="1">
        <v>42875.449131944442</v>
      </c>
      <c r="J159" t="str">
        <f t="shared" si="50"/>
        <v>1</v>
      </c>
      <c r="K159" t="s">
        <v>19</v>
      </c>
      <c r="L159" s="1">
        <v>42875.4684375</v>
      </c>
      <c r="M159" t="str">
        <f>"3"</f>
        <v>3</v>
      </c>
      <c r="N159" t="s">
        <v>30</v>
      </c>
      <c r="O159" t="str">
        <f>"21"</f>
        <v>21</v>
      </c>
      <c r="P159" t="str">
        <f>"24"</f>
        <v>24</v>
      </c>
      <c r="Q159" t="str">
        <f>"21"</f>
        <v>21</v>
      </c>
      <c r="R159" t="str">
        <f>"3"</f>
        <v>3</v>
      </c>
    </row>
    <row r="160" spans="1:18" x14ac:dyDescent="0.25">
      <c r="A160" t="s">
        <v>52</v>
      </c>
      <c r="B160" t="str">
        <f t="shared" si="48"/>
        <v>47000</v>
      </c>
      <c r="C160" t="str">
        <f>"211998945"</f>
        <v>211998945</v>
      </c>
      <c r="D160" s="2">
        <v>0</v>
      </c>
      <c r="E160" s="3" t="s">
        <v>51</v>
      </c>
      <c r="F160" s="2" t="str">
        <f t="shared" si="49"/>
        <v>1133</v>
      </c>
      <c r="G160" s="2">
        <v>246</v>
      </c>
      <c r="H160" s="2" t="s">
        <v>25</v>
      </c>
      <c r="I160" s="1">
        <v>42875.449155092596</v>
      </c>
      <c r="J160" t="str">
        <f t="shared" si="50"/>
        <v>1</v>
      </c>
      <c r="K160" t="s">
        <v>19</v>
      </c>
      <c r="L160" s="1">
        <v>42875.458958333336</v>
      </c>
      <c r="M160" t="str">
        <f>"1"</f>
        <v>1</v>
      </c>
      <c r="N160" t="s">
        <v>19</v>
      </c>
      <c r="O160" t="str">
        <f>"21"</f>
        <v>21</v>
      </c>
      <c r="P160" t="str">
        <f>"24"</f>
        <v>24</v>
      </c>
      <c r="Q160" t="str">
        <f>"21"</f>
        <v>21</v>
      </c>
      <c r="R160" t="str">
        <f>"3"</f>
        <v>3</v>
      </c>
    </row>
    <row r="161" spans="1:18" x14ac:dyDescent="0.25">
      <c r="A161" t="s">
        <v>52</v>
      </c>
      <c r="B161" t="str">
        <f t="shared" si="48"/>
        <v>47000</v>
      </c>
      <c r="C161" t="str">
        <f>"242895919"</f>
        <v>242895919</v>
      </c>
      <c r="D161" s="2">
        <v>1</v>
      </c>
      <c r="E161" s="3" t="s">
        <v>57</v>
      </c>
      <c r="F161" s="2" t="str">
        <f t="shared" si="49"/>
        <v>1133</v>
      </c>
      <c r="G161" s="2">
        <v>246</v>
      </c>
      <c r="H161" s="2" t="s">
        <v>25</v>
      </c>
      <c r="I161" s="1">
        <v>42875.449201388888</v>
      </c>
      <c r="J161" t="str">
        <f t="shared" si="50"/>
        <v>1</v>
      </c>
      <c r="K161" t="s">
        <v>19</v>
      </c>
      <c r="L161" s="1">
        <v>42875.458981481483</v>
      </c>
      <c r="M161" t="str">
        <f>"1"</f>
        <v>1</v>
      </c>
      <c r="N161" t="s">
        <v>19</v>
      </c>
      <c r="O161" t="str">
        <f>"11"</f>
        <v>11</v>
      </c>
      <c r="P161" t="str">
        <f>"12"</f>
        <v>12</v>
      </c>
      <c r="Q161" t="str">
        <f>"11"</f>
        <v>11</v>
      </c>
      <c r="R161" t="str">
        <f>"1"</f>
        <v>1</v>
      </c>
    </row>
    <row r="162" spans="1:18" x14ac:dyDescent="0.25">
      <c r="A162" t="s">
        <v>52</v>
      </c>
      <c r="B162" t="str">
        <f t="shared" si="48"/>
        <v>47000</v>
      </c>
      <c r="C162" t="str">
        <f>"1643064997"</f>
        <v>1643064997</v>
      </c>
      <c r="D162" s="2">
        <v>0</v>
      </c>
      <c r="E162" s="3" t="s">
        <v>51</v>
      </c>
      <c r="F162" s="2" t="str">
        <f t="shared" si="49"/>
        <v>1133</v>
      </c>
      <c r="G162" s="2">
        <v>246</v>
      </c>
      <c r="H162" s="2" t="s">
        <v>25</v>
      </c>
      <c r="I162" s="1">
        <v>42875.453101851854</v>
      </c>
      <c r="J162" t="str">
        <f t="shared" si="50"/>
        <v>1</v>
      </c>
      <c r="K162" t="s">
        <v>19</v>
      </c>
      <c r="L162" s="1">
        <v>42875.465428240743</v>
      </c>
      <c r="M162" t="str">
        <f>"1"</f>
        <v>1</v>
      </c>
      <c r="N162" t="s">
        <v>19</v>
      </c>
      <c r="O162" t="str">
        <f>"21"</f>
        <v>21</v>
      </c>
      <c r="P162" t="str">
        <f>"24"</f>
        <v>24</v>
      </c>
      <c r="Q162" t="str">
        <f>"21"</f>
        <v>21</v>
      </c>
      <c r="R162" t="str">
        <f>"3"</f>
        <v>3</v>
      </c>
    </row>
    <row r="163" spans="1:18" x14ac:dyDescent="0.25">
      <c r="A163" t="s">
        <v>52</v>
      </c>
      <c r="B163" t="str">
        <f t="shared" si="48"/>
        <v>47000</v>
      </c>
      <c r="C163" t="str">
        <f>"2590008719"</f>
        <v>2590008719</v>
      </c>
      <c r="D163" s="2">
        <v>8</v>
      </c>
      <c r="E163" s="3" t="s">
        <v>54</v>
      </c>
      <c r="F163" s="2" t="str">
        <f t="shared" si="49"/>
        <v>1133</v>
      </c>
      <c r="G163" s="2">
        <v>246</v>
      </c>
      <c r="H163" s="2" t="s">
        <v>25</v>
      </c>
      <c r="I163" s="1">
        <v>42875.58152777778</v>
      </c>
      <c r="J163" t="str">
        <f>"18"</f>
        <v>18</v>
      </c>
      <c r="K163" t="s">
        <v>39</v>
      </c>
      <c r="L163" s="1">
        <v>42875.653935185182</v>
      </c>
      <c r="M163" t="str">
        <f>"1"</f>
        <v>1</v>
      </c>
      <c r="N163" t="s">
        <v>19</v>
      </c>
      <c r="O163" t="str">
        <f>"78"</f>
        <v>78</v>
      </c>
      <c r="P163" t="str">
        <f>"89"</f>
        <v>89</v>
      </c>
      <c r="Q163" t="str">
        <f>"78"</f>
        <v>78</v>
      </c>
      <c r="R163" t="str">
        <f>"11"</f>
        <v>11</v>
      </c>
    </row>
    <row r="164" spans="1:18" x14ac:dyDescent="0.25">
      <c r="A164" t="s">
        <v>52</v>
      </c>
      <c r="B164" t="str">
        <f t="shared" si="48"/>
        <v>47000</v>
      </c>
      <c r="C164" t="str">
        <f>"57851041"</f>
        <v>57851041</v>
      </c>
      <c r="D164" s="2">
        <v>0</v>
      </c>
      <c r="E164" s="3" t="s">
        <v>51</v>
      </c>
      <c r="F164" s="2" t="str">
        <f t="shared" si="49"/>
        <v>1133</v>
      </c>
      <c r="G164" s="2">
        <v>246</v>
      </c>
      <c r="H164" s="2" t="s">
        <v>25</v>
      </c>
      <c r="I164" s="1">
        <v>42875.617465277777</v>
      </c>
      <c r="J164" t="str">
        <f>"13"</f>
        <v>13</v>
      </c>
      <c r="K164" t="s">
        <v>27</v>
      </c>
      <c r="L164" s="1">
        <v>42875.649814814817</v>
      </c>
      <c r="M164" t="str">
        <f>"2"</f>
        <v>2</v>
      </c>
      <c r="N164" t="s">
        <v>26</v>
      </c>
      <c r="O164" t="str">
        <f>"71"</f>
        <v>71</v>
      </c>
      <c r="P164" t="str">
        <f>"81"</f>
        <v>81</v>
      </c>
      <c r="Q164" t="str">
        <f>"71"</f>
        <v>71</v>
      </c>
      <c r="R164" t="str">
        <f>"10"</f>
        <v>10</v>
      </c>
    </row>
    <row r="165" spans="1:18" x14ac:dyDescent="0.25">
      <c r="A165" t="s">
        <v>52</v>
      </c>
      <c r="B165" t="str">
        <f t="shared" si="48"/>
        <v>47000</v>
      </c>
      <c r="C165" t="str">
        <f>"1954546664"</f>
        <v>1954546664</v>
      </c>
      <c r="D165" s="2">
        <v>0</v>
      </c>
      <c r="E165" s="3" t="s">
        <v>51</v>
      </c>
      <c r="F165" s="2" t="str">
        <f t="shared" si="49"/>
        <v>1133</v>
      </c>
      <c r="G165" s="2">
        <v>246</v>
      </c>
      <c r="H165" s="2" t="s">
        <v>25</v>
      </c>
      <c r="I165" s="1">
        <v>42875.617488425924</v>
      </c>
      <c r="J165" t="str">
        <f>"13"</f>
        <v>13</v>
      </c>
      <c r="K165" t="s">
        <v>27</v>
      </c>
      <c r="L165" s="1">
        <v>42875.649872685186</v>
      </c>
      <c r="M165" t="str">
        <f>"2"</f>
        <v>2</v>
      </c>
      <c r="N165" t="s">
        <v>26</v>
      </c>
      <c r="O165" t="str">
        <f>"71"</f>
        <v>71</v>
      </c>
      <c r="P165" t="str">
        <f>"81"</f>
        <v>81</v>
      </c>
      <c r="Q165" t="str">
        <f>"71"</f>
        <v>71</v>
      </c>
      <c r="R165" t="str">
        <f>"10"</f>
        <v>10</v>
      </c>
    </row>
    <row r="166" spans="1:18" x14ac:dyDescent="0.25">
      <c r="A166" t="s">
        <v>52</v>
      </c>
      <c r="B166" t="str">
        <f t="shared" si="48"/>
        <v>47000</v>
      </c>
      <c r="C166" t="str">
        <f>"1546002191"</f>
        <v>1546002191</v>
      </c>
      <c r="D166" s="2">
        <v>0</v>
      </c>
      <c r="E166" s="3" t="s">
        <v>51</v>
      </c>
      <c r="F166" s="2" t="str">
        <f t="shared" si="49"/>
        <v>1133</v>
      </c>
      <c r="G166" s="2">
        <v>246</v>
      </c>
      <c r="H166" s="2" t="s">
        <v>25</v>
      </c>
      <c r="I166" s="1">
        <v>42875.61755787037</v>
      </c>
      <c r="J166" t="str">
        <f>"13"</f>
        <v>13</v>
      </c>
      <c r="K166" t="s">
        <v>27</v>
      </c>
      <c r="L166" s="1">
        <v>42875.64984953704</v>
      </c>
      <c r="M166" t="str">
        <f>"2"</f>
        <v>2</v>
      </c>
      <c r="N166" t="s">
        <v>26</v>
      </c>
      <c r="O166" t="str">
        <f>"71"</f>
        <v>71</v>
      </c>
      <c r="P166" t="str">
        <f>"81"</f>
        <v>81</v>
      </c>
      <c r="Q166" t="str">
        <f>"71"</f>
        <v>71</v>
      </c>
      <c r="R166" t="str">
        <f>"10"</f>
        <v>10</v>
      </c>
    </row>
    <row r="167" spans="1:18" x14ac:dyDescent="0.25">
      <c r="A167" t="s">
        <v>52</v>
      </c>
      <c r="B167" t="str">
        <f t="shared" si="48"/>
        <v>47000</v>
      </c>
      <c r="C167" t="str">
        <f>"1891289691"</f>
        <v>1891289691</v>
      </c>
      <c r="D167" s="2">
        <v>0</v>
      </c>
      <c r="E167" s="3" t="s">
        <v>51</v>
      </c>
      <c r="F167" s="2" t="str">
        <f t="shared" si="49"/>
        <v>1133</v>
      </c>
      <c r="G167" s="2">
        <v>246</v>
      </c>
      <c r="H167" s="2" t="s">
        <v>25</v>
      </c>
      <c r="I167" s="1">
        <v>42875.661238425928</v>
      </c>
      <c r="J167" t="str">
        <f>"1"</f>
        <v>1</v>
      </c>
      <c r="K167" t="s">
        <v>19</v>
      </c>
      <c r="L167" s="1">
        <v>42875.664143518516</v>
      </c>
      <c r="M167" t="str">
        <f>"1"</f>
        <v>1</v>
      </c>
      <c r="N167" t="s">
        <v>19</v>
      </c>
      <c r="O167" t="str">
        <f>"21"</f>
        <v>21</v>
      </c>
      <c r="P167" t="str">
        <f>"24"</f>
        <v>24</v>
      </c>
      <c r="Q167" t="str">
        <f>"21"</f>
        <v>21</v>
      </c>
      <c r="R167" t="str">
        <f>"3"</f>
        <v>3</v>
      </c>
    </row>
    <row r="168" spans="1:18" x14ac:dyDescent="0.25">
      <c r="A168" t="s">
        <v>52</v>
      </c>
      <c r="B168" t="str">
        <f t="shared" ref="B168:B222" si="51">"47000"</f>
        <v>47000</v>
      </c>
      <c r="C168" t="str">
        <f>"319149615"</f>
        <v>319149615</v>
      </c>
      <c r="D168" s="2">
        <v>0</v>
      </c>
      <c r="E168" s="3" t="s">
        <v>51</v>
      </c>
      <c r="F168" s="2" t="str">
        <f t="shared" ref="F168:F199" si="52">"1133"</f>
        <v>1133</v>
      </c>
      <c r="G168" s="2">
        <v>133</v>
      </c>
      <c r="H168" s="2" t="s">
        <v>25</v>
      </c>
      <c r="I168" s="1">
        <v>42882.575254629628</v>
      </c>
      <c r="J168" t="str">
        <f t="shared" ref="J168:J173" si="53">"1"</f>
        <v>1</v>
      </c>
      <c r="K168" t="s">
        <v>19</v>
      </c>
      <c r="L168" s="1">
        <v>42882.596875000003</v>
      </c>
      <c r="M168" t="str">
        <f>"1"</f>
        <v>1</v>
      </c>
      <c r="N168" t="s">
        <v>19</v>
      </c>
      <c r="O168" t="str">
        <f>"21"</f>
        <v>21</v>
      </c>
      <c r="P168" t="str">
        <f>"24"</f>
        <v>24</v>
      </c>
      <c r="Q168" t="str">
        <f>"21"</f>
        <v>21</v>
      </c>
      <c r="R168" t="str">
        <f>"3"</f>
        <v>3</v>
      </c>
    </row>
    <row r="169" spans="1:18" x14ac:dyDescent="0.25">
      <c r="A169" t="s">
        <v>53</v>
      </c>
      <c r="B169" t="str">
        <f t="shared" si="51"/>
        <v>47000</v>
      </c>
      <c r="C169" t="str">
        <f>"2E468EE1"</f>
        <v>2E468EE1</v>
      </c>
      <c r="D169" s="2" t="s">
        <v>21</v>
      </c>
      <c r="E169" s="3" t="s">
        <v>59</v>
      </c>
      <c r="F169" s="2" t="str">
        <f t="shared" si="52"/>
        <v>1133</v>
      </c>
      <c r="G169" s="2">
        <v>133</v>
      </c>
      <c r="H169" s="2" t="s">
        <v>25</v>
      </c>
      <c r="I169" s="1">
        <v>42882.575324074074</v>
      </c>
      <c r="J169" t="str">
        <f t="shared" si="53"/>
        <v>1</v>
      </c>
      <c r="K169" t="s">
        <v>19</v>
      </c>
      <c r="L169" s="1">
        <v>42882.596956018519</v>
      </c>
      <c r="M169" t="str">
        <f>"1"</f>
        <v>1</v>
      </c>
      <c r="N169" t="s">
        <v>19</v>
      </c>
      <c r="O169" t="str">
        <f>"21"</f>
        <v>21</v>
      </c>
      <c r="P169" t="str">
        <f>"24"</f>
        <v>24</v>
      </c>
      <c r="Q169" t="str">
        <f>"21"</f>
        <v>21</v>
      </c>
      <c r="R169" t="str">
        <f>"3"</f>
        <v>3</v>
      </c>
    </row>
    <row r="170" spans="1:18" x14ac:dyDescent="0.25">
      <c r="A170" t="s">
        <v>52</v>
      </c>
      <c r="B170" t="str">
        <f t="shared" si="51"/>
        <v>47000</v>
      </c>
      <c r="C170" t="str">
        <f>"753611701"</f>
        <v>753611701</v>
      </c>
      <c r="D170" s="2">
        <v>5</v>
      </c>
      <c r="E170" s="3" t="s">
        <v>58</v>
      </c>
      <c r="F170" s="2" t="str">
        <f t="shared" si="52"/>
        <v>1133</v>
      </c>
      <c r="G170" s="2">
        <v>133</v>
      </c>
      <c r="H170" s="2" t="s">
        <v>25</v>
      </c>
      <c r="I170" s="1">
        <v>42882.575370370374</v>
      </c>
      <c r="J170" t="str">
        <f t="shared" si="53"/>
        <v>1</v>
      </c>
      <c r="K170" t="s">
        <v>19</v>
      </c>
      <c r="L170" s="1">
        <v>42882.674328703702</v>
      </c>
      <c r="M170" t="str">
        <f>"18"</f>
        <v>18</v>
      </c>
      <c r="N170" t="s">
        <v>39</v>
      </c>
      <c r="O170" t="str">
        <f>"155"</f>
        <v>155</v>
      </c>
      <c r="P170" t="str">
        <f>"177"</f>
        <v>177</v>
      </c>
      <c r="Q170" t="str">
        <f>"155"</f>
        <v>155</v>
      </c>
      <c r="R170" t="str">
        <f>"22"</f>
        <v>22</v>
      </c>
    </row>
    <row r="171" spans="1:18" x14ac:dyDescent="0.25">
      <c r="A171" t="s">
        <v>52</v>
      </c>
      <c r="B171" t="str">
        <f t="shared" si="51"/>
        <v>47000</v>
      </c>
      <c r="C171" t="str">
        <f>"247303759"</f>
        <v>247303759</v>
      </c>
      <c r="D171" s="2">
        <v>1</v>
      </c>
      <c r="E171" s="3" t="s">
        <v>57</v>
      </c>
      <c r="F171" s="2" t="str">
        <f t="shared" si="52"/>
        <v>1133</v>
      </c>
      <c r="G171" s="2">
        <v>133</v>
      </c>
      <c r="H171" s="2" t="s">
        <v>25</v>
      </c>
      <c r="I171" s="1">
        <v>42882.575613425928</v>
      </c>
      <c r="J171" t="str">
        <f t="shared" si="53"/>
        <v>1</v>
      </c>
      <c r="K171" t="s">
        <v>19</v>
      </c>
      <c r="L171" s="1">
        <v>42882.674224537041</v>
      </c>
      <c r="M171" t="str">
        <f>"18"</f>
        <v>18</v>
      </c>
      <c r="N171" t="s">
        <v>39</v>
      </c>
      <c r="O171" t="str">
        <f>"78"</f>
        <v>78</v>
      </c>
      <c r="P171" t="str">
        <f>"89"</f>
        <v>89</v>
      </c>
      <c r="Q171" t="str">
        <f>"78"</f>
        <v>78</v>
      </c>
      <c r="R171" t="str">
        <f>"11"</f>
        <v>11</v>
      </c>
    </row>
    <row r="172" spans="1:18" x14ac:dyDescent="0.25">
      <c r="A172" t="s">
        <v>52</v>
      </c>
      <c r="B172" t="str">
        <f t="shared" si="51"/>
        <v>47000</v>
      </c>
      <c r="C172" t="str">
        <f>"3021273256"</f>
        <v>3021273256</v>
      </c>
      <c r="D172" s="2">
        <v>0</v>
      </c>
      <c r="E172" s="3" t="s">
        <v>51</v>
      </c>
      <c r="F172" s="2" t="str">
        <f t="shared" si="52"/>
        <v>1133</v>
      </c>
      <c r="G172" s="2">
        <v>133</v>
      </c>
      <c r="H172" s="2" t="s">
        <v>25</v>
      </c>
      <c r="I172" s="1">
        <v>42882.575659722221</v>
      </c>
      <c r="J172" t="str">
        <f t="shared" si="53"/>
        <v>1</v>
      </c>
      <c r="K172" t="s">
        <v>19</v>
      </c>
      <c r="L172" s="1">
        <v>42882.674259259256</v>
      </c>
      <c r="M172" t="str">
        <f>"18"</f>
        <v>18</v>
      </c>
      <c r="N172" t="s">
        <v>39</v>
      </c>
      <c r="O172" t="str">
        <f>"155"</f>
        <v>155</v>
      </c>
      <c r="P172" t="str">
        <f>"177"</f>
        <v>177</v>
      </c>
      <c r="Q172" t="str">
        <f>"155"</f>
        <v>155</v>
      </c>
      <c r="R172" t="str">
        <f>"22"</f>
        <v>22</v>
      </c>
    </row>
    <row r="173" spans="1:18" x14ac:dyDescent="0.25">
      <c r="A173" t="s">
        <v>52</v>
      </c>
      <c r="B173" t="str">
        <f t="shared" si="51"/>
        <v>47000</v>
      </c>
      <c r="C173" t="str">
        <f>"94094929"</f>
        <v>94094929</v>
      </c>
      <c r="D173" s="2">
        <v>0</v>
      </c>
      <c r="E173" s="3" t="s">
        <v>51</v>
      </c>
      <c r="F173" s="2" t="str">
        <f t="shared" si="52"/>
        <v>1133</v>
      </c>
      <c r="G173" s="2">
        <v>133</v>
      </c>
      <c r="H173" s="2" t="s">
        <v>25</v>
      </c>
      <c r="I173" s="1">
        <v>42882.576157407406</v>
      </c>
      <c r="J173" t="str">
        <f t="shared" si="53"/>
        <v>1</v>
      </c>
      <c r="K173" t="s">
        <v>19</v>
      </c>
      <c r="L173" s="1">
        <v>42882.585833333331</v>
      </c>
      <c r="M173" t="str">
        <f>"1"</f>
        <v>1</v>
      </c>
      <c r="N173" t="s">
        <v>19</v>
      </c>
      <c r="O173" t="str">
        <f>"21"</f>
        <v>21</v>
      </c>
      <c r="P173" t="str">
        <f>"24"</f>
        <v>24</v>
      </c>
      <c r="Q173" t="str">
        <f>"21"</f>
        <v>21</v>
      </c>
      <c r="R173" t="str">
        <f>"3"</f>
        <v>3</v>
      </c>
    </row>
    <row r="174" spans="1:18" x14ac:dyDescent="0.25">
      <c r="A174" t="s">
        <v>52</v>
      </c>
      <c r="B174" t="str">
        <f t="shared" si="51"/>
        <v>47000</v>
      </c>
      <c r="C174" t="str">
        <f>"719953845"</f>
        <v>719953845</v>
      </c>
      <c r="D174" s="2">
        <v>0</v>
      </c>
      <c r="E174" s="3" t="s">
        <v>51</v>
      </c>
      <c r="F174" s="2" t="str">
        <f t="shared" si="52"/>
        <v>1133</v>
      </c>
      <c r="G174" s="2">
        <v>133</v>
      </c>
      <c r="H174" s="2" t="s">
        <v>25</v>
      </c>
      <c r="I174" s="1">
        <v>42882.711099537039</v>
      </c>
      <c r="J174" t="str">
        <f>"16"</f>
        <v>16</v>
      </c>
      <c r="K174" t="s">
        <v>42</v>
      </c>
      <c r="L174" s="1">
        <v>42882.725104166668</v>
      </c>
      <c r="M174" t="str">
        <f>"13"</f>
        <v>13</v>
      </c>
      <c r="N174" t="s">
        <v>27</v>
      </c>
      <c r="O174" t="str">
        <f>"43"</f>
        <v>43</v>
      </c>
      <c r="P174" t="str">
        <f>"49"</f>
        <v>49</v>
      </c>
      <c r="Q174" t="str">
        <f>"43"</f>
        <v>43</v>
      </c>
      <c r="R174" t="str">
        <f>"6"</f>
        <v>6</v>
      </c>
    </row>
    <row r="175" spans="1:18" x14ac:dyDescent="0.25">
      <c r="A175" t="s">
        <v>52</v>
      </c>
      <c r="B175" t="str">
        <f t="shared" si="51"/>
        <v>47000</v>
      </c>
      <c r="C175" t="str">
        <f>"769161845"</f>
        <v>769161845</v>
      </c>
      <c r="D175" s="2">
        <v>0</v>
      </c>
      <c r="E175" s="3" t="s">
        <v>51</v>
      </c>
      <c r="F175" s="2" t="str">
        <f t="shared" si="52"/>
        <v>1133</v>
      </c>
      <c r="G175" s="2">
        <v>133</v>
      </c>
      <c r="H175" s="2" t="s">
        <v>25</v>
      </c>
      <c r="I175" s="1">
        <v>42882.711111111108</v>
      </c>
      <c r="J175" t="str">
        <f>"16"</f>
        <v>16</v>
      </c>
      <c r="K175" t="s">
        <v>42</v>
      </c>
      <c r="L175" s="1">
        <v>42882.725115740737</v>
      </c>
      <c r="M175" t="str">
        <f>"13"</f>
        <v>13</v>
      </c>
      <c r="N175" t="s">
        <v>27</v>
      </c>
      <c r="O175" t="str">
        <f>"43"</f>
        <v>43</v>
      </c>
      <c r="P175" t="str">
        <f>"49"</f>
        <v>49</v>
      </c>
      <c r="Q175" t="str">
        <f>"43"</f>
        <v>43</v>
      </c>
      <c r="R175" t="str">
        <f>"6"</f>
        <v>6</v>
      </c>
    </row>
    <row r="176" spans="1:18" x14ac:dyDescent="0.25">
      <c r="A176" t="s">
        <v>52</v>
      </c>
      <c r="B176" t="str">
        <f t="shared" si="51"/>
        <v>47000</v>
      </c>
      <c r="C176" t="str">
        <f>"2859224563"</f>
        <v>2859224563</v>
      </c>
      <c r="D176" s="2">
        <v>0</v>
      </c>
      <c r="E176" s="3" t="s">
        <v>51</v>
      </c>
      <c r="F176" s="2" t="str">
        <f t="shared" si="52"/>
        <v>1133</v>
      </c>
      <c r="G176" s="2">
        <v>133</v>
      </c>
      <c r="H176" s="2" t="s">
        <v>25</v>
      </c>
      <c r="I176" s="1">
        <v>42882.725034722222</v>
      </c>
      <c r="J176" t="str">
        <f>"13"</f>
        <v>13</v>
      </c>
      <c r="K176" t="s">
        <v>27</v>
      </c>
      <c r="L176" s="1">
        <v>42882.730439814812</v>
      </c>
      <c r="M176" t="str">
        <f>"12"</f>
        <v>12</v>
      </c>
      <c r="N176" t="s">
        <v>31</v>
      </c>
      <c r="O176" t="str">
        <f>"21"</f>
        <v>21</v>
      </c>
      <c r="P176" t="str">
        <f>"24"</f>
        <v>24</v>
      </c>
      <c r="Q176" t="str">
        <f>"21"</f>
        <v>21</v>
      </c>
      <c r="R176" t="str">
        <f>"3"</f>
        <v>3</v>
      </c>
    </row>
    <row r="177" spans="1:18" x14ac:dyDescent="0.25">
      <c r="A177" t="s">
        <v>52</v>
      </c>
      <c r="B177" t="str">
        <f t="shared" si="51"/>
        <v>47000</v>
      </c>
      <c r="C177" t="str">
        <f>"1513566863"</f>
        <v>1513566863</v>
      </c>
      <c r="D177" s="2">
        <v>0</v>
      </c>
      <c r="E177" s="3" t="s">
        <v>51</v>
      </c>
      <c r="F177" s="2" t="str">
        <f t="shared" si="52"/>
        <v>1133</v>
      </c>
      <c r="G177" s="2">
        <v>133</v>
      </c>
      <c r="H177" s="2" t="s">
        <v>25</v>
      </c>
      <c r="I177" s="1">
        <v>42882.734467592592</v>
      </c>
      <c r="J177" t="str">
        <f>"11"</f>
        <v>11</v>
      </c>
      <c r="K177" t="s">
        <v>35</v>
      </c>
      <c r="L177" s="1">
        <v>42882.77107638889</v>
      </c>
      <c r="M177" t="str">
        <f t="shared" ref="M177:M188" si="54">"1"</f>
        <v>1</v>
      </c>
      <c r="N177" t="s">
        <v>19</v>
      </c>
      <c r="O177" t="str">
        <f>"72"</f>
        <v>72</v>
      </c>
      <c r="P177" t="str">
        <f>"82"</f>
        <v>82</v>
      </c>
      <c r="Q177" t="str">
        <f>"72"</f>
        <v>72</v>
      </c>
      <c r="R177" t="str">
        <f>"10"</f>
        <v>10</v>
      </c>
    </row>
    <row r="178" spans="1:18" x14ac:dyDescent="0.25">
      <c r="A178" t="s">
        <v>52</v>
      </c>
      <c r="B178" t="str">
        <f t="shared" si="51"/>
        <v>47000</v>
      </c>
      <c r="C178" t="str">
        <f>"1644315653"</f>
        <v>1644315653</v>
      </c>
      <c r="D178" s="2">
        <v>0</v>
      </c>
      <c r="E178" s="3" t="s">
        <v>51</v>
      </c>
      <c r="F178" s="2" t="str">
        <f t="shared" si="52"/>
        <v>1133</v>
      </c>
      <c r="G178" s="2">
        <v>133</v>
      </c>
      <c r="H178" s="2" t="s">
        <v>25</v>
      </c>
      <c r="I178" s="1">
        <v>42882.770486111112</v>
      </c>
      <c r="J178" t="str">
        <f t="shared" ref="J178:J190" si="55">"1"</f>
        <v>1</v>
      </c>
      <c r="K178" t="s">
        <v>19</v>
      </c>
      <c r="L178" s="1">
        <v>42882.789178240739</v>
      </c>
      <c r="M178" t="str">
        <f t="shared" si="54"/>
        <v>1</v>
      </c>
      <c r="N178" t="s">
        <v>19</v>
      </c>
      <c r="O178" t="str">
        <f t="shared" ref="O178:O189" si="56">"21"</f>
        <v>21</v>
      </c>
      <c r="P178" t="str">
        <f t="shared" ref="P178:P189" si="57">"24"</f>
        <v>24</v>
      </c>
      <c r="Q178" t="str">
        <f t="shared" ref="Q178:Q189" si="58">"21"</f>
        <v>21</v>
      </c>
      <c r="R178" t="str">
        <f t="shared" ref="R178:R189" si="59">"3"</f>
        <v>3</v>
      </c>
    </row>
    <row r="179" spans="1:18" x14ac:dyDescent="0.25">
      <c r="A179" t="s">
        <v>52</v>
      </c>
      <c r="B179" t="str">
        <f t="shared" si="51"/>
        <v>47000</v>
      </c>
      <c r="C179" t="str">
        <f>"259888561"</f>
        <v>259888561</v>
      </c>
      <c r="D179" s="2">
        <v>0</v>
      </c>
      <c r="E179" s="3" t="s">
        <v>51</v>
      </c>
      <c r="F179" s="2" t="str">
        <f t="shared" si="52"/>
        <v>1133</v>
      </c>
      <c r="G179" s="2">
        <v>133</v>
      </c>
      <c r="H179" s="2" t="s">
        <v>25</v>
      </c>
      <c r="I179" s="1">
        <v>42882.770520833335</v>
      </c>
      <c r="J179" t="str">
        <f t="shared" si="55"/>
        <v>1</v>
      </c>
      <c r="K179" t="s">
        <v>19</v>
      </c>
      <c r="L179" s="1">
        <v>42882.789282407408</v>
      </c>
      <c r="M179" t="str">
        <f t="shared" si="54"/>
        <v>1</v>
      </c>
      <c r="N179" t="s">
        <v>19</v>
      </c>
      <c r="O179" t="str">
        <f t="shared" si="56"/>
        <v>21</v>
      </c>
      <c r="P179" t="str">
        <f t="shared" si="57"/>
        <v>24</v>
      </c>
      <c r="Q179" t="str">
        <f t="shared" si="58"/>
        <v>21</v>
      </c>
      <c r="R179" t="str">
        <f t="shared" si="59"/>
        <v>3</v>
      </c>
    </row>
    <row r="180" spans="1:18" x14ac:dyDescent="0.25">
      <c r="A180" t="s">
        <v>52</v>
      </c>
      <c r="B180" t="str">
        <f t="shared" si="51"/>
        <v>47000</v>
      </c>
      <c r="C180" t="str">
        <f>"1292901832"</f>
        <v>1292901832</v>
      </c>
      <c r="D180" s="2">
        <v>0</v>
      </c>
      <c r="E180" s="3" t="s">
        <v>51</v>
      </c>
      <c r="F180" s="2" t="str">
        <f t="shared" si="52"/>
        <v>1133</v>
      </c>
      <c r="G180" s="2">
        <v>133</v>
      </c>
      <c r="H180" s="2" t="s">
        <v>25</v>
      </c>
      <c r="I180" s="1">
        <v>42882.770543981482</v>
      </c>
      <c r="J180" t="str">
        <f t="shared" si="55"/>
        <v>1</v>
      </c>
      <c r="K180" t="s">
        <v>19</v>
      </c>
      <c r="L180" s="1">
        <v>42882.789247685185</v>
      </c>
      <c r="M180" t="str">
        <f t="shared" si="54"/>
        <v>1</v>
      </c>
      <c r="N180" t="s">
        <v>19</v>
      </c>
      <c r="O180" t="str">
        <f t="shared" si="56"/>
        <v>21</v>
      </c>
      <c r="P180" t="str">
        <f t="shared" si="57"/>
        <v>24</v>
      </c>
      <c r="Q180" t="str">
        <f t="shared" si="58"/>
        <v>21</v>
      </c>
      <c r="R180" t="str">
        <f t="shared" si="59"/>
        <v>3</v>
      </c>
    </row>
    <row r="181" spans="1:18" x14ac:dyDescent="0.25">
      <c r="A181" t="s">
        <v>52</v>
      </c>
      <c r="B181" t="str">
        <f t="shared" si="51"/>
        <v>47000</v>
      </c>
      <c r="C181" t="str">
        <f>"2247912936"</f>
        <v>2247912936</v>
      </c>
      <c r="D181" s="2">
        <v>0</v>
      </c>
      <c r="E181" s="3" t="s">
        <v>51</v>
      </c>
      <c r="F181" s="2" t="str">
        <f t="shared" si="52"/>
        <v>1133</v>
      </c>
      <c r="G181" s="2">
        <v>133</v>
      </c>
      <c r="H181" s="2" t="s">
        <v>25</v>
      </c>
      <c r="I181" s="1">
        <v>42882.770567129628</v>
      </c>
      <c r="J181" t="str">
        <f t="shared" si="55"/>
        <v>1</v>
      </c>
      <c r="K181" t="s">
        <v>19</v>
      </c>
      <c r="L181" s="1">
        <v>42882.789224537039</v>
      </c>
      <c r="M181" t="str">
        <f t="shared" si="54"/>
        <v>1</v>
      </c>
      <c r="N181" t="s">
        <v>19</v>
      </c>
      <c r="O181" t="str">
        <f t="shared" si="56"/>
        <v>21</v>
      </c>
      <c r="P181" t="str">
        <f t="shared" si="57"/>
        <v>24</v>
      </c>
      <c r="Q181" t="str">
        <f t="shared" si="58"/>
        <v>21</v>
      </c>
      <c r="R181" t="str">
        <f t="shared" si="59"/>
        <v>3</v>
      </c>
    </row>
    <row r="182" spans="1:18" x14ac:dyDescent="0.25">
      <c r="A182" t="s">
        <v>52</v>
      </c>
      <c r="B182" t="str">
        <f t="shared" si="51"/>
        <v>47000</v>
      </c>
      <c r="C182" t="str">
        <f>"648359749"</f>
        <v>648359749</v>
      </c>
      <c r="D182" s="2">
        <v>0</v>
      </c>
      <c r="E182" s="3" t="s">
        <v>51</v>
      </c>
      <c r="F182" s="2" t="str">
        <f t="shared" si="52"/>
        <v>1133</v>
      </c>
      <c r="G182" s="2">
        <v>208</v>
      </c>
      <c r="H182" s="2" t="s">
        <v>18</v>
      </c>
      <c r="I182" s="1">
        <v>42882.444988425923</v>
      </c>
      <c r="J182" t="str">
        <f t="shared" si="55"/>
        <v>1</v>
      </c>
      <c r="K182" t="s">
        <v>19</v>
      </c>
      <c r="L182" s="1">
        <v>42882.464305555557</v>
      </c>
      <c r="M182" t="str">
        <f t="shared" si="54"/>
        <v>1</v>
      </c>
      <c r="N182" t="s">
        <v>19</v>
      </c>
      <c r="O182" t="str">
        <f t="shared" si="56"/>
        <v>21</v>
      </c>
      <c r="P182" t="str">
        <f t="shared" si="57"/>
        <v>24</v>
      </c>
      <c r="Q182" t="str">
        <f t="shared" si="58"/>
        <v>21</v>
      </c>
      <c r="R182" t="str">
        <f t="shared" si="59"/>
        <v>3</v>
      </c>
    </row>
    <row r="183" spans="1:18" x14ac:dyDescent="0.25">
      <c r="A183" t="s">
        <v>52</v>
      </c>
      <c r="B183" t="str">
        <f t="shared" si="51"/>
        <v>47000</v>
      </c>
      <c r="C183" t="str">
        <f>"1568138447"</f>
        <v>1568138447</v>
      </c>
      <c r="D183" s="2">
        <v>0</v>
      </c>
      <c r="E183" s="3" t="s">
        <v>51</v>
      </c>
      <c r="F183" s="2" t="str">
        <f t="shared" si="52"/>
        <v>1133</v>
      </c>
      <c r="G183" s="2">
        <v>208</v>
      </c>
      <c r="H183" s="2" t="s">
        <v>18</v>
      </c>
      <c r="I183" s="1">
        <v>42882.446898148148</v>
      </c>
      <c r="J183" t="str">
        <f t="shared" si="55"/>
        <v>1</v>
      </c>
      <c r="K183" t="s">
        <v>19</v>
      </c>
      <c r="L183" s="1">
        <v>42882.458877314813</v>
      </c>
      <c r="M183" t="str">
        <f t="shared" si="54"/>
        <v>1</v>
      </c>
      <c r="N183" t="s">
        <v>19</v>
      </c>
      <c r="O183" t="str">
        <f t="shared" si="56"/>
        <v>21</v>
      </c>
      <c r="P183" t="str">
        <f t="shared" si="57"/>
        <v>24</v>
      </c>
      <c r="Q183" t="str">
        <f t="shared" si="58"/>
        <v>21</v>
      </c>
      <c r="R183" t="str">
        <f t="shared" si="59"/>
        <v>3</v>
      </c>
    </row>
    <row r="184" spans="1:18" x14ac:dyDescent="0.25">
      <c r="A184" t="s">
        <v>52</v>
      </c>
      <c r="B184" t="str">
        <f t="shared" si="51"/>
        <v>47000</v>
      </c>
      <c r="C184" t="str">
        <f>"648754671"</f>
        <v>648754671</v>
      </c>
      <c r="D184" s="2">
        <v>0</v>
      </c>
      <c r="E184" s="3" t="s">
        <v>51</v>
      </c>
      <c r="F184" s="2" t="str">
        <f t="shared" si="52"/>
        <v>1133</v>
      </c>
      <c r="G184" s="2">
        <v>208</v>
      </c>
      <c r="H184" s="2" t="s">
        <v>18</v>
      </c>
      <c r="I184" s="1">
        <v>42882.446921296294</v>
      </c>
      <c r="J184" t="str">
        <f t="shared" si="55"/>
        <v>1</v>
      </c>
      <c r="K184" t="s">
        <v>19</v>
      </c>
      <c r="L184" s="1">
        <v>42882.458935185183</v>
      </c>
      <c r="M184" t="str">
        <f t="shared" si="54"/>
        <v>1</v>
      </c>
      <c r="N184" t="s">
        <v>19</v>
      </c>
      <c r="O184" t="str">
        <f t="shared" si="56"/>
        <v>21</v>
      </c>
      <c r="P184" t="str">
        <f t="shared" si="57"/>
        <v>24</v>
      </c>
      <c r="Q184" t="str">
        <f t="shared" si="58"/>
        <v>21</v>
      </c>
      <c r="R184" t="str">
        <f t="shared" si="59"/>
        <v>3</v>
      </c>
    </row>
    <row r="185" spans="1:18" x14ac:dyDescent="0.25">
      <c r="A185" t="s">
        <v>52</v>
      </c>
      <c r="B185" t="str">
        <f t="shared" si="51"/>
        <v>47000</v>
      </c>
      <c r="C185" t="str">
        <f>"3558296627"</f>
        <v>3558296627</v>
      </c>
      <c r="D185" s="2">
        <v>0</v>
      </c>
      <c r="E185" s="3" t="s">
        <v>51</v>
      </c>
      <c r="F185" s="2" t="str">
        <f t="shared" si="52"/>
        <v>1133</v>
      </c>
      <c r="G185" s="2">
        <v>208</v>
      </c>
      <c r="H185" s="2" t="s">
        <v>18</v>
      </c>
      <c r="I185" s="1">
        <v>42882.448240740741</v>
      </c>
      <c r="J185" t="str">
        <f t="shared" si="55"/>
        <v>1</v>
      </c>
      <c r="K185" t="s">
        <v>19</v>
      </c>
      <c r="L185" s="1">
        <v>42882.458969907406</v>
      </c>
      <c r="M185" t="str">
        <f t="shared" si="54"/>
        <v>1</v>
      </c>
      <c r="N185" t="s">
        <v>19</v>
      </c>
      <c r="O185" t="str">
        <f t="shared" si="56"/>
        <v>21</v>
      </c>
      <c r="P185" t="str">
        <f t="shared" si="57"/>
        <v>24</v>
      </c>
      <c r="Q185" t="str">
        <f t="shared" si="58"/>
        <v>21</v>
      </c>
      <c r="R185" t="str">
        <f t="shared" si="59"/>
        <v>3</v>
      </c>
    </row>
    <row r="186" spans="1:18" x14ac:dyDescent="0.25">
      <c r="A186" t="s">
        <v>52</v>
      </c>
      <c r="B186" t="str">
        <f t="shared" si="51"/>
        <v>47000</v>
      </c>
      <c r="C186" t="str">
        <f>"2800220655"</f>
        <v>2800220655</v>
      </c>
      <c r="D186" s="2">
        <v>0</v>
      </c>
      <c r="E186" s="3" t="s">
        <v>51</v>
      </c>
      <c r="F186" s="2" t="str">
        <f t="shared" si="52"/>
        <v>1133</v>
      </c>
      <c r="G186" s="2">
        <v>208</v>
      </c>
      <c r="H186" s="2" t="s">
        <v>18</v>
      </c>
      <c r="I186" s="1">
        <v>42882.448333333334</v>
      </c>
      <c r="J186" t="str">
        <f t="shared" si="55"/>
        <v>1</v>
      </c>
      <c r="K186" t="s">
        <v>19</v>
      </c>
      <c r="L186" s="1">
        <v>42882.459039351852</v>
      </c>
      <c r="M186" t="str">
        <f t="shared" si="54"/>
        <v>1</v>
      </c>
      <c r="N186" t="s">
        <v>19</v>
      </c>
      <c r="O186" t="str">
        <f t="shared" si="56"/>
        <v>21</v>
      </c>
      <c r="P186" t="str">
        <f t="shared" si="57"/>
        <v>24</v>
      </c>
      <c r="Q186" t="str">
        <f t="shared" si="58"/>
        <v>21</v>
      </c>
      <c r="R186" t="str">
        <f t="shared" si="59"/>
        <v>3</v>
      </c>
    </row>
    <row r="187" spans="1:18" x14ac:dyDescent="0.25">
      <c r="A187" t="s">
        <v>52</v>
      </c>
      <c r="B187" t="str">
        <f t="shared" si="51"/>
        <v>47000</v>
      </c>
      <c r="C187" t="str">
        <f>"1474430383"</f>
        <v>1474430383</v>
      </c>
      <c r="D187" s="2">
        <v>0</v>
      </c>
      <c r="E187" s="3" t="s">
        <v>51</v>
      </c>
      <c r="F187" s="2" t="str">
        <f t="shared" si="52"/>
        <v>1133</v>
      </c>
      <c r="G187" s="2">
        <v>208</v>
      </c>
      <c r="H187" s="2" t="s">
        <v>18</v>
      </c>
      <c r="I187" s="1">
        <v>42882.448368055557</v>
      </c>
      <c r="J187" t="str">
        <f t="shared" si="55"/>
        <v>1</v>
      </c>
      <c r="K187" t="s">
        <v>19</v>
      </c>
      <c r="L187" s="1">
        <v>42882.459016203706</v>
      </c>
      <c r="M187" t="str">
        <f t="shared" si="54"/>
        <v>1</v>
      </c>
      <c r="N187" t="s">
        <v>19</v>
      </c>
      <c r="O187" t="str">
        <f t="shared" si="56"/>
        <v>21</v>
      </c>
      <c r="P187" t="str">
        <f t="shared" si="57"/>
        <v>24</v>
      </c>
      <c r="Q187" t="str">
        <f t="shared" si="58"/>
        <v>21</v>
      </c>
      <c r="R187" t="str">
        <f t="shared" si="59"/>
        <v>3</v>
      </c>
    </row>
    <row r="188" spans="1:18" x14ac:dyDescent="0.25">
      <c r="A188" t="s">
        <v>52</v>
      </c>
      <c r="B188" t="str">
        <f t="shared" si="51"/>
        <v>47000</v>
      </c>
      <c r="C188" t="str">
        <f>"436311272"</f>
        <v>436311272</v>
      </c>
      <c r="D188" s="2">
        <v>0</v>
      </c>
      <c r="E188" s="3" t="s">
        <v>51</v>
      </c>
      <c r="F188" s="2" t="str">
        <f t="shared" si="52"/>
        <v>1133</v>
      </c>
      <c r="G188" s="2">
        <v>208</v>
      </c>
      <c r="H188" s="2" t="s">
        <v>18</v>
      </c>
      <c r="I188" s="1">
        <v>42882.448761574073</v>
      </c>
      <c r="J188" t="str">
        <f t="shared" si="55"/>
        <v>1</v>
      </c>
      <c r="K188" t="s">
        <v>19</v>
      </c>
      <c r="L188" s="1">
        <v>42882.458993055552</v>
      </c>
      <c r="M188" t="str">
        <f t="shared" si="54"/>
        <v>1</v>
      </c>
      <c r="N188" t="s">
        <v>19</v>
      </c>
      <c r="O188" t="str">
        <f t="shared" si="56"/>
        <v>21</v>
      </c>
      <c r="P188" t="str">
        <f t="shared" si="57"/>
        <v>24</v>
      </c>
      <c r="Q188" t="str">
        <f t="shared" si="58"/>
        <v>21</v>
      </c>
      <c r="R188" t="str">
        <f t="shared" si="59"/>
        <v>3</v>
      </c>
    </row>
    <row r="189" spans="1:18" x14ac:dyDescent="0.25">
      <c r="A189" t="s">
        <v>52</v>
      </c>
      <c r="B189" t="str">
        <f t="shared" si="51"/>
        <v>47000</v>
      </c>
      <c r="C189" t="str">
        <f>"2426297204"</f>
        <v>2426297204</v>
      </c>
      <c r="D189" s="2">
        <v>0</v>
      </c>
      <c r="E189" s="3" t="s">
        <v>51</v>
      </c>
      <c r="F189" s="2" t="str">
        <f t="shared" si="52"/>
        <v>1133</v>
      </c>
      <c r="G189" s="2">
        <v>208</v>
      </c>
      <c r="H189" s="2" t="s">
        <v>18</v>
      </c>
      <c r="I189" s="1">
        <v>42882.448888888888</v>
      </c>
      <c r="J189" t="str">
        <f t="shared" si="55"/>
        <v>1</v>
      </c>
      <c r="K189" t="s">
        <v>19</v>
      </c>
      <c r="L189" s="1">
        <v>42882.470370370371</v>
      </c>
      <c r="M189" t="str">
        <f>"2"</f>
        <v>2</v>
      </c>
      <c r="N189" t="s">
        <v>26</v>
      </c>
      <c r="O189" t="str">
        <f t="shared" si="56"/>
        <v>21</v>
      </c>
      <c r="P189" t="str">
        <f t="shared" si="57"/>
        <v>24</v>
      </c>
      <c r="Q189" t="str">
        <f t="shared" si="58"/>
        <v>21</v>
      </c>
      <c r="R189" t="str">
        <f t="shared" si="59"/>
        <v>3</v>
      </c>
    </row>
    <row r="190" spans="1:18" x14ac:dyDescent="0.25">
      <c r="A190" t="s">
        <v>52</v>
      </c>
      <c r="B190" t="str">
        <f t="shared" si="51"/>
        <v>47000</v>
      </c>
      <c r="C190" t="str">
        <f>"3186017162"</f>
        <v>3186017162</v>
      </c>
      <c r="D190" s="2">
        <v>0</v>
      </c>
      <c r="E190" s="3" t="s">
        <v>51</v>
      </c>
      <c r="F190" s="2" t="str">
        <f t="shared" si="52"/>
        <v>1133</v>
      </c>
      <c r="G190" s="2">
        <v>208</v>
      </c>
      <c r="H190" s="2" t="s">
        <v>18</v>
      </c>
      <c r="I190" s="1">
        <v>42882.464421296296</v>
      </c>
      <c r="J190" t="str">
        <f t="shared" si="55"/>
        <v>1</v>
      </c>
      <c r="K190" t="s">
        <v>19</v>
      </c>
      <c r="L190" s="1">
        <v>42882.493298611109</v>
      </c>
      <c r="M190" t="str">
        <f>"9"</f>
        <v>9</v>
      </c>
      <c r="N190" t="s">
        <v>38</v>
      </c>
      <c r="O190" t="str">
        <f>"58"</f>
        <v>58</v>
      </c>
      <c r="P190" t="str">
        <f>"66"</f>
        <v>66</v>
      </c>
      <c r="Q190" t="str">
        <f>"58"</f>
        <v>58</v>
      </c>
      <c r="R190" t="str">
        <f>"8"</f>
        <v>8</v>
      </c>
    </row>
    <row r="191" spans="1:18" x14ac:dyDescent="0.25">
      <c r="A191" t="s">
        <v>52</v>
      </c>
      <c r="B191" t="str">
        <f t="shared" si="51"/>
        <v>47000</v>
      </c>
      <c r="C191" t="str">
        <f>"2652090191"</f>
        <v>2652090191</v>
      </c>
      <c r="D191" s="2">
        <v>0</v>
      </c>
      <c r="E191" s="3" t="s">
        <v>51</v>
      </c>
      <c r="F191" s="2" t="str">
        <f t="shared" si="52"/>
        <v>1133</v>
      </c>
      <c r="G191" s="2">
        <v>208</v>
      </c>
      <c r="H191" s="2" t="s">
        <v>18</v>
      </c>
      <c r="I191" s="1">
        <v>42882.478206018517</v>
      </c>
      <c r="J191" t="str">
        <f>"5"</f>
        <v>5</v>
      </c>
      <c r="K191" t="s">
        <v>34</v>
      </c>
      <c r="L191" s="1">
        <v>42882.505439814813</v>
      </c>
      <c r="M191" t="str">
        <f>"13"</f>
        <v>13</v>
      </c>
      <c r="N191" t="s">
        <v>27</v>
      </c>
      <c r="O191" t="str">
        <f>"57"</f>
        <v>57</v>
      </c>
      <c r="P191" t="str">
        <f>"65"</f>
        <v>65</v>
      </c>
      <c r="Q191" t="str">
        <f>"57"</f>
        <v>57</v>
      </c>
      <c r="R191" t="str">
        <f>"8"</f>
        <v>8</v>
      </c>
    </row>
    <row r="192" spans="1:18" x14ac:dyDescent="0.25">
      <c r="A192" t="s">
        <v>52</v>
      </c>
      <c r="B192" t="str">
        <f t="shared" si="51"/>
        <v>47000</v>
      </c>
      <c r="C192" t="str">
        <f>"735685125"</f>
        <v>735685125</v>
      </c>
      <c r="D192" s="2">
        <v>5</v>
      </c>
      <c r="E192" s="3" t="s">
        <v>58</v>
      </c>
      <c r="F192" s="2" t="str">
        <f t="shared" si="52"/>
        <v>1133</v>
      </c>
      <c r="G192" s="2">
        <v>208</v>
      </c>
      <c r="H192" s="2" t="s">
        <v>18</v>
      </c>
      <c r="I192" s="1">
        <v>42882.479664351849</v>
      </c>
      <c r="J192" t="str">
        <f>"6"</f>
        <v>6</v>
      </c>
      <c r="K192" t="s">
        <v>32</v>
      </c>
      <c r="L192" s="1">
        <v>42882.498356481483</v>
      </c>
      <c r="M192" t="str">
        <f>"11"</f>
        <v>11</v>
      </c>
      <c r="N192" t="s">
        <v>35</v>
      </c>
      <c r="O192" t="str">
        <f>"39"</f>
        <v>39</v>
      </c>
      <c r="P192" t="str">
        <f>"44"</f>
        <v>44</v>
      </c>
      <c r="Q192" t="str">
        <f>"39"</f>
        <v>39</v>
      </c>
      <c r="R192" t="str">
        <f>"5"</f>
        <v>5</v>
      </c>
    </row>
    <row r="193" spans="1:18" x14ac:dyDescent="0.25">
      <c r="A193" t="s">
        <v>52</v>
      </c>
      <c r="B193" t="str">
        <f t="shared" si="51"/>
        <v>47000</v>
      </c>
      <c r="C193" t="str">
        <f>"1572006120"</f>
        <v>1572006120</v>
      </c>
      <c r="D193" s="2">
        <v>5</v>
      </c>
      <c r="E193" s="3" t="s">
        <v>58</v>
      </c>
      <c r="F193" s="2" t="str">
        <f t="shared" si="52"/>
        <v>1133</v>
      </c>
      <c r="G193" s="2">
        <v>208</v>
      </c>
      <c r="H193" s="2" t="s">
        <v>18</v>
      </c>
      <c r="I193" s="1">
        <v>42882.479699074072</v>
      </c>
      <c r="J193" t="str">
        <f>"6"</f>
        <v>6</v>
      </c>
      <c r="K193" t="s">
        <v>32</v>
      </c>
      <c r="L193" s="1">
        <v>42882.498252314814</v>
      </c>
      <c r="M193" t="str">
        <f>"11"</f>
        <v>11</v>
      </c>
      <c r="N193" t="s">
        <v>35</v>
      </c>
      <c r="O193" t="str">
        <f>"39"</f>
        <v>39</v>
      </c>
      <c r="P193" t="str">
        <f>"44"</f>
        <v>44</v>
      </c>
      <c r="Q193" t="str">
        <f>"39"</f>
        <v>39</v>
      </c>
      <c r="R193" t="str">
        <f>"5"</f>
        <v>5</v>
      </c>
    </row>
    <row r="194" spans="1:18" x14ac:dyDescent="0.25">
      <c r="A194" t="s">
        <v>52</v>
      </c>
      <c r="B194" t="str">
        <f t="shared" si="51"/>
        <v>47000</v>
      </c>
      <c r="C194" t="str">
        <f>"278623457"</f>
        <v>278623457</v>
      </c>
      <c r="D194" s="2">
        <v>0</v>
      </c>
      <c r="E194" s="3" t="s">
        <v>51</v>
      </c>
      <c r="F194" s="2" t="str">
        <f t="shared" si="52"/>
        <v>1133</v>
      </c>
      <c r="G194" s="2">
        <v>208</v>
      </c>
      <c r="H194" s="2" t="s">
        <v>18</v>
      </c>
      <c r="I194" s="1">
        <v>42882.500856481478</v>
      </c>
      <c r="J194" t="str">
        <f>"12"</f>
        <v>12</v>
      </c>
      <c r="K194" t="s">
        <v>31</v>
      </c>
      <c r="L194" s="1">
        <v>42882.511122685188</v>
      </c>
      <c r="M194" t="str">
        <f>"14"</f>
        <v>14</v>
      </c>
      <c r="N194" t="s">
        <v>43</v>
      </c>
      <c r="O194" t="str">
        <f>"22"</f>
        <v>22</v>
      </c>
      <c r="P194" t="str">
        <f>"25"</f>
        <v>25</v>
      </c>
      <c r="Q194" t="str">
        <f>"22"</f>
        <v>22</v>
      </c>
      <c r="R194" t="str">
        <f>"3"</f>
        <v>3</v>
      </c>
    </row>
    <row r="195" spans="1:18" x14ac:dyDescent="0.25">
      <c r="A195" t="s">
        <v>52</v>
      </c>
      <c r="B195" t="str">
        <f t="shared" si="51"/>
        <v>47000</v>
      </c>
      <c r="C195" t="str">
        <f>"278586161"</f>
        <v>278586161</v>
      </c>
      <c r="D195" s="2">
        <v>0</v>
      </c>
      <c r="E195" s="3" t="s">
        <v>51</v>
      </c>
      <c r="F195" s="2" t="str">
        <f t="shared" si="52"/>
        <v>1133</v>
      </c>
      <c r="G195" s="2">
        <v>208</v>
      </c>
      <c r="H195" s="2" t="s">
        <v>18</v>
      </c>
      <c r="I195" s="1">
        <v>42882.500879629632</v>
      </c>
      <c r="J195" t="str">
        <f>"12"</f>
        <v>12</v>
      </c>
      <c r="K195" t="s">
        <v>31</v>
      </c>
      <c r="L195" s="1">
        <v>42882.511157407411</v>
      </c>
      <c r="M195" t="str">
        <f>"14"</f>
        <v>14</v>
      </c>
      <c r="N195" t="s">
        <v>43</v>
      </c>
      <c r="O195" t="str">
        <f>"22"</f>
        <v>22</v>
      </c>
      <c r="P195" t="str">
        <f>"25"</f>
        <v>25</v>
      </c>
      <c r="Q195" t="str">
        <f>"22"</f>
        <v>22</v>
      </c>
      <c r="R195" t="str">
        <f>"3"</f>
        <v>3</v>
      </c>
    </row>
    <row r="196" spans="1:18" x14ac:dyDescent="0.25">
      <c r="A196" t="s">
        <v>52</v>
      </c>
      <c r="B196" t="str">
        <f t="shared" si="51"/>
        <v>47000</v>
      </c>
      <c r="C196" t="str">
        <f>"653054677"</f>
        <v>653054677</v>
      </c>
      <c r="D196" s="2">
        <v>0</v>
      </c>
      <c r="E196" s="3" t="s">
        <v>51</v>
      </c>
      <c r="F196" s="2" t="str">
        <f t="shared" si="52"/>
        <v>1133</v>
      </c>
      <c r="G196" s="2">
        <v>208</v>
      </c>
      <c r="H196" s="2" t="s">
        <v>18</v>
      </c>
      <c r="I196" s="1">
        <v>42882.500937500001</v>
      </c>
      <c r="J196" t="str">
        <f>"12"</f>
        <v>12</v>
      </c>
      <c r="K196" t="s">
        <v>31</v>
      </c>
      <c r="L196" s="1">
        <v>42882.506331018521</v>
      </c>
      <c r="M196" t="str">
        <f>"13"</f>
        <v>13</v>
      </c>
      <c r="N196" t="s">
        <v>27</v>
      </c>
      <c r="O196" t="str">
        <f>"21"</f>
        <v>21</v>
      </c>
      <c r="P196" t="str">
        <f>"24"</f>
        <v>24</v>
      </c>
      <c r="Q196" t="str">
        <f>"21"</f>
        <v>21</v>
      </c>
      <c r="R196" t="str">
        <f>"3"</f>
        <v>3</v>
      </c>
    </row>
    <row r="197" spans="1:18" x14ac:dyDescent="0.25">
      <c r="A197" t="s">
        <v>53</v>
      </c>
      <c r="B197" t="str">
        <f t="shared" si="51"/>
        <v>47000</v>
      </c>
      <c r="C197" t="str">
        <f>"12DA5E00"</f>
        <v>12DA5E00</v>
      </c>
      <c r="D197" s="2" t="s">
        <v>21</v>
      </c>
      <c r="E197" s="3" t="s">
        <v>59</v>
      </c>
      <c r="F197" s="2" t="str">
        <f t="shared" si="52"/>
        <v>1133</v>
      </c>
      <c r="G197" s="2">
        <v>208</v>
      </c>
      <c r="H197" s="2" t="s">
        <v>18</v>
      </c>
      <c r="I197" s="1">
        <v>42882.50104166667</v>
      </c>
      <c r="J197" t="str">
        <f>"12"</f>
        <v>12</v>
      </c>
      <c r="K197" t="s">
        <v>31</v>
      </c>
      <c r="L197" s="1">
        <v>42882.506319444445</v>
      </c>
      <c r="M197" t="str">
        <f>"13"</f>
        <v>13</v>
      </c>
      <c r="N197" t="s">
        <v>27</v>
      </c>
      <c r="O197" t="str">
        <f>"21"</f>
        <v>21</v>
      </c>
      <c r="P197" t="str">
        <f>"24"</f>
        <v>24</v>
      </c>
      <c r="Q197" t="str">
        <f>"21"</f>
        <v>21</v>
      </c>
      <c r="R197" t="str">
        <f>"3"</f>
        <v>3</v>
      </c>
    </row>
    <row r="198" spans="1:18" x14ac:dyDescent="0.25">
      <c r="A198" t="s">
        <v>52</v>
      </c>
      <c r="B198" t="str">
        <f t="shared" si="51"/>
        <v>47000</v>
      </c>
      <c r="C198" t="str">
        <f>"155140513"</f>
        <v>155140513</v>
      </c>
      <c r="D198" s="2">
        <v>0</v>
      </c>
      <c r="E198" s="3" t="s">
        <v>51</v>
      </c>
      <c r="F198" s="2" t="str">
        <f t="shared" si="52"/>
        <v>1133</v>
      </c>
      <c r="G198" s="2">
        <v>208</v>
      </c>
      <c r="H198" s="2" t="s">
        <v>18</v>
      </c>
      <c r="I198" s="1">
        <v>42882.511319444442</v>
      </c>
      <c r="J198" t="str">
        <f>"14"</f>
        <v>14</v>
      </c>
      <c r="K198" t="s">
        <v>43</v>
      </c>
      <c r="L198" s="1">
        <v>42882.548506944448</v>
      </c>
      <c r="M198" t="str">
        <f>"18"</f>
        <v>18</v>
      </c>
      <c r="N198" t="s">
        <v>39</v>
      </c>
      <c r="O198" t="str">
        <f>"58"</f>
        <v>58</v>
      </c>
      <c r="P198" t="str">
        <f>"66"</f>
        <v>66</v>
      </c>
      <c r="Q198" t="str">
        <f>"58"</f>
        <v>58</v>
      </c>
      <c r="R198" t="str">
        <f>"8"</f>
        <v>8</v>
      </c>
    </row>
    <row r="199" spans="1:18" x14ac:dyDescent="0.25">
      <c r="A199" t="s">
        <v>52</v>
      </c>
      <c r="B199" t="str">
        <f t="shared" si="51"/>
        <v>47000</v>
      </c>
      <c r="C199" t="str">
        <f>"2615795695"</f>
        <v>2615795695</v>
      </c>
      <c r="D199" s="2">
        <v>0</v>
      </c>
      <c r="E199" s="3" t="s">
        <v>51</v>
      </c>
      <c r="F199" s="2" t="str">
        <f t="shared" si="52"/>
        <v>1133</v>
      </c>
      <c r="G199" s="2">
        <v>208</v>
      </c>
      <c r="H199" s="2" t="s">
        <v>18</v>
      </c>
      <c r="I199" s="1">
        <v>42882.511354166665</v>
      </c>
      <c r="J199" t="str">
        <f>"14"</f>
        <v>14</v>
      </c>
      <c r="K199" t="s">
        <v>43</v>
      </c>
      <c r="L199" s="1">
        <v>42882.548564814817</v>
      </c>
      <c r="M199" t="str">
        <f>"18"</f>
        <v>18</v>
      </c>
      <c r="N199" t="s">
        <v>39</v>
      </c>
      <c r="O199" t="str">
        <f>"58"</f>
        <v>58</v>
      </c>
      <c r="P199" t="str">
        <f>"66"</f>
        <v>66</v>
      </c>
      <c r="Q199" t="str">
        <f>"58"</f>
        <v>58</v>
      </c>
      <c r="R199" t="str">
        <f>"8"</f>
        <v>8</v>
      </c>
    </row>
    <row r="200" spans="1:18" x14ac:dyDescent="0.25">
      <c r="A200" t="s">
        <v>52</v>
      </c>
      <c r="B200" t="str">
        <f t="shared" si="51"/>
        <v>47000</v>
      </c>
      <c r="C200" t="str">
        <f>"2616200879"</f>
        <v>2616200879</v>
      </c>
      <c r="D200" s="2">
        <v>0</v>
      </c>
      <c r="E200" s="3" t="s">
        <v>51</v>
      </c>
      <c r="F200" s="2" t="str">
        <f t="shared" ref="F200:F223" si="60">"1133"</f>
        <v>1133</v>
      </c>
      <c r="G200" s="2">
        <v>208</v>
      </c>
      <c r="H200" s="2" t="s">
        <v>18</v>
      </c>
      <c r="I200" s="1">
        <v>42882.511365740742</v>
      </c>
      <c r="J200" t="str">
        <f>"14"</f>
        <v>14</v>
      </c>
      <c r="K200" t="s">
        <v>43</v>
      </c>
      <c r="L200" s="1">
        <v>42882.548356481479</v>
      </c>
      <c r="M200" t="str">
        <f>"18"</f>
        <v>18</v>
      </c>
      <c r="N200" t="s">
        <v>39</v>
      </c>
      <c r="O200" t="str">
        <f>"58"</f>
        <v>58</v>
      </c>
      <c r="P200" t="str">
        <f>"66"</f>
        <v>66</v>
      </c>
      <c r="Q200" t="str">
        <f>"58"</f>
        <v>58</v>
      </c>
      <c r="R200" t="str">
        <f>"8"</f>
        <v>8</v>
      </c>
    </row>
    <row r="201" spans="1:18" x14ac:dyDescent="0.25">
      <c r="A201" t="s">
        <v>52</v>
      </c>
      <c r="B201" t="str">
        <f t="shared" si="51"/>
        <v>47000</v>
      </c>
      <c r="C201" t="str">
        <f>"1630930192"</f>
        <v>1630930192</v>
      </c>
      <c r="D201" s="2">
        <v>0</v>
      </c>
      <c r="E201" s="3" t="s">
        <v>51</v>
      </c>
      <c r="F201" s="2" t="str">
        <f t="shared" si="60"/>
        <v>1133</v>
      </c>
      <c r="G201" s="2">
        <v>208</v>
      </c>
      <c r="H201" s="2" t="s">
        <v>18</v>
      </c>
      <c r="I201" s="1">
        <v>42882.521817129629</v>
      </c>
      <c r="J201" t="str">
        <f t="shared" ref="J201:J207" si="61">"16"</f>
        <v>16</v>
      </c>
      <c r="K201" t="s">
        <v>42</v>
      </c>
      <c r="L201" s="1">
        <v>42882.52925925926</v>
      </c>
      <c r="M201" t="str">
        <f t="shared" ref="M201:M208" si="62">"16"</f>
        <v>16</v>
      </c>
      <c r="N201" t="s">
        <v>42</v>
      </c>
      <c r="O201" t="str">
        <f>"21"</f>
        <v>21</v>
      </c>
      <c r="P201" t="str">
        <f>"24"</f>
        <v>24</v>
      </c>
      <c r="Q201" t="str">
        <f>"21"</f>
        <v>21</v>
      </c>
      <c r="R201" t="str">
        <f>"3"</f>
        <v>3</v>
      </c>
    </row>
    <row r="202" spans="1:18" x14ac:dyDescent="0.25">
      <c r="A202" t="s">
        <v>52</v>
      </c>
      <c r="B202" t="str">
        <f t="shared" si="51"/>
        <v>47000</v>
      </c>
      <c r="C202" t="str">
        <f>"1921842764"</f>
        <v>1921842764</v>
      </c>
      <c r="D202" s="2">
        <v>1</v>
      </c>
      <c r="E202" s="3" t="s">
        <v>57</v>
      </c>
      <c r="F202" s="2" t="str">
        <f t="shared" si="60"/>
        <v>1133</v>
      </c>
      <c r="G202" s="2">
        <v>208</v>
      </c>
      <c r="H202" s="2" t="s">
        <v>18</v>
      </c>
      <c r="I202" s="1">
        <v>42882.522175925929</v>
      </c>
      <c r="J202" t="str">
        <f t="shared" si="61"/>
        <v>16</v>
      </c>
      <c r="K202" t="s">
        <v>42</v>
      </c>
      <c r="L202" s="1">
        <v>42882.529189814813</v>
      </c>
      <c r="M202" t="str">
        <f t="shared" si="62"/>
        <v>16</v>
      </c>
      <c r="N202" t="s">
        <v>42</v>
      </c>
      <c r="O202" t="str">
        <f>"11"</f>
        <v>11</v>
      </c>
      <c r="P202" t="str">
        <f>"12"</f>
        <v>12</v>
      </c>
      <c r="Q202" t="str">
        <f>"11"</f>
        <v>11</v>
      </c>
      <c r="R202" t="str">
        <f>"1"</f>
        <v>1</v>
      </c>
    </row>
    <row r="203" spans="1:18" x14ac:dyDescent="0.25">
      <c r="A203" t="s">
        <v>52</v>
      </c>
      <c r="B203" t="str">
        <f t="shared" si="51"/>
        <v>47000</v>
      </c>
      <c r="C203" t="str">
        <f>"241238154"</f>
        <v>241238154</v>
      </c>
      <c r="D203" s="2">
        <v>0</v>
      </c>
      <c r="E203" s="3" t="s">
        <v>51</v>
      </c>
      <c r="F203" s="2" t="str">
        <f t="shared" si="60"/>
        <v>1133</v>
      </c>
      <c r="G203" s="2">
        <v>208</v>
      </c>
      <c r="H203" s="2" t="s">
        <v>18</v>
      </c>
      <c r="I203" s="1">
        <v>42882.522199074076</v>
      </c>
      <c r="J203" t="str">
        <f t="shared" si="61"/>
        <v>16</v>
      </c>
      <c r="K203" t="s">
        <v>42</v>
      </c>
      <c r="L203" s="1">
        <v>42882.529293981483</v>
      </c>
      <c r="M203" t="str">
        <f t="shared" si="62"/>
        <v>16</v>
      </c>
      <c r="N203" t="s">
        <v>42</v>
      </c>
      <c r="O203" t="str">
        <f>"21"</f>
        <v>21</v>
      </c>
      <c r="P203" t="str">
        <f>"24"</f>
        <v>24</v>
      </c>
      <c r="Q203" t="str">
        <f>"21"</f>
        <v>21</v>
      </c>
      <c r="R203" t="str">
        <f>"3"</f>
        <v>3</v>
      </c>
    </row>
    <row r="204" spans="1:18" x14ac:dyDescent="0.25">
      <c r="A204" t="s">
        <v>52</v>
      </c>
      <c r="B204" t="str">
        <f t="shared" si="51"/>
        <v>47000</v>
      </c>
      <c r="C204" t="str">
        <f>"224371905"</f>
        <v>224371905</v>
      </c>
      <c r="D204" s="2">
        <v>0</v>
      </c>
      <c r="E204" s="3" t="s">
        <v>51</v>
      </c>
      <c r="F204" s="2" t="str">
        <f t="shared" si="60"/>
        <v>1133</v>
      </c>
      <c r="G204" s="2">
        <v>208</v>
      </c>
      <c r="H204" s="2" t="s">
        <v>18</v>
      </c>
      <c r="I204" s="1">
        <v>42882.522222222222</v>
      </c>
      <c r="J204" t="str">
        <f t="shared" si="61"/>
        <v>16</v>
      </c>
      <c r="K204" t="s">
        <v>42</v>
      </c>
      <c r="L204" s="1">
        <v>42882.529444444444</v>
      </c>
      <c r="M204" t="str">
        <f t="shared" si="62"/>
        <v>16</v>
      </c>
      <c r="N204" t="s">
        <v>42</v>
      </c>
      <c r="O204" t="str">
        <f>"21"</f>
        <v>21</v>
      </c>
      <c r="P204" t="str">
        <f>"24"</f>
        <v>24</v>
      </c>
      <c r="Q204" t="str">
        <f>"21"</f>
        <v>21</v>
      </c>
      <c r="R204" t="str">
        <f>"3"</f>
        <v>3</v>
      </c>
    </row>
    <row r="205" spans="1:18" x14ac:dyDescent="0.25">
      <c r="A205" t="s">
        <v>52</v>
      </c>
      <c r="B205" t="str">
        <f t="shared" si="51"/>
        <v>47000</v>
      </c>
      <c r="C205" t="str">
        <f>"1918503660"</f>
        <v>1918503660</v>
      </c>
      <c r="D205" s="2">
        <v>1</v>
      </c>
      <c r="E205" s="3" t="s">
        <v>57</v>
      </c>
      <c r="F205" s="2" t="str">
        <f t="shared" si="60"/>
        <v>1133</v>
      </c>
      <c r="G205" s="2">
        <v>208</v>
      </c>
      <c r="H205" s="2" t="s">
        <v>18</v>
      </c>
      <c r="I205" s="1">
        <v>42882.522256944445</v>
      </c>
      <c r="J205" t="str">
        <f t="shared" si="61"/>
        <v>16</v>
      </c>
      <c r="K205" t="s">
        <v>42</v>
      </c>
      <c r="L205" s="1">
        <v>42882.529328703706</v>
      </c>
      <c r="M205" t="str">
        <f t="shared" si="62"/>
        <v>16</v>
      </c>
      <c r="N205" t="s">
        <v>42</v>
      </c>
      <c r="O205" t="str">
        <f>"11"</f>
        <v>11</v>
      </c>
      <c r="P205" t="str">
        <f>"12"</f>
        <v>12</v>
      </c>
      <c r="Q205" t="str">
        <f>"11"</f>
        <v>11</v>
      </c>
      <c r="R205" t="str">
        <f>"1"</f>
        <v>1</v>
      </c>
    </row>
    <row r="206" spans="1:18" x14ac:dyDescent="0.25">
      <c r="A206" t="s">
        <v>52</v>
      </c>
      <c r="B206" t="str">
        <f t="shared" si="51"/>
        <v>47000</v>
      </c>
      <c r="C206" t="str">
        <f>"1428442040"</f>
        <v>1428442040</v>
      </c>
      <c r="D206" s="2">
        <v>0</v>
      </c>
      <c r="E206" s="3" t="s">
        <v>51</v>
      </c>
      <c r="F206" s="2" t="str">
        <f t="shared" si="60"/>
        <v>1133</v>
      </c>
      <c r="G206" s="2">
        <v>208</v>
      </c>
      <c r="H206" s="2" t="s">
        <v>18</v>
      </c>
      <c r="I206" s="1">
        <v>42882.522291666668</v>
      </c>
      <c r="J206" t="str">
        <f t="shared" si="61"/>
        <v>16</v>
      </c>
      <c r="K206" t="s">
        <v>42</v>
      </c>
      <c r="L206" s="1">
        <v>42882.529386574075</v>
      </c>
      <c r="M206" t="str">
        <f t="shared" si="62"/>
        <v>16</v>
      </c>
      <c r="N206" t="s">
        <v>42</v>
      </c>
      <c r="O206" t="str">
        <f>"21"</f>
        <v>21</v>
      </c>
      <c r="P206" t="str">
        <f>"24"</f>
        <v>24</v>
      </c>
      <c r="Q206" t="str">
        <f>"21"</f>
        <v>21</v>
      </c>
      <c r="R206" t="str">
        <f>"3"</f>
        <v>3</v>
      </c>
    </row>
    <row r="207" spans="1:18" x14ac:dyDescent="0.25">
      <c r="A207" t="s">
        <v>52</v>
      </c>
      <c r="B207" t="str">
        <f t="shared" si="51"/>
        <v>47000</v>
      </c>
      <c r="C207" t="str">
        <f>"3520333427"</f>
        <v>3520333427</v>
      </c>
      <c r="D207" s="2">
        <v>0</v>
      </c>
      <c r="E207" s="3" t="s">
        <v>51</v>
      </c>
      <c r="F207" s="2" t="str">
        <f t="shared" si="60"/>
        <v>1133</v>
      </c>
      <c r="G207" s="2">
        <v>208</v>
      </c>
      <c r="H207" s="2" t="s">
        <v>18</v>
      </c>
      <c r="I207" s="1">
        <v>42882.522314814814</v>
      </c>
      <c r="J207" t="str">
        <f t="shared" si="61"/>
        <v>16</v>
      </c>
      <c r="K207" t="s">
        <v>42</v>
      </c>
      <c r="L207" s="1">
        <v>42882.529374999998</v>
      </c>
      <c r="M207" t="str">
        <f t="shared" si="62"/>
        <v>16</v>
      </c>
      <c r="N207" t="s">
        <v>42</v>
      </c>
      <c r="O207" t="str">
        <f>"21"</f>
        <v>21</v>
      </c>
      <c r="P207" t="str">
        <f>"24"</f>
        <v>24</v>
      </c>
      <c r="Q207" t="str">
        <f>"21"</f>
        <v>21</v>
      </c>
      <c r="R207" t="str">
        <f>"3"</f>
        <v>3</v>
      </c>
    </row>
    <row r="208" spans="1:18" x14ac:dyDescent="0.25">
      <c r="A208" t="s">
        <v>52</v>
      </c>
      <c r="B208" t="str">
        <f t="shared" si="51"/>
        <v>47000</v>
      </c>
      <c r="C208" t="str">
        <f>"834762053"</f>
        <v>834762053</v>
      </c>
      <c r="D208" s="2">
        <v>0</v>
      </c>
      <c r="E208" s="3" t="s">
        <v>51</v>
      </c>
      <c r="F208" s="2" t="str">
        <f t="shared" si="60"/>
        <v>1133</v>
      </c>
      <c r="G208" s="2">
        <v>208</v>
      </c>
      <c r="H208" s="2" t="s">
        <v>18</v>
      </c>
      <c r="I208" s="1">
        <v>42882.588206018518</v>
      </c>
      <c r="J208" t="str">
        <f>"17"</f>
        <v>17</v>
      </c>
      <c r="K208" t="s">
        <v>47</v>
      </c>
      <c r="L208" s="1">
        <v>42882.603090277778</v>
      </c>
      <c r="M208" t="str">
        <f t="shared" si="62"/>
        <v>16</v>
      </c>
      <c r="N208" t="s">
        <v>42</v>
      </c>
      <c r="O208" t="str">
        <f>"23"</f>
        <v>23</v>
      </c>
      <c r="P208" t="str">
        <f>"26"</f>
        <v>26</v>
      </c>
      <c r="Q208" t="str">
        <f>"23"</f>
        <v>23</v>
      </c>
      <c r="R208" t="str">
        <f>"3"</f>
        <v>3</v>
      </c>
    </row>
    <row r="209" spans="1:18" x14ac:dyDescent="0.25">
      <c r="A209" t="s">
        <v>52</v>
      </c>
      <c r="B209" t="str">
        <f t="shared" si="51"/>
        <v>47000</v>
      </c>
      <c r="C209" t="str">
        <f>"244429457"</f>
        <v>244429457</v>
      </c>
      <c r="D209" s="2">
        <v>0</v>
      </c>
      <c r="E209" s="3" t="s">
        <v>51</v>
      </c>
      <c r="F209" s="2" t="str">
        <f t="shared" si="60"/>
        <v>1133</v>
      </c>
      <c r="G209" s="2">
        <v>208</v>
      </c>
      <c r="H209" s="2" t="s">
        <v>18</v>
      </c>
      <c r="I209" s="1">
        <v>42882.631342592591</v>
      </c>
      <c r="J209" t="str">
        <f t="shared" ref="J209:J221" si="63">"13"</f>
        <v>13</v>
      </c>
      <c r="K209" t="s">
        <v>27</v>
      </c>
      <c r="L209" s="1">
        <v>42882.693379629629</v>
      </c>
      <c r="M209" t="str">
        <f t="shared" ref="M209:M215" si="64">"1"</f>
        <v>1</v>
      </c>
      <c r="N209" t="s">
        <v>19</v>
      </c>
      <c r="O209" t="str">
        <f t="shared" ref="O209:O215" si="65">"87"</f>
        <v>87</v>
      </c>
      <c r="P209" t="str">
        <f t="shared" ref="P209:P215" si="66">"99"</f>
        <v>99</v>
      </c>
      <c r="Q209" t="str">
        <f t="shared" ref="Q209:Q215" si="67">"87"</f>
        <v>87</v>
      </c>
      <c r="R209" t="str">
        <f t="shared" ref="R209:R215" si="68">"12"</f>
        <v>12</v>
      </c>
    </row>
    <row r="210" spans="1:18" x14ac:dyDescent="0.25">
      <c r="A210" t="s">
        <v>52</v>
      </c>
      <c r="B210" t="str">
        <f t="shared" si="51"/>
        <v>47000</v>
      </c>
      <c r="C210" t="str">
        <f>"1644315653"</f>
        <v>1644315653</v>
      </c>
      <c r="D210" s="2">
        <v>0</v>
      </c>
      <c r="E210" s="3" t="s">
        <v>51</v>
      </c>
      <c r="F210" s="2" t="str">
        <f t="shared" si="60"/>
        <v>1133</v>
      </c>
      <c r="G210" s="2">
        <v>208</v>
      </c>
      <c r="H210" s="2" t="s">
        <v>18</v>
      </c>
      <c r="I210" s="1">
        <v>42882.631377314814</v>
      </c>
      <c r="J210" t="str">
        <f t="shared" si="63"/>
        <v>13</v>
      </c>
      <c r="K210" t="s">
        <v>27</v>
      </c>
      <c r="L210" s="1">
        <v>42882.679606481484</v>
      </c>
      <c r="M210" t="str">
        <f t="shared" si="64"/>
        <v>1</v>
      </c>
      <c r="N210" t="s">
        <v>19</v>
      </c>
      <c r="O210" t="str">
        <f t="shared" si="65"/>
        <v>87</v>
      </c>
      <c r="P210" t="str">
        <f t="shared" si="66"/>
        <v>99</v>
      </c>
      <c r="Q210" t="str">
        <f t="shared" si="67"/>
        <v>87</v>
      </c>
      <c r="R210" t="str">
        <f t="shared" si="68"/>
        <v>12</v>
      </c>
    </row>
    <row r="211" spans="1:18" x14ac:dyDescent="0.25">
      <c r="A211" t="s">
        <v>52</v>
      </c>
      <c r="B211" t="str">
        <f t="shared" si="51"/>
        <v>47000</v>
      </c>
      <c r="C211" t="str">
        <f>"2247912936"</f>
        <v>2247912936</v>
      </c>
      <c r="D211" s="2">
        <v>0</v>
      </c>
      <c r="E211" s="3" t="s">
        <v>51</v>
      </c>
      <c r="F211" s="2" t="str">
        <f t="shared" si="60"/>
        <v>1133</v>
      </c>
      <c r="G211" s="2">
        <v>208</v>
      </c>
      <c r="H211" s="2" t="s">
        <v>18</v>
      </c>
      <c r="I211" s="1">
        <v>42882.631458333337</v>
      </c>
      <c r="J211" t="str">
        <f t="shared" si="63"/>
        <v>13</v>
      </c>
      <c r="K211" t="s">
        <v>27</v>
      </c>
      <c r="L211" s="1">
        <v>42882.679525462961</v>
      </c>
      <c r="M211" t="str">
        <f t="shared" si="64"/>
        <v>1</v>
      </c>
      <c r="N211" t="s">
        <v>19</v>
      </c>
      <c r="O211" t="str">
        <f t="shared" si="65"/>
        <v>87</v>
      </c>
      <c r="P211" t="str">
        <f t="shared" si="66"/>
        <v>99</v>
      </c>
      <c r="Q211" t="str">
        <f t="shared" si="67"/>
        <v>87</v>
      </c>
      <c r="R211" t="str">
        <f t="shared" si="68"/>
        <v>12</v>
      </c>
    </row>
    <row r="212" spans="1:18" x14ac:dyDescent="0.25">
      <c r="A212" t="s">
        <v>52</v>
      </c>
      <c r="B212" t="str">
        <f t="shared" si="51"/>
        <v>47000</v>
      </c>
      <c r="C212" t="str">
        <f>"1292901832"</f>
        <v>1292901832</v>
      </c>
      <c r="D212" s="2">
        <v>0</v>
      </c>
      <c r="E212" s="3" t="s">
        <v>51</v>
      </c>
      <c r="F212" s="2" t="str">
        <f t="shared" si="60"/>
        <v>1133</v>
      </c>
      <c r="G212" s="2">
        <v>208</v>
      </c>
      <c r="H212" s="2" t="s">
        <v>18</v>
      </c>
      <c r="I212" s="1">
        <v>42882.631481481483</v>
      </c>
      <c r="J212" t="str">
        <f t="shared" si="63"/>
        <v>13</v>
      </c>
      <c r="K212" t="s">
        <v>27</v>
      </c>
      <c r="L212" s="1">
        <v>42882.679652777777</v>
      </c>
      <c r="M212" t="str">
        <f t="shared" si="64"/>
        <v>1</v>
      </c>
      <c r="N212" t="s">
        <v>19</v>
      </c>
      <c r="O212" t="str">
        <f t="shared" si="65"/>
        <v>87</v>
      </c>
      <c r="P212" t="str">
        <f t="shared" si="66"/>
        <v>99</v>
      </c>
      <c r="Q212" t="str">
        <f t="shared" si="67"/>
        <v>87</v>
      </c>
      <c r="R212" t="str">
        <f t="shared" si="68"/>
        <v>12</v>
      </c>
    </row>
    <row r="213" spans="1:18" x14ac:dyDescent="0.25">
      <c r="A213" t="s">
        <v>52</v>
      </c>
      <c r="B213" t="str">
        <f t="shared" si="51"/>
        <v>47000</v>
      </c>
      <c r="C213" t="str">
        <f>"259888561"</f>
        <v>259888561</v>
      </c>
      <c r="D213" s="2">
        <v>0</v>
      </c>
      <c r="E213" s="3" t="s">
        <v>51</v>
      </c>
      <c r="F213" s="2" t="str">
        <f t="shared" si="60"/>
        <v>1133</v>
      </c>
      <c r="G213" s="2">
        <v>208</v>
      </c>
      <c r="H213" s="2" t="s">
        <v>18</v>
      </c>
      <c r="I213" s="1">
        <v>42882.631504629629</v>
      </c>
      <c r="J213" t="str">
        <f t="shared" si="63"/>
        <v>13</v>
      </c>
      <c r="K213" t="s">
        <v>27</v>
      </c>
      <c r="L213" s="1">
        <v>42882.679560185185</v>
      </c>
      <c r="M213" t="str">
        <f t="shared" si="64"/>
        <v>1</v>
      </c>
      <c r="N213" t="s">
        <v>19</v>
      </c>
      <c r="O213" t="str">
        <f t="shared" si="65"/>
        <v>87</v>
      </c>
      <c r="P213" t="str">
        <f t="shared" si="66"/>
        <v>99</v>
      </c>
      <c r="Q213" t="str">
        <f t="shared" si="67"/>
        <v>87</v>
      </c>
      <c r="R213" t="str">
        <f t="shared" si="68"/>
        <v>12</v>
      </c>
    </row>
    <row r="214" spans="1:18" x14ac:dyDescent="0.25">
      <c r="A214" t="s">
        <v>52</v>
      </c>
      <c r="B214" t="str">
        <f t="shared" si="51"/>
        <v>47000</v>
      </c>
      <c r="C214" t="str">
        <f>"463122973"</f>
        <v>463122973</v>
      </c>
      <c r="D214" s="2">
        <v>0</v>
      </c>
      <c r="E214" s="3" t="s">
        <v>51</v>
      </c>
      <c r="F214" s="2" t="str">
        <f t="shared" si="60"/>
        <v>1133</v>
      </c>
      <c r="G214" s="2">
        <v>208</v>
      </c>
      <c r="H214" s="2" t="s">
        <v>18</v>
      </c>
      <c r="I214" s="1">
        <v>42882.631585648145</v>
      </c>
      <c r="J214" t="str">
        <f t="shared" si="63"/>
        <v>13</v>
      </c>
      <c r="K214" t="s">
        <v>27</v>
      </c>
      <c r="L214" s="1">
        <v>42882.679699074077</v>
      </c>
      <c r="M214" t="str">
        <f t="shared" si="64"/>
        <v>1</v>
      </c>
      <c r="N214" t="s">
        <v>19</v>
      </c>
      <c r="O214" t="str">
        <f t="shared" si="65"/>
        <v>87</v>
      </c>
      <c r="P214" t="str">
        <f t="shared" si="66"/>
        <v>99</v>
      </c>
      <c r="Q214" t="str">
        <f t="shared" si="67"/>
        <v>87</v>
      </c>
      <c r="R214" t="str">
        <f t="shared" si="68"/>
        <v>12</v>
      </c>
    </row>
    <row r="215" spans="1:18" x14ac:dyDescent="0.25">
      <c r="A215" t="s">
        <v>52</v>
      </c>
      <c r="B215" t="str">
        <f t="shared" si="51"/>
        <v>47000</v>
      </c>
      <c r="C215" t="str">
        <f>"838626803"</f>
        <v>838626803</v>
      </c>
      <c r="D215" s="2">
        <v>0</v>
      </c>
      <c r="E215" s="3" t="s">
        <v>51</v>
      </c>
      <c r="F215" s="2" t="str">
        <f t="shared" si="60"/>
        <v>1133</v>
      </c>
      <c r="G215" s="2">
        <v>208</v>
      </c>
      <c r="H215" s="2" t="s">
        <v>18</v>
      </c>
      <c r="I215" s="1">
        <v>42882.631631944445</v>
      </c>
      <c r="J215" t="str">
        <f t="shared" si="63"/>
        <v>13</v>
      </c>
      <c r="K215" t="s">
        <v>27</v>
      </c>
      <c r="L215" s="1">
        <v>42882.679722222223</v>
      </c>
      <c r="M215" t="str">
        <f t="shared" si="64"/>
        <v>1</v>
      </c>
      <c r="N215" t="s">
        <v>19</v>
      </c>
      <c r="O215" t="str">
        <f t="shared" si="65"/>
        <v>87</v>
      </c>
      <c r="P215" t="str">
        <f t="shared" si="66"/>
        <v>99</v>
      </c>
      <c r="Q215" t="str">
        <f t="shared" si="67"/>
        <v>87</v>
      </c>
      <c r="R215" t="str">
        <f t="shared" si="68"/>
        <v>12</v>
      </c>
    </row>
    <row r="216" spans="1:18" x14ac:dyDescent="0.25">
      <c r="A216" t="s">
        <v>52</v>
      </c>
      <c r="B216" t="str">
        <f t="shared" si="51"/>
        <v>47000</v>
      </c>
      <c r="C216" t="str">
        <f>"850762997"</f>
        <v>850762997</v>
      </c>
      <c r="D216" s="2">
        <v>0</v>
      </c>
      <c r="E216" s="3" t="s">
        <v>51</v>
      </c>
      <c r="F216" s="2" t="str">
        <f t="shared" si="60"/>
        <v>1133</v>
      </c>
      <c r="G216" s="2">
        <v>208</v>
      </c>
      <c r="H216" s="2" t="s">
        <v>18</v>
      </c>
      <c r="I216" s="1">
        <v>42882.63175925926</v>
      </c>
      <c r="J216" t="str">
        <f t="shared" si="63"/>
        <v>13</v>
      </c>
      <c r="K216" t="s">
        <v>27</v>
      </c>
      <c r="L216" s="1">
        <v>42882.63989583333</v>
      </c>
      <c r="M216" t="str">
        <f t="shared" ref="M216:M221" si="69">"12"</f>
        <v>12</v>
      </c>
      <c r="N216" t="s">
        <v>31</v>
      </c>
      <c r="O216" t="str">
        <f>"21"</f>
        <v>21</v>
      </c>
      <c r="P216" t="str">
        <f>"24"</f>
        <v>24</v>
      </c>
      <c r="Q216" t="str">
        <f>"21"</f>
        <v>21</v>
      </c>
      <c r="R216" t="str">
        <f>"3"</f>
        <v>3</v>
      </c>
    </row>
    <row r="217" spans="1:18" x14ac:dyDescent="0.25">
      <c r="A217" t="s">
        <v>52</v>
      </c>
      <c r="B217" t="str">
        <f t="shared" si="51"/>
        <v>47000</v>
      </c>
      <c r="C217" t="str">
        <f>"211461457"</f>
        <v>211461457</v>
      </c>
      <c r="D217" s="2">
        <v>0</v>
      </c>
      <c r="E217" s="3" t="s">
        <v>51</v>
      </c>
      <c r="F217" s="2" t="str">
        <f t="shared" si="60"/>
        <v>1133</v>
      </c>
      <c r="G217" s="2">
        <v>208</v>
      </c>
      <c r="H217" s="2" t="s">
        <v>18</v>
      </c>
      <c r="I217" s="1">
        <v>42882.631828703707</v>
      </c>
      <c r="J217" t="str">
        <f t="shared" si="63"/>
        <v>13</v>
      </c>
      <c r="K217" t="s">
        <v>27</v>
      </c>
      <c r="L217" s="1">
        <v>42882.639537037037</v>
      </c>
      <c r="M217" t="str">
        <f t="shared" si="69"/>
        <v>12</v>
      </c>
      <c r="N217" t="s">
        <v>31</v>
      </c>
      <c r="O217" t="str">
        <f>"21"</f>
        <v>21</v>
      </c>
      <c r="P217" t="str">
        <f>"24"</f>
        <v>24</v>
      </c>
      <c r="Q217" t="str">
        <f>"21"</f>
        <v>21</v>
      </c>
      <c r="R217" t="str">
        <f>"3"</f>
        <v>3</v>
      </c>
    </row>
    <row r="218" spans="1:18" x14ac:dyDescent="0.25">
      <c r="A218" t="s">
        <v>52</v>
      </c>
      <c r="B218" t="str">
        <f t="shared" si="51"/>
        <v>47000</v>
      </c>
      <c r="C218" t="str">
        <f>"375883460"</f>
        <v>375883460</v>
      </c>
      <c r="D218" s="2">
        <v>0</v>
      </c>
      <c r="E218" s="3" t="s">
        <v>51</v>
      </c>
      <c r="F218" s="2" t="str">
        <f t="shared" si="60"/>
        <v>1133</v>
      </c>
      <c r="G218" s="2">
        <v>208</v>
      </c>
      <c r="H218" s="2" t="s">
        <v>18</v>
      </c>
      <c r="I218" s="1">
        <v>42882.631840277776</v>
      </c>
      <c r="J218" t="str">
        <f t="shared" si="63"/>
        <v>13</v>
      </c>
      <c r="K218" t="s">
        <v>27</v>
      </c>
      <c r="L218" s="1">
        <v>42882.639502314814</v>
      </c>
      <c r="M218" t="str">
        <f t="shared" si="69"/>
        <v>12</v>
      </c>
      <c r="N218" t="s">
        <v>31</v>
      </c>
      <c r="O218" t="str">
        <f>"21"</f>
        <v>21</v>
      </c>
      <c r="P218" t="str">
        <f>"24"</f>
        <v>24</v>
      </c>
      <c r="Q218" t="str">
        <f>"21"</f>
        <v>21</v>
      </c>
      <c r="R218" t="str">
        <f>"3"</f>
        <v>3</v>
      </c>
    </row>
    <row r="219" spans="1:18" x14ac:dyDescent="0.25">
      <c r="A219" t="s">
        <v>52</v>
      </c>
      <c r="B219" t="str">
        <f t="shared" si="51"/>
        <v>47000</v>
      </c>
      <c r="C219" t="str">
        <f>"1510900239"</f>
        <v>1510900239</v>
      </c>
      <c r="D219" s="2">
        <v>0</v>
      </c>
      <c r="E219" s="3" t="s">
        <v>51</v>
      </c>
      <c r="F219" s="2" t="str">
        <f t="shared" si="60"/>
        <v>1133</v>
      </c>
      <c r="G219" s="2">
        <v>208</v>
      </c>
      <c r="H219" s="2" t="s">
        <v>18</v>
      </c>
      <c r="I219" s="1">
        <v>42882.631874999999</v>
      </c>
      <c r="J219" t="str">
        <f t="shared" si="63"/>
        <v>13</v>
      </c>
      <c r="K219" t="s">
        <v>27</v>
      </c>
      <c r="L219" s="1">
        <v>42882.63957175926</v>
      </c>
      <c r="M219" t="str">
        <f t="shared" si="69"/>
        <v>12</v>
      </c>
      <c r="N219" t="s">
        <v>31</v>
      </c>
      <c r="O219" t="str">
        <f>"21"</f>
        <v>21</v>
      </c>
      <c r="P219" t="str">
        <f>"24"</f>
        <v>24</v>
      </c>
      <c r="Q219" t="str">
        <f>"21"</f>
        <v>21</v>
      </c>
      <c r="R219" t="str">
        <f>"3"</f>
        <v>3</v>
      </c>
    </row>
    <row r="220" spans="1:18" x14ac:dyDescent="0.25">
      <c r="A220" t="s">
        <v>52</v>
      </c>
      <c r="B220" t="str">
        <f t="shared" si="51"/>
        <v>47000</v>
      </c>
      <c r="C220" t="str">
        <f>"2951659270"</f>
        <v>2951659270</v>
      </c>
      <c r="D220" s="2">
        <v>0</v>
      </c>
      <c r="E220" s="3" t="s">
        <v>51</v>
      </c>
      <c r="F220" s="2" t="str">
        <f t="shared" si="60"/>
        <v>1133</v>
      </c>
      <c r="G220" s="2">
        <v>208</v>
      </c>
      <c r="H220" s="2" t="s">
        <v>18</v>
      </c>
      <c r="I220" s="1">
        <v>42882.631898148145</v>
      </c>
      <c r="J220" t="str">
        <f t="shared" si="63"/>
        <v>13</v>
      </c>
      <c r="K220" t="s">
        <v>27</v>
      </c>
      <c r="L220" s="1">
        <v>42882.639594907407</v>
      </c>
      <c r="M220" t="str">
        <f t="shared" si="69"/>
        <v>12</v>
      </c>
      <c r="N220" t="s">
        <v>31</v>
      </c>
      <c r="O220" t="str">
        <f>"21"</f>
        <v>21</v>
      </c>
      <c r="P220" t="str">
        <f>"24"</f>
        <v>24</v>
      </c>
      <c r="Q220" t="str">
        <f>"21"</f>
        <v>21</v>
      </c>
      <c r="R220" t="str">
        <f>"3"</f>
        <v>3</v>
      </c>
    </row>
    <row r="221" spans="1:18" x14ac:dyDescent="0.25">
      <c r="A221" t="s">
        <v>52</v>
      </c>
      <c r="B221" t="str">
        <f t="shared" si="51"/>
        <v>47000</v>
      </c>
      <c r="C221" t="str">
        <f>"2824364111"</f>
        <v>2824364111</v>
      </c>
      <c r="D221" s="2">
        <v>1</v>
      </c>
      <c r="E221" s="3" t="s">
        <v>57</v>
      </c>
      <c r="F221" s="2" t="str">
        <f t="shared" si="60"/>
        <v>1133</v>
      </c>
      <c r="G221" s="2">
        <v>208</v>
      </c>
      <c r="H221" s="2" t="s">
        <v>18</v>
      </c>
      <c r="I221" s="1">
        <v>42882.63385416667</v>
      </c>
      <c r="J221" t="str">
        <f t="shared" si="63"/>
        <v>13</v>
      </c>
      <c r="K221" t="s">
        <v>27</v>
      </c>
      <c r="L221" s="1">
        <v>42882.639467592591</v>
      </c>
      <c r="M221" t="str">
        <f t="shared" si="69"/>
        <v>12</v>
      </c>
      <c r="N221" t="s">
        <v>31</v>
      </c>
      <c r="O221" t="str">
        <f>"11"</f>
        <v>11</v>
      </c>
      <c r="P221" t="str">
        <f>"12"</f>
        <v>12</v>
      </c>
      <c r="Q221" t="str">
        <f>"11"</f>
        <v>11</v>
      </c>
      <c r="R221" t="str">
        <f>"1"</f>
        <v>1</v>
      </c>
    </row>
    <row r="222" spans="1:18" x14ac:dyDescent="0.25">
      <c r="A222" t="s">
        <v>53</v>
      </c>
      <c r="B222" t="str">
        <f t="shared" si="51"/>
        <v>47000</v>
      </c>
      <c r="C222" t="str">
        <f>"A1EE4E4B"</f>
        <v>A1EE4E4B</v>
      </c>
      <c r="D222" s="2" t="s">
        <v>36</v>
      </c>
      <c r="E222" s="3" t="s">
        <v>60</v>
      </c>
      <c r="F222" s="2" t="str">
        <f t="shared" si="60"/>
        <v>1133</v>
      </c>
      <c r="G222" s="2">
        <v>208</v>
      </c>
      <c r="H222" s="2" t="s">
        <v>18</v>
      </c>
      <c r="I222" s="1">
        <v>42882.643182870372</v>
      </c>
      <c r="J222" t="str">
        <f>"11"</f>
        <v>11</v>
      </c>
      <c r="K222" t="s">
        <v>35</v>
      </c>
      <c r="L222" s="1">
        <v>42882.693252314813</v>
      </c>
      <c r="M222" t="str">
        <f>"1"</f>
        <v>1</v>
      </c>
      <c r="N222" t="s">
        <v>19</v>
      </c>
      <c r="O222" t="str">
        <f>"36"</f>
        <v>36</v>
      </c>
      <c r="P222" t="str">
        <f>"41"</f>
        <v>41</v>
      </c>
      <c r="Q222" t="str">
        <f>"36"</f>
        <v>36</v>
      </c>
      <c r="R222" t="str">
        <f>"5"</f>
        <v>5</v>
      </c>
    </row>
    <row r="223" spans="1:18" x14ac:dyDescent="0.25">
      <c r="A223" t="s">
        <v>52</v>
      </c>
      <c r="B223" t="str">
        <f t="shared" ref="B223" si="70">"47000"</f>
        <v>47000</v>
      </c>
      <c r="C223" t="str">
        <f>"785501845"</f>
        <v>785501845</v>
      </c>
      <c r="D223" s="2">
        <v>8</v>
      </c>
      <c r="E223" s="3" t="s">
        <v>54</v>
      </c>
      <c r="F223" s="2" t="str">
        <f t="shared" si="60"/>
        <v>1133</v>
      </c>
      <c r="G223" s="2">
        <v>208</v>
      </c>
      <c r="H223" s="2" t="s">
        <v>18</v>
      </c>
      <c r="I223" s="1">
        <v>42882.671249999999</v>
      </c>
      <c r="J223" t="str">
        <f>"3"</f>
        <v>3</v>
      </c>
      <c r="K223" t="s">
        <v>30</v>
      </c>
      <c r="L223" s="1">
        <v>42882.676365740743</v>
      </c>
      <c r="M223" t="str">
        <f>"1"</f>
        <v>1</v>
      </c>
      <c r="N223" t="s">
        <v>19</v>
      </c>
      <c r="O223" t="str">
        <f>"11"</f>
        <v>11</v>
      </c>
      <c r="P223" t="str">
        <f>"12"</f>
        <v>12</v>
      </c>
      <c r="Q223" t="str">
        <f>"11"</f>
        <v>11</v>
      </c>
      <c r="R223" t="str">
        <f>"1"</f>
        <v>1</v>
      </c>
    </row>
    <row r="224" spans="1:18" x14ac:dyDescent="0.25">
      <c r="A224" t="s">
        <v>52</v>
      </c>
      <c r="B224" t="str">
        <f t="shared" ref="B224:B227" si="71">"47000"</f>
        <v>47000</v>
      </c>
      <c r="C224" t="str">
        <f>"1671200592"</f>
        <v>1671200592</v>
      </c>
      <c r="D224" s="2">
        <v>0</v>
      </c>
      <c r="E224" s="3" t="s">
        <v>51</v>
      </c>
      <c r="F224" s="2" t="str">
        <f>"1133"</f>
        <v>1133</v>
      </c>
      <c r="G224" s="2">
        <v>168</v>
      </c>
      <c r="H224" s="2" t="s">
        <v>29</v>
      </c>
      <c r="I224" s="1">
        <v>42885.567789351851</v>
      </c>
      <c r="J224" t="str">
        <f>"1"</f>
        <v>1</v>
      </c>
      <c r="K224" t="s">
        <v>19</v>
      </c>
      <c r="L224" s="1">
        <v>42885.588738425926</v>
      </c>
      <c r="M224" t="str">
        <f>"1"</f>
        <v>1</v>
      </c>
      <c r="N224" t="s">
        <v>19</v>
      </c>
      <c r="O224" t="str">
        <f>"21"</f>
        <v>21</v>
      </c>
      <c r="P224" t="str">
        <f>"24"</f>
        <v>24</v>
      </c>
      <c r="Q224" t="str">
        <f>"21"</f>
        <v>21</v>
      </c>
      <c r="R224" t="str">
        <f>"3"</f>
        <v>3</v>
      </c>
    </row>
    <row r="225" spans="1:18" x14ac:dyDescent="0.25">
      <c r="A225" t="s">
        <v>52</v>
      </c>
      <c r="B225" t="str">
        <f t="shared" si="71"/>
        <v>47000</v>
      </c>
      <c r="C225" t="str">
        <f>"218239937"</f>
        <v>218239937</v>
      </c>
      <c r="D225" s="2">
        <v>0</v>
      </c>
      <c r="E225" s="3" t="s">
        <v>51</v>
      </c>
      <c r="F225" s="2" t="str">
        <f>"1133"</f>
        <v>1133</v>
      </c>
      <c r="G225" s="2">
        <v>168</v>
      </c>
      <c r="H225" s="2" t="s">
        <v>29</v>
      </c>
      <c r="I225" s="1">
        <v>42885.575891203705</v>
      </c>
      <c r="J225" t="str">
        <f>"1"</f>
        <v>1</v>
      </c>
      <c r="K225" t="s">
        <v>19</v>
      </c>
      <c r="L225" s="1">
        <v>42885.588807870372</v>
      </c>
      <c r="M225" t="str">
        <f>"1"</f>
        <v>1</v>
      </c>
      <c r="N225" t="s">
        <v>19</v>
      </c>
      <c r="O225" t="str">
        <f>"21"</f>
        <v>21</v>
      </c>
      <c r="P225" t="str">
        <f>"24"</f>
        <v>24</v>
      </c>
      <c r="Q225" t="str">
        <f>"21"</f>
        <v>21</v>
      </c>
      <c r="R225" t="str">
        <f>"3"</f>
        <v>3</v>
      </c>
    </row>
    <row r="226" spans="1:18" x14ac:dyDescent="0.25">
      <c r="A226" t="s">
        <v>52</v>
      </c>
      <c r="B226" t="str">
        <f t="shared" si="71"/>
        <v>47000</v>
      </c>
      <c r="C226" t="str">
        <f>"245059329"</f>
        <v>245059329</v>
      </c>
      <c r="D226" s="2">
        <v>0</v>
      </c>
      <c r="E226" s="3" t="s">
        <v>51</v>
      </c>
      <c r="F226" s="2" t="str">
        <f>"1133"</f>
        <v>1133</v>
      </c>
      <c r="G226" s="2">
        <v>168</v>
      </c>
      <c r="H226" s="2" t="s">
        <v>29</v>
      </c>
      <c r="I226" s="1">
        <v>42885.575995370367</v>
      </c>
      <c r="J226" t="str">
        <f>"1"</f>
        <v>1</v>
      </c>
      <c r="K226" t="s">
        <v>19</v>
      </c>
      <c r="L226" s="1">
        <v>42885.588888888888</v>
      </c>
      <c r="M226" t="str">
        <f>"1"</f>
        <v>1</v>
      </c>
      <c r="N226" t="s">
        <v>19</v>
      </c>
      <c r="O226" t="str">
        <f>"21"</f>
        <v>21</v>
      </c>
      <c r="P226" t="str">
        <f>"24"</f>
        <v>24</v>
      </c>
      <c r="Q226" t="str">
        <f>"21"</f>
        <v>21</v>
      </c>
      <c r="R226" t="str">
        <f>"3"</f>
        <v>3</v>
      </c>
    </row>
    <row r="227" spans="1:18" x14ac:dyDescent="0.25">
      <c r="A227" t="s">
        <v>52</v>
      </c>
      <c r="B227" t="str">
        <f t="shared" si="71"/>
        <v>47000</v>
      </c>
      <c r="C227" t="str">
        <f>"4127031725"</f>
        <v>4127031725</v>
      </c>
      <c r="D227" s="2">
        <v>0</v>
      </c>
      <c r="E227" s="3" t="s">
        <v>51</v>
      </c>
      <c r="F227" s="2" t="str">
        <f>"1133"</f>
        <v>1133</v>
      </c>
      <c r="G227" s="2">
        <v>168</v>
      </c>
      <c r="H227" s="2" t="s">
        <v>29</v>
      </c>
      <c r="I227" s="1">
        <v>42885.57603009259</v>
      </c>
      <c r="J227" t="str">
        <f>"1"</f>
        <v>1</v>
      </c>
      <c r="K227" t="s">
        <v>19</v>
      </c>
      <c r="L227" s="1">
        <v>42885.653668981482</v>
      </c>
      <c r="M227" t="str">
        <f>"18"</f>
        <v>18</v>
      </c>
      <c r="N227" t="s">
        <v>39</v>
      </c>
      <c r="O227" t="str">
        <f>"155"</f>
        <v>155</v>
      </c>
      <c r="P227" t="str">
        <f>"177"</f>
        <v>177</v>
      </c>
      <c r="Q227" t="str">
        <f>"155"</f>
        <v>155</v>
      </c>
      <c r="R227" t="str">
        <f>"22"</f>
        <v>22</v>
      </c>
    </row>
    <row r="228" spans="1:18" x14ac:dyDescent="0.25">
      <c r="A228" t="s">
        <v>52</v>
      </c>
      <c r="B228" t="str">
        <f t="shared" ref="B228:B234" si="72">"47000"</f>
        <v>47000</v>
      </c>
      <c r="C228" t="str">
        <f>"720254693"</f>
        <v>720254693</v>
      </c>
      <c r="D228" s="2">
        <v>0</v>
      </c>
      <c r="E228" s="3" t="s">
        <v>51</v>
      </c>
      <c r="F228" s="2" t="str">
        <f t="shared" ref="F228:F234" si="73">"1133"</f>
        <v>1133</v>
      </c>
      <c r="G228" s="2">
        <v>206</v>
      </c>
      <c r="H228" s="2" t="s">
        <v>29</v>
      </c>
      <c r="I228" s="1">
        <v>42886.572881944441</v>
      </c>
      <c r="J228" t="str">
        <f>"1"</f>
        <v>1</v>
      </c>
      <c r="K228" t="s">
        <v>19</v>
      </c>
      <c r="L228" s="1">
        <v>42886.582627314812</v>
      </c>
      <c r="M228" t="str">
        <f>"1"</f>
        <v>1</v>
      </c>
      <c r="N228" t="s">
        <v>19</v>
      </c>
      <c r="O228" t="str">
        <f>"21"</f>
        <v>21</v>
      </c>
      <c r="P228" t="str">
        <f>"24"</f>
        <v>24</v>
      </c>
      <c r="Q228" t="str">
        <f>"21"</f>
        <v>21</v>
      </c>
      <c r="R228" t="str">
        <f>"3"</f>
        <v>3</v>
      </c>
    </row>
    <row r="229" spans="1:18" x14ac:dyDescent="0.25">
      <c r="A229" t="s">
        <v>52</v>
      </c>
      <c r="B229" t="str">
        <f t="shared" si="72"/>
        <v>47000</v>
      </c>
      <c r="C229" t="str">
        <f>"689952341"</f>
        <v>689952341</v>
      </c>
      <c r="D229" s="2">
        <v>0</v>
      </c>
      <c r="E229" s="3" t="s">
        <v>51</v>
      </c>
      <c r="F229" s="2" t="str">
        <f t="shared" si="73"/>
        <v>1133</v>
      </c>
      <c r="G229" s="2">
        <v>206</v>
      </c>
      <c r="H229" s="2" t="s">
        <v>29</v>
      </c>
      <c r="I229" s="1">
        <v>42886.573321759257</v>
      </c>
      <c r="J229" t="str">
        <f>"1"</f>
        <v>1</v>
      </c>
      <c r="K229" t="s">
        <v>19</v>
      </c>
      <c r="L229" s="1">
        <v>42886.582650462966</v>
      </c>
      <c r="M229" t="str">
        <f>"1"</f>
        <v>1</v>
      </c>
      <c r="N229" t="s">
        <v>19</v>
      </c>
      <c r="O229" t="str">
        <f>"21"</f>
        <v>21</v>
      </c>
      <c r="P229" t="str">
        <f>"24"</f>
        <v>24</v>
      </c>
      <c r="Q229" t="str">
        <f>"21"</f>
        <v>21</v>
      </c>
      <c r="R229" t="str">
        <f>"3"</f>
        <v>3</v>
      </c>
    </row>
    <row r="230" spans="1:18" x14ac:dyDescent="0.25">
      <c r="A230" t="s">
        <v>52</v>
      </c>
      <c r="B230" t="str">
        <f t="shared" si="72"/>
        <v>47000</v>
      </c>
      <c r="C230" t="str">
        <f>"1798117440"</f>
        <v>1798117440</v>
      </c>
      <c r="D230" s="2">
        <v>3</v>
      </c>
      <c r="E230" s="3" t="s">
        <v>55</v>
      </c>
      <c r="F230" s="2" t="str">
        <f t="shared" si="73"/>
        <v>1133</v>
      </c>
      <c r="G230" s="2">
        <v>206</v>
      </c>
      <c r="H230" s="2" t="s">
        <v>29</v>
      </c>
      <c r="I230" s="1">
        <v>42886.625185185185</v>
      </c>
      <c r="J230" t="str">
        <f>"13"</f>
        <v>13</v>
      </c>
      <c r="K230" t="s">
        <v>27</v>
      </c>
      <c r="L230" s="1">
        <v>42886.627268518518</v>
      </c>
      <c r="M230" t="str">
        <f>"14"</f>
        <v>14</v>
      </c>
      <c r="N230" t="s">
        <v>43</v>
      </c>
      <c r="O230" t="str">
        <f>"11"</f>
        <v>11</v>
      </c>
      <c r="P230" t="str">
        <f>"13"</f>
        <v>13</v>
      </c>
      <c r="Q230" t="str">
        <f>"11"</f>
        <v>11</v>
      </c>
      <c r="R230" t="str">
        <f>"2"</f>
        <v>2</v>
      </c>
    </row>
    <row r="231" spans="1:18" x14ac:dyDescent="0.25">
      <c r="A231" t="s">
        <v>53</v>
      </c>
      <c r="B231" t="str">
        <f t="shared" si="72"/>
        <v>47000</v>
      </c>
      <c r="C231" t="str">
        <f>"A1F37B65"</f>
        <v>A1F37B65</v>
      </c>
      <c r="D231" s="2" t="s">
        <v>21</v>
      </c>
      <c r="E231" s="3" t="s">
        <v>59</v>
      </c>
      <c r="F231" s="2" t="str">
        <f t="shared" si="73"/>
        <v>1133</v>
      </c>
      <c r="G231" s="2">
        <v>206</v>
      </c>
      <c r="H231" s="2" t="s">
        <v>29</v>
      </c>
      <c r="I231" s="1">
        <v>42886.637719907405</v>
      </c>
      <c r="J231" t="str">
        <f>"16"</f>
        <v>16</v>
      </c>
      <c r="K231" t="s">
        <v>42</v>
      </c>
      <c r="L231" s="1">
        <v>42886.645057870373</v>
      </c>
      <c r="M231" t="str">
        <f>"16"</f>
        <v>16</v>
      </c>
      <c r="N231" t="s">
        <v>42</v>
      </c>
      <c r="O231" t="str">
        <f>"21"</f>
        <v>21</v>
      </c>
      <c r="P231" t="str">
        <f>"24"</f>
        <v>24</v>
      </c>
      <c r="Q231" t="str">
        <f>"21"</f>
        <v>21</v>
      </c>
      <c r="R231" t="str">
        <f>"3"</f>
        <v>3</v>
      </c>
    </row>
    <row r="232" spans="1:18" x14ac:dyDescent="0.25">
      <c r="A232" t="s">
        <v>53</v>
      </c>
      <c r="B232" t="str">
        <f t="shared" si="72"/>
        <v>47000</v>
      </c>
      <c r="C232" t="str">
        <f>"C14B7A65"</f>
        <v>C14B7A65</v>
      </c>
      <c r="D232" s="2" t="s">
        <v>21</v>
      </c>
      <c r="E232" s="3" t="s">
        <v>59</v>
      </c>
      <c r="F232" s="2" t="str">
        <f t="shared" si="73"/>
        <v>1133</v>
      </c>
      <c r="G232" s="2">
        <v>206</v>
      </c>
      <c r="H232" s="2" t="s">
        <v>29</v>
      </c>
      <c r="I232" s="1">
        <v>42886.637766203705</v>
      </c>
      <c r="J232" t="str">
        <f>"16"</f>
        <v>16</v>
      </c>
      <c r="K232" t="s">
        <v>42</v>
      </c>
      <c r="L232" s="1">
        <v>42886.64508101852</v>
      </c>
      <c r="M232" t="str">
        <f>"16"</f>
        <v>16</v>
      </c>
      <c r="N232" t="s">
        <v>42</v>
      </c>
      <c r="O232" t="str">
        <f>"21"</f>
        <v>21</v>
      </c>
      <c r="P232" t="str">
        <f>"24"</f>
        <v>24</v>
      </c>
      <c r="Q232" t="str">
        <f>"21"</f>
        <v>21</v>
      </c>
      <c r="R232" t="str">
        <f>"3"</f>
        <v>3</v>
      </c>
    </row>
    <row r="233" spans="1:18" x14ac:dyDescent="0.25">
      <c r="A233" t="s">
        <v>53</v>
      </c>
      <c r="B233" t="str">
        <f t="shared" si="72"/>
        <v>47000</v>
      </c>
      <c r="C233" t="str">
        <f>"A1F37B65"</f>
        <v>A1F37B65</v>
      </c>
      <c r="D233" s="2" t="s">
        <v>21</v>
      </c>
      <c r="E233" s="3" t="s">
        <v>59</v>
      </c>
      <c r="F233" s="2" t="str">
        <f t="shared" si="73"/>
        <v>1133</v>
      </c>
      <c r="G233" s="2">
        <v>206</v>
      </c>
      <c r="H233" s="2" t="s">
        <v>29</v>
      </c>
      <c r="I233" s="1">
        <v>42886.706099537034</v>
      </c>
      <c r="J233" t="str">
        <f>"16"</f>
        <v>16</v>
      </c>
      <c r="K233" t="s">
        <v>42</v>
      </c>
      <c r="L233" s="1">
        <v>42886.765752314815</v>
      </c>
      <c r="M233" t="str">
        <f>"1"</f>
        <v>1</v>
      </c>
      <c r="N233" t="s">
        <v>19</v>
      </c>
      <c r="O233" t="str">
        <f>"130"</f>
        <v>130</v>
      </c>
      <c r="P233" t="str">
        <f>"148"</f>
        <v>148</v>
      </c>
      <c r="Q233" t="str">
        <f>"130"</f>
        <v>130</v>
      </c>
      <c r="R233" t="str">
        <f>"18"</f>
        <v>18</v>
      </c>
    </row>
    <row r="234" spans="1:18" x14ac:dyDescent="0.25">
      <c r="A234" t="s">
        <v>53</v>
      </c>
      <c r="B234" t="str">
        <f t="shared" si="72"/>
        <v>47000</v>
      </c>
      <c r="C234" t="str">
        <f>"C14B7A65"</f>
        <v>C14B7A65</v>
      </c>
      <c r="D234" s="2" t="s">
        <v>21</v>
      </c>
      <c r="E234" s="3" t="s">
        <v>59</v>
      </c>
      <c r="F234" s="2" t="str">
        <f t="shared" si="73"/>
        <v>1133</v>
      </c>
      <c r="G234" s="2">
        <v>206</v>
      </c>
      <c r="H234" s="2" t="s">
        <v>29</v>
      </c>
      <c r="I234" s="1">
        <v>42886.706134259257</v>
      </c>
      <c r="J234" t="str">
        <f>"16"</f>
        <v>16</v>
      </c>
      <c r="K234" t="s">
        <v>42</v>
      </c>
      <c r="L234" s="1">
        <v>42886.765775462962</v>
      </c>
      <c r="M234" t="str">
        <f>"1"</f>
        <v>1</v>
      </c>
      <c r="N234" t="s">
        <v>19</v>
      </c>
      <c r="O234" t="str">
        <f>"130"</f>
        <v>130</v>
      </c>
      <c r="P234" t="str">
        <f>"148"</f>
        <v>148</v>
      </c>
      <c r="Q234" t="str">
        <f>"130"</f>
        <v>130</v>
      </c>
      <c r="R234" t="str">
        <f>"18"</f>
        <v>18</v>
      </c>
    </row>
  </sheetData>
  <autoFilter ref="A1:R234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2017年05月花蓮客運補貼明細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臺北所-花蓮監理站-吳彥明</cp:lastModifiedBy>
  <dcterms:created xsi:type="dcterms:W3CDTF">2017-06-29T01:36:11Z</dcterms:created>
  <dcterms:modified xsi:type="dcterms:W3CDTF">2023-02-22T04:14:29Z</dcterms:modified>
</cp:coreProperties>
</file>