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T:\Documents\Morton, J\Time Tracking\"/>
    </mc:Choice>
  </mc:AlternateContent>
  <xr:revisionPtr revIDLastSave="0" documentId="13_ncr:1_{82D6DA72-511D-49E6-A7ED-D8D500D16E6B}" xr6:coauthVersionLast="47" xr6:coauthVersionMax="47" xr10:uidLastSave="{00000000-0000-0000-0000-000000000000}"/>
  <bookViews>
    <workbookView xWindow="-120" yWindow="-120" windowWidth="29040" windowHeight="15840" activeTab="1" xr2:uid="{571394D8-B93D-4D74-964C-C9B78844399E}"/>
  </bookViews>
  <sheets>
    <sheet name="Main" sheetId="1" r:id="rId1"/>
    <sheet name="Model" sheetId="2" r:id="rId2"/>
    <sheet name="SUPPORTING DOCS -&gt;" sheetId="3" r:id="rId3"/>
    <sheet name="INCOME_STATEMENT_HISTORICAL" sheetId="4" r:id="rId4"/>
    <sheet name="BALANCE_SHEET_HISTORIC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6" i="2" l="1"/>
  <c r="S6" i="2"/>
  <c r="R6" i="2"/>
  <c r="Q6" i="2"/>
  <c r="T7" i="2"/>
  <c r="S7" i="2"/>
  <c r="R7" i="2"/>
  <c r="Q7" i="2"/>
  <c r="P7" i="2"/>
  <c r="T5" i="2"/>
  <c r="S5" i="2"/>
  <c r="R5" i="2"/>
  <c r="Q5" i="2"/>
  <c r="T4" i="2"/>
  <c r="S4" i="2"/>
  <c r="R4" i="2"/>
  <c r="Q4" i="2"/>
  <c r="P4" i="2"/>
  <c r="T27" i="2"/>
  <c r="S27" i="2"/>
  <c r="R27" i="2"/>
  <c r="Q27" i="2"/>
  <c r="P27" i="2"/>
  <c r="P28" i="2"/>
  <c r="P29" i="2"/>
  <c r="Q29" i="2" s="1"/>
  <c r="R29" i="2" s="1"/>
  <c r="S29" i="2" s="1"/>
  <c r="T29" i="2" s="1"/>
  <c r="Q30" i="2"/>
  <c r="P30" i="2"/>
  <c r="R34" i="2"/>
  <c r="S34" i="2" s="1"/>
  <c r="T34" i="2" s="1"/>
  <c r="Q34" i="2"/>
  <c r="P31" i="2"/>
  <c r="Q31" i="2" s="1"/>
  <c r="R31" i="2" s="1"/>
  <c r="S31" i="2" s="1"/>
  <c r="T31" i="2" s="1"/>
  <c r="Q28" i="2"/>
  <c r="R28" i="2" s="1"/>
  <c r="S28" i="2" s="1"/>
  <c r="T28" i="2" s="1"/>
  <c r="P6" i="2"/>
  <c r="P5" i="2"/>
  <c r="R12" i="2"/>
  <c r="S12" i="2" s="1"/>
  <c r="T12" i="2" s="1"/>
  <c r="R11" i="2"/>
  <c r="S11" i="2" s="1"/>
  <c r="T11" i="2" s="1"/>
  <c r="S10" i="2"/>
  <c r="T10" i="2" s="1"/>
  <c r="R10" i="2"/>
  <c r="Q12" i="2"/>
  <c r="Q11" i="2"/>
  <c r="Q10" i="2"/>
  <c r="P12" i="2"/>
  <c r="P11" i="2"/>
  <c r="P10" i="2"/>
  <c r="T17" i="2"/>
  <c r="T16" i="2"/>
  <c r="S17" i="2"/>
  <c r="S16" i="2"/>
  <c r="R17" i="2"/>
  <c r="R16" i="2"/>
  <c r="Q17" i="2"/>
  <c r="Q16" i="2"/>
  <c r="P17" i="2"/>
  <c r="P16" i="2"/>
  <c r="E35" i="2"/>
  <c r="D35" i="2"/>
  <c r="C35" i="2"/>
  <c r="B35" i="2"/>
  <c r="F35" i="2"/>
  <c r="G35" i="2"/>
  <c r="I35" i="2"/>
  <c r="J35" i="2"/>
  <c r="K35" i="2"/>
  <c r="W57" i="2"/>
  <c r="W55" i="2"/>
  <c r="W54" i="2"/>
  <c r="R44" i="2"/>
  <c r="S44" i="2" s="1"/>
  <c r="T44" i="2" s="1"/>
  <c r="R43" i="2"/>
  <c r="Q44" i="2"/>
  <c r="Q43" i="2"/>
  <c r="P44" i="2"/>
  <c r="P43" i="2"/>
  <c r="P34" i="2"/>
  <c r="T33" i="2"/>
  <c r="S33" i="2"/>
  <c r="R33" i="2"/>
  <c r="Q33" i="2"/>
  <c r="P33" i="2"/>
  <c r="T24" i="2"/>
  <c r="T25" i="2" s="1"/>
  <c r="S24" i="2"/>
  <c r="S25" i="2" s="1"/>
  <c r="R24" i="2"/>
  <c r="R25" i="2" s="1"/>
  <c r="Q24" i="2"/>
  <c r="Q25" i="2" s="1"/>
  <c r="P24" i="2"/>
  <c r="P25" i="2" s="1"/>
  <c r="T23" i="2"/>
  <c r="S23" i="2"/>
  <c r="P23" i="2"/>
  <c r="Q23" i="2" s="1"/>
  <c r="R23" i="2" s="1"/>
  <c r="T22" i="2"/>
  <c r="S22" i="2"/>
  <c r="R22" i="2"/>
  <c r="Q22" i="2"/>
  <c r="P22" i="2"/>
  <c r="R1" i="2"/>
  <c r="S1" i="2" s="1"/>
  <c r="T1" i="2" s="1"/>
  <c r="Q1" i="2"/>
  <c r="P1" i="2"/>
  <c r="M49" i="2"/>
  <c r="K49" i="2"/>
  <c r="J49" i="2"/>
  <c r="I49" i="2"/>
  <c r="G49" i="2"/>
  <c r="F49" i="2"/>
  <c r="E49" i="2"/>
  <c r="D49" i="2"/>
  <c r="C49" i="2"/>
  <c r="B49" i="2"/>
  <c r="M7" i="2"/>
  <c r="M6" i="2"/>
  <c r="M5" i="2"/>
  <c r="M4" i="2"/>
  <c r="M23" i="2"/>
  <c r="M12" i="2"/>
  <c r="M31" i="2"/>
  <c r="M17" i="2"/>
  <c r="M29" i="2"/>
  <c r="M28" i="2"/>
  <c r="M27" i="2"/>
  <c r="M34" i="2"/>
  <c r="M30" i="2"/>
  <c r="M22" i="2"/>
  <c r="M16" i="2"/>
  <c r="M11" i="2"/>
  <c r="M10" i="2"/>
  <c r="K27" i="2"/>
  <c r="J27" i="2"/>
  <c r="K32" i="2"/>
  <c r="J32" i="2"/>
  <c r="I32" i="2"/>
  <c r="I27" i="2"/>
  <c r="K25" i="2"/>
  <c r="J25" i="2"/>
  <c r="I25" i="2"/>
  <c r="K18" i="2"/>
  <c r="J18" i="2"/>
  <c r="I18" i="2"/>
  <c r="K13" i="2"/>
  <c r="K14" i="2" s="1"/>
  <c r="J13" i="2"/>
  <c r="I13" i="2"/>
  <c r="I14" i="2" s="1"/>
  <c r="K8" i="2"/>
  <c r="J8" i="2"/>
  <c r="I8" i="2"/>
  <c r="C11" i="1"/>
  <c r="G32" i="2"/>
  <c r="F32" i="2"/>
  <c r="E32" i="2"/>
  <c r="D32" i="2"/>
  <c r="C32" i="2"/>
  <c r="B32" i="2"/>
  <c r="G25" i="2"/>
  <c r="F25" i="2"/>
  <c r="E25" i="2"/>
  <c r="D25" i="2"/>
  <c r="C25" i="2"/>
  <c r="B25" i="2"/>
  <c r="G18" i="2"/>
  <c r="F18" i="2"/>
  <c r="E18" i="2"/>
  <c r="D18" i="2"/>
  <c r="C18" i="2"/>
  <c r="B18" i="2"/>
  <c r="G13" i="2"/>
  <c r="G20" i="2" s="1"/>
  <c r="G33" i="2" s="1"/>
  <c r="F13" i="2"/>
  <c r="E13" i="2"/>
  <c r="E14" i="2" s="1"/>
  <c r="E47" i="2" s="1"/>
  <c r="D13" i="2"/>
  <c r="D14" i="2" s="1"/>
  <c r="C13" i="2"/>
  <c r="C14" i="2" s="1"/>
  <c r="C47" i="2" s="1"/>
  <c r="B13" i="2"/>
  <c r="B14" i="2" s="1"/>
  <c r="D3" i="1" a="1"/>
  <c r="D3" i="1" s="1"/>
  <c r="C10" i="1" s="1"/>
  <c r="G8" i="2"/>
  <c r="F8" i="2"/>
  <c r="F20" i="2" s="1"/>
  <c r="F33" i="2" s="1"/>
  <c r="E8" i="2"/>
  <c r="E20" i="2" s="1"/>
  <c r="D8" i="2"/>
  <c r="C8" i="2"/>
  <c r="B8" i="2"/>
  <c r="C1" i="2"/>
  <c r="D1" i="2" s="1"/>
  <c r="E1" i="2" s="1"/>
  <c r="F1" i="2" s="1"/>
  <c r="G1" i="2" s="1"/>
  <c r="I1" i="2" s="1"/>
  <c r="D12" i="1"/>
  <c r="R30" i="2" l="1"/>
  <c r="S30" i="2" s="1"/>
  <c r="T30" i="2" s="1"/>
  <c r="P13" i="2"/>
  <c r="P18" i="2"/>
  <c r="P8" i="2"/>
  <c r="S43" i="2"/>
  <c r="Q32" i="2"/>
  <c r="P32" i="2"/>
  <c r="M32" i="2"/>
  <c r="M25" i="2"/>
  <c r="M18" i="2"/>
  <c r="M13" i="2"/>
  <c r="M8" i="2"/>
  <c r="D47" i="2"/>
  <c r="E48" i="2"/>
  <c r="G14" i="2"/>
  <c r="C12" i="1"/>
  <c r="F14" i="2"/>
  <c r="F47" i="2" s="1"/>
  <c r="F48" i="2"/>
  <c r="I20" i="2"/>
  <c r="E33" i="2"/>
  <c r="K20" i="2"/>
  <c r="K33" i="2" s="1"/>
  <c r="K39" i="2" s="1"/>
  <c r="K19" i="2"/>
  <c r="J20" i="2"/>
  <c r="J14" i="2"/>
  <c r="I19" i="2"/>
  <c r="J19" i="2"/>
  <c r="E19" i="2"/>
  <c r="F19" i="2"/>
  <c r="G19" i="2"/>
  <c r="G39" i="2"/>
  <c r="G40" i="2"/>
  <c r="E40" i="2"/>
  <c r="E39" i="2"/>
  <c r="F39" i="2"/>
  <c r="F40" i="2"/>
  <c r="D20" i="2"/>
  <c r="C20" i="2"/>
  <c r="B20" i="2"/>
  <c r="D19" i="2"/>
  <c r="C19" i="2"/>
  <c r="B19" i="2"/>
  <c r="P14" i="2" l="1"/>
  <c r="P49" i="2" s="1"/>
  <c r="P20" i="2"/>
  <c r="P35" i="2" s="1"/>
  <c r="P19" i="2"/>
  <c r="Q13" i="2"/>
  <c r="Q18" i="2"/>
  <c r="Q8" i="2"/>
  <c r="R8" i="2"/>
  <c r="T8" i="2"/>
  <c r="S8" i="2"/>
  <c r="T43" i="2"/>
  <c r="R32" i="2"/>
  <c r="M20" i="2"/>
  <c r="M14" i="2"/>
  <c r="M19" i="2"/>
  <c r="C33" i="2"/>
  <c r="C48" i="2"/>
  <c r="G47" i="2"/>
  <c r="B33" i="2"/>
  <c r="B39" i="2" s="1"/>
  <c r="B48" i="2"/>
  <c r="I48" i="2"/>
  <c r="I33" i="2"/>
  <c r="D33" i="2"/>
  <c r="D40" i="2" s="1"/>
  <c r="D48" i="2"/>
  <c r="G48" i="2"/>
  <c r="K48" i="2"/>
  <c r="K40" i="2"/>
  <c r="J33" i="2"/>
  <c r="J48" i="2"/>
  <c r="D39" i="2"/>
  <c r="C40" i="2"/>
  <c r="C39" i="2"/>
  <c r="P40" i="2" l="1"/>
  <c r="P48" i="2"/>
  <c r="P39" i="2"/>
  <c r="Q19" i="2"/>
  <c r="R13" i="2"/>
  <c r="R14" i="2" s="1"/>
  <c r="R49" i="2" s="1"/>
  <c r="R18" i="2"/>
  <c r="Q14" i="2"/>
  <c r="Q20" i="2"/>
  <c r="Q35" i="2" s="1"/>
  <c r="T32" i="2"/>
  <c r="S32" i="2"/>
  <c r="M48" i="2"/>
  <c r="M33" i="2"/>
  <c r="M35" i="2" s="1"/>
  <c r="M40" i="2" s="1"/>
  <c r="B40" i="2"/>
  <c r="I40" i="2"/>
  <c r="I39" i="2"/>
  <c r="J40" i="2"/>
  <c r="J39" i="2"/>
  <c r="R47" i="2" l="1"/>
  <c r="R19" i="2"/>
  <c r="T13" i="2"/>
  <c r="T14" i="2" s="1"/>
  <c r="T49" i="2" s="1"/>
  <c r="S13" i="2"/>
  <c r="S14" i="2" s="1"/>
  <c r="S49" i="2" s="1"/>
  <c r="R20" i="2"/>
  <c r="R35" i="2" s="1"/>
  <c r="T18" i="2"/>
  <c r="S18" i="2"/>
  <c r="Q40" i="2"/>
  <c r="Q39" i="2"/>
  <c r="Q48" i="2"/>
  <c r="Q49" i="2"/>
  <c r="Q47" i="2"/>
  <c r="M39" i="2"/>
  <c r="T47" i="2" l="1"/>
  <c r="S47" i="2"/>
  <c r="R48" i="2"/>
  <c r="S19" i="2"/>
  <c r="S20" i="2"/>
  <c r="T20" i="2"/>
  <c r="T19" i="2"/>
  <c r="R39" i="2"/>
  <c r="R40" i="2"/>
  <c r="T35" i="2" l="1"/>
  <c r="T48" i="2"/>
  <c r="S35" i="2"/>
  <c r="S48" i="2"/>
  <c r="W51" i="2" l="1"/>
  <c r="W52" i="2" s="1"/>
  <c r="W53" i="2" s="1"/>
  <c r="S40" i="2"/>
  <c r="S39" i="2"/>
  <c r="T39" i="2"/>
  <c r="T40" i="2"/>
  <c r="W56" i="2" l="1"/>
  <c r="W58" i="2" s="1"/>
  <c r="W5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Morton, Joshua</author>
  </authors>
  <commentList>
    <comment ref="M2" authorId="0" shapeId="0" xr:uid="{2468575E-5623-47AB-A9EC-BAAF953CA1AE}">
      <text>
        <r>
          <rPr>
            <b/>
            <sz val="9"/>
            <color indexed="81"/>
            <rFont val="Tahoma"/>
            <family val="2"/>
          </rPr>
          <t>Morton, Joshua:</t>
        </r>
        <r>
          <rPr>
            <sz val="9"/>
            <color indexed="81"/>
            <rFont val="Tahoma"/>
            <family val="2"/>
          </rPr>
          <t xml:space="preserve">
they report Friday 1/20/23 - update once reported
</t>
        </r>
      </text>
    </comment>
    <comment ref="M40" authorId="0" shapeId="0" xr:uid="{A5EC504B-D07B-4041-9E8A-5624F087B09B}">
      <text>
        <r>
          <rPr>
            <b/>
            <sz val="9"/>
            <color indexed="81"/>
            <rFont val="Tahoma"/>
            <family val="2"/>
          </rPr>
          <t>Morton, Joshua:</t>
        </r>
        <r>
          <rPr>
            <sz val="9"/>
            <color indexed="81"/>
            <rFont val="Tahoma"/>
            <family val="2"/>
          </rPr>
          <t xml:space="preserve">
2.15 EPS Consensus for Q4 2022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<sst xmlns="http://schemas.openxmlformats.org/spreadsheetml/2006/main" count="67" uniqueCount="63">
  <si>
    <t>Stock</t>
  </si>
  <si>
    <t>Price</t>
  </si>
  <si>
    <t>Share</t>
  </si>
  <si>
    <t>Market cap</t>
  </si>
  <si>
    <t>Cash</t>
  </si>
  <si>
    <t>Debt</t>
  </si>
  <si>
    <t>Main</t>
  </si>
  <si>
    <t>Revenues:</t>
  </si>
  <si>
    <t>Discount revenues</t>
  </si>
  <si>
    <t>Net card fees</t>
  </si>
  <si>
    <t>Other fees &amp; commissions</t>
  </si>
  <si>
    <t>Total non-interest revenues</t>
  </si>
  <si>
    <t>Interest income:</t>
  </si>
  <si>
    <t>Interest on loans</t>
  </si>
  <si>
    <t>Interest &amp; dividends on investment securities</t>
  </si>
  <si>
    <t>Deposits with banks &amp; other</t>
  </si>
  <si>
    <t>Total interest income</t>
  </si>
  <si>
    <t>Deposits</t>
  </si>
  <si>
    <t>Long-term debt &amp; other</t>
  </si>
  <si>
    <t>Total Interest expense</t>
  </si>
  <si>
    <t>Net interest income</t>
  </si>
  <si>
    <t>Total Revenues net of interest expense</t>
  </si>
  <si>
    <t>Provisions for credit losses:</t>
  </si>
  <si>
    <t>Card member receivables</t>
  </si>
  <si>
    <t>Card member loans</t>
  </si>
  <si>
    <t>Other</t>
  </si>
  <si>
    <t>Total Provisions for credit losses</t>
  </si>
  <si>
    <t>Expenses:</t>
  </si>
  <si>
    <t>Marketing &amp; business development</t>
  </si>
  <si>
    <t>Card member rewards</t>
  </si>
  <si>
    <t>Card member services</t>
  </si>
  <si>
    <t>Salaries &amp; employee benefits</t>
  </si>
  <si>
    <t>Other, net</t>
  </si>
  <si>
    <t>Total expenses</t>
  </si>
  <si>
    <t>Pretax income</t>
  </si>
  <si>
    <t>Income tax provision</t>
  </si>
  <si>
    <t>Net income</t>
  </si>
  <si>
    <t>AXP</t>
  </si>
  <si>
    <t>To get quick stock functions, type in the ticker, highlight the cell, select stocks under the data tab, and then click the drop down menu &amp; select what you want</t>
  </si>
  <si>
    <t>Interest expense:</t>
  </si>
  <si>
    <t>Non interest revenues:</t>
  </si>
  <si>
    <t>EPS</t>
  </si>
  <si>
    <t>Basic</t>
  </si>
  <si>
    <t>Diluted</t>
  </si>
  <si>
    <t>Number of shares outstanding</t>
  </si>
  <si>
    <t xml:space="preserve">Other fees </t>
  </si>
  <si>
    <t>Revenue y/y</t>
  </si>
  <si>
    <t>Gross margin</t>
  </si>
  <si>
    <t>at end of 2021</t>
  </si>
  <si>
    <t>Total Revenues</t>
  </si>
  <si>
    <t>Q1 4.22.22</t>
  </si>
  <si>
    <t>Q2 7.22.22</t>
  </si>
  <si>
    <t>Q3 10.21.22</t>
  </si>
  <si>
    <t>Q4 ESTIMATE</t>
  </si>
  <si>
    <t>Operating Margin</t>
  </si>
  <si>
    <t>Terminal Value</t>
  </si>
  <si>
    <t>Enterprise Value</t>
  </si>
  <si>
    <t>(+) cash &amp; marketable securities</t>
  </si>
  <si>
    <t>(-) debt</t>
  </si>
  <si>
    <t>Equity Value</t>
  </si>
  <si>
    <t>Shares outstanding</t>
  </si>
  <si>
    <t>Intrinsic Value</t>
  </si>
  <si>
    <t>Upside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</si>
</sst>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_([$$-409]* #,##0.00_);_([$$-409]* \(#,##0.00\);_([$$-409]*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i/>
      <sz val="11"/>
      <color theme="1"/>
      <name val="Calibri"/>
      <family val="2"/>
      <scheme val="minor"/>
    </font>
    <font>
      <sz val="9"/>
      <color indexed="81"/>
      <name val="Tahoma"/>
      <family val="2"/>
    </font>
    <font>
      <b/>
      <sz val="9"/>
      <color indexed="81"/>
      <name val="Tahoma"/>
      <family val="2"/>
    </font>
    <font>
      <b/>
      <sz val="10"/>
      <color rgb="FF00000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2" tint="-0.499984740745262"/>
        <bgColor indexed="64"/>
      </patternFill>
    </fill>
  </fills>
  <borders count="7">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0" fontId="3" fillId="0" borderId="0" xfId="2"/>
    <xf numFmtId="0" fontId="2" fillId="0" borderId="0" xfId="0" applyFont="1"/>
    <xf numFmtId="0" fontId="0" fillId="0" borderId="0" xfId="0" applyFont="1"/>
    <xf numFmtId="0" fontId="4" fillId="2" borderId="0" xfId="0" applyFont="1" applyFill="1"/>
    <xf numFmtId="164" fontId="0" fillId="0" borderId="0" xfId="0" applyNumberFormat="1"/>
    <xf numFmtId="2" fontId="0" fillId="0" borderId="0" xfId="0" applyNumberFormat="1"/>
    <xf numFmtId="0" fontId="0" fillId="0" borderId="0" xfId="0" applyAlignment="1">
      <alignment horizontal="right"/>
    </xf>
    <xf numFmtId="10" fontId="0" fillId="0" borderId="0" xfId="1" applyNumberFormat="1" applyFont="1"/>
    <xf numFmtId="0" fontId="5" fillId="3" borderId="0" xfId="0" applyFont="1" applyFill="1" applyAlignment="1">
      <alignment horizontal="right"/>
    </xf>
    <xf numFmtId="2" fontId="2" fillId="0" borderId="0" xfId="0" applyNumberFormat="1" applyFont="1"/>
    <xf numFmtId="0" fontId="0" fillId="4" borderId="0" xfId="0" applyFill="1"/>
    <xf numFmtId="0" fontId="8" fillId="0" borderId="1" xfId="0" applyFont="1" applyBorder="1"/>
    <xf numFmtId="0" fontId="8" fillId="0" borderId="2" xfId="0" applyFont="1" applyBorder="1"/>
    <xf numFmtId="0" fontId="0" fillId="0" borderId="4" xfId="0" applyBorder="1"/>
    <xf numFmtId="0" fontId="0" fillId="0" borderId="5" xfId="0" applyBorder="1"/>
    <xf numFmtId="0" fontId="2" fillId="0" borderId="3" xfId="0" applyFont="1" applyBorder="1"/>
    <xf numFmtId="0" fontId="2" fillId="0" borderId="1" xfId="0" applyFont="1" applyBorder="1"/>
    <xf numFmtId="2" fontId="0" fillId="0" borderId="5" xfId="0" applyNumberFormat="1" applyBorder="1"/>
    <xf numFmtId="8" fontId="0" fillId="0" borderId="5" xfId="0" applyNumberFormat="1" applyBorder="1"/>
    <xf numFmtId="0" fontId="2" fillId="0" borderId="0" xfId="0" applyFont="1" applyBorder="1"/>
    <xf numFmtId="0" fontId="0" fillId="0" borderId="0" xfId="0" applyBorder="1"/>
    <xf numFmtId="2" fontId="0" fillId="0" borderId="0" xfId="0" applyNumberFormat="1" applyBorder="1"/>
    <xf numFmtId="8" fontId="0" fillId="0" borderId="0" xfId="0" applyNumberFormat="1" applyBorder="1"/>
    <xf numFmtId="0" fontId="8" fillId="0" borderId="0" xfId="0" applyFont="1" applyBorder="1"/>
    <xf numFmtId="10" fontId="0" fillId="0" borderId="6" xfId="1" applyNumberFormat="1" applyFont="1" applyBorder="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76200</xdr:colOff>
      <xdr:row>1</xdr:row>
      <xdr:rowOff>28575</xdr:rowOff>
    </xdr:from>
    <xdr:to>
      <xdr:col>7</xdr:col>
      <xdr:colOff>104775</xdr:colOff>
      <xdr:row>74</xdr:row>
      <xdr:rowOff>133350</xdr:rowOff>
    </xdr:to>
    <xdr:cxnSp macro="">
      <xdr:nvCxnSpPr>
        <xdr:cNvPr id="3" name="Straight Connector 2">
          <a:extLst>
            <a:ext uri="{FF2B5EF4-FFF2-40B4-BE49-F238E27FC236}">
              <a16:creationId xmlns:a16="http://schemas.microsoft.com/office/drawing/2014/main" id="{D0C887A8-ACD8-3649-00A0-7427043AE93F}"/>
            </a:ext>
          </a:extLst>
        </xdr:cNvPr>
        <xdr:cNvCxnSpPr/>
      </xdr:nvCxnSpPr>
      <xdr:spPr>
        <a:xfrm>
          <a:off x="6562725" y="219075"/>
          <a:ext cx="28575" cy="14011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45</xdr:row>
      <xdr:rowOff>76200</xdr:rowOff>
    </xdr:from>
    <xdr:to>
      <xdr:col>23</xdr:col>
      <xdr:colOff>38100</xdr:colOff>
      <xdr:row>45</xdr:row>
      <xdr:rowOff>85725</xdr:rowOff>
    </xdr:to>
    <xdr:cxnSp macro="">
      <xdr:nvCxnSpPr>
        <xdr:cNvPr id="6" name="Straight Connector 5">
          <a:extLst>
            <a:ext uri="{FF2B5EF4-FFF2-40B4-BE49-F238E27FC236}">
              <a16:creationId xmlns:a16="http://schemas.microsoft.com/office/drawing/2014/main" id="{ACA1DE0E-C6C1-08CE-80F0-45E7C0BF5D48}"/>
            </a:ext>
          </a:extLst>
        </xdr:cNvPr>
        <xdr:cNvCxnSpPr/>
      </xdr:nvCxnSpPr>
      <xdr:spPr>
        <a:xfrm flipV="1">
          <a:off x="38100" y="8648700"/>
          <a:ext cx="159639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30</xdr:col>
      <xdr:colOff>326363</xdr:colOff>
      <xdr:row>46</xdr:row>
      <xdr:rowOff>29749</xdr:rowOff>
    </xdr:to>
    <xdr:pic>
      <xdr:nvPicPr>
        <xdr:cNvPr id="2" name="Picture 1">
          <a:extLst>
            <a:ext uri="{FF2B5EF4-FFF2-40B4-BE49-F238E27FC236}">
              <a16:creationId xmlns:a16="http://schemas.microsoft.com/office/drawing/2014/main" id="{3E1D70FC-B444-A5CA-E219-E4484FB9E2BC}"/>
            </a:ext>
          </a:extLst>
        </xdr:cNvPr>
        <xdr:cNvPicPr>
          <a:picLocks noChangeAspect="1"/>
        </xdr:cNvPicPr>
      </xdr:nvPicPr>
      <xdr:blipFill>
        <a:blip xmlns:r="http://schemas.openxmlformats.org/officeDocument/2006/relationships" r:embed="rId1"/>
        <a:stretch>
          <a:fillRect/>
        </a:stretch>
      </xdr:blipFill>
      <xdr:spPr>
        <a:xfrm>
          <a:off x="609600" y="381000"/>
          <a:ext cx="18004763" cy="84117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30</xdr:col>
      <xdr:colOff>269205</xdr:colOff>
      <xdr:row>42</xdr:row>
      <xdr:rowOff>182064</xdr:rowOff>
    </xdr:to>
    <xdr:pic>
      <xdr:nvPicPr>
        <xdr:cNvPr id="2" name="Picture 1">
          <a:extLst>
            <a:ext uri="{FF2B5EF4-FFF2-40B4-BE49-F238E27FC236}">
              <a16:creationId xmlns:a16="http://schemas.microsoft.com/office/drawing/2014/main" id="{4E7F2716-7DD0-2B4C-04E7-F94122ECA91E}"/>
            </a:ext>
          </a:extLst>
        </xdr:cNvPr>
        <xdr:cNvPicPr>
          <a:picLocks noChangeAspect="1"/>
        </xdr:cNvPicPr>
      </xdr:nvPicPr>
      <xdr:blipFill>
        <a:blip xmlns:r="http://schemas.openxmlformats.org/officeDocument/2006/relationships" r:embed="rId1"/>
        <a:stretch>
          <a:fillRect/>
        </a:stretch>
      </xdr:blipFill>
      <xdr:spPr>
        <a:xfrm>
          <a:off x="609600" y="381000"/>
          <a:ext cx="17947605" cy="78020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https://www.bing.com/financeapi/forcetrigger?t=a1o2lh&amp;q=XNYS%3aAXP&amp;form=skydnc</v>
    <v>Learn more on Bing</v>
  </rv>
  <rv s="1">
    <v>en-US</v>
    <v>a1o2lh</v>
    <v>268435456</v>
    <v>1</v>
    <v>Powered by Refinitiv</v>
    <v>0</v>
    <v>AMERICAN EXPRESS COMPANY (XNYS:AXP)</v>
    <v>2</v>
    <v>3</v>
    <v>Finance</v>
    <v>4</v>
    <v>199.55</v>
    <v>130.65</v>
    <v>1.1415999999999999</v>
    <v>-0.92</v>
    <v>9.4079999999999997E-3</v>
    <v>-5.94E-3</v>
    <v>1.45</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156.5</v>
    <v>Banking Services</v>
    <v>Stock</v>
    <v>44879.888120161719</v>
    <v>0</v>
    <v>153.06</v>
    <v>115051418819</v>
    <v>AMERICAN EXPRESS COMPANY</v>
    <v>AMERICAN EXPRESS COMPANY</v>
    <v>153.37</v>
    <v>15.562099999999999</v>
    <v>154.88999999999999</v>
    <v>153.97</v>
    <v>155.58000000000001</v>
    <v>747232700</v>
    <v>AXP</v>
    <v>AMERICAN EXPRESS COMPANY (XNYS:AXP)</v>
    <v>3663149</v>
    <v>3746441</v>
    <v>1965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6A97-1A99-4BF8-A232-5AB42B23934E}">
  <dimension ref="B3:E14"/>
  <sheetViews>
    <sheetView workbookViewId="0">
      <selection activeCell="I18" sqref="I18"/>
    </sheetView>
  </sheetViews>
  <sheetFormatPr defaultRowHeight="15" x14ac:dyDescent="0.25"/>
  <cols>
    <col min="2" max="2" width="10.7109375" bestFit="1" customWidth="1"/>
    <col min="3" max="3" width="41.85546875" bestFit="1" customWidth="1"/>
    <col min="5" max="5" width="17.42578125" bestFit="1" customWidth="1"/>
  </cols>
  <sheetData>
    <row r="3" spans="2:5" x14ac:dyDescent="0.25">
      <c r="B3" t="s">
        <v>0</v>
      </c>
      <c r="C3" t="e" vm="1">
        <v>#VALUE!</v>
      </c>
      <c r="D3" s="5" cm="1">
        <f t="array" ref="D3">_FV(C3,"Price")</f>
        <v>153.97</v>
      </c>
      <c r="E3" t="s">
        <v>38</v>
      </c>
    </row>
    <row r="9" spans="2:5" x14ac:dyDescent="0.25">
      <c r="B9" t="s">
        <v>0</v>
      </c>
      <c r="C9" s="7" t="s">
        <v>37</v>
      </c>
    </row>
    <row r="10" spans="2:5" x14ac:dyDescent="0.25">
      <c r="B10" t="s">
        <v>1</v>
      </c>
      <c r="C10" s="5">
        <f>D3</f>
        <v>153.97</v>
      </c>
    </row>
    <row r="11" spans="2:5" x14ac:dyDescent="0.25">
      <c r="B11" t="s">
        <v>2</v>
      </c>
      <c r="C11">
        <f>Model!G44</f>
        <v>790</v>
      </c>
    </row>
    <row r="12" spans="2:5" x14ac:dyDescent="0.25">
      <c r="B12" t="s">
        <v>3</v>
      </c>
      <c r="C12">
        <f>C11*C10</f>
        <v>121636.3</v>
      </c>
      <c r="D12" t="str">
        <f ca="1">_xlfn.FORMULATEXT(C12)</f>
        <v>=C11*C10</v>
      </c>
    </row>
    <row r="13" spans="2:5" x14ac:dyDescent="0.25">
      <c r="B13" t="s">
        <v>4</v>
      </c>
      <c r="C13">
        <v>22028</v>
      </c>
      <c r="D13" t="s">
        <v>48</v>
      </c>
    </row>
    <row r="14" spans="2:5" x14ac:dyDescent="0.25">
      <c r="B14" t="s">
        <v>5</v>
      </c>
      <c r="C14">
        <v>38675</v>
      </c>
      <c r="D1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E6CB-FA99-4A87-B600-A60732B59AB2}">
  <sheetPr>
    <tabColor theme="5" tint="0.59999389629810485"/>
  </sheetPr>
  <dimension ref="A1:W86"/>
  <sheetViews>
    <sheetView tabSelected="1" workbookViewId="0">
      <pane ySplit="1" topLeftCell="A32" activePane="bottomLeft" state="frozen"/>
      <selection pane="bottomLeft" activeCell="Q53" sqref="Q53"/>
    </sheetView>
  </sheetViews>
  <sheetFormatPr defaultRowHeight="15" x14ac:dyDescent="0.25"/>
  <cols>
    <col min="1" max="1" width="42.42578125" bestFit="1" customWidth="1"/>
    <col min="8" max="8" width="3.140625" customWidth="1"/>
    <col min="9" max="10" width="10" bestFit="1" customWidth="1"/>
    <col min="11" max="11" width="11" bestFit="1" customWidth="1"/>
    <col min="12" max="12" width="3" customWidth="1"/>
    <col min="13" max="13" width="13.140625" bestFit="1" customWidth="1"/>
    <col min="14" max="14" width="3.42578125" customWidth="1"/>
    <col min="15" max="15" width="21.140625" customWidth="1"/>
    <col min="16" max="16" width="10.85546875" bestFit="1" customWidth="1"/>
    <col min="22" max="22" width="30.5703125" bestFit="1" customWidth="1"/>
    <col min="23" max="23" width="11.85546875" bestFit="1" customWidth="1"/>
  </cols>
  <sheetData>
    <row r="1" spans="1:20" s="4" customFormat="1" x14ac:dyDescent="0.25">
      <c r="A1" s="1" t="s">
        <v>6</v>
      </c>
      <c r="B1" s="4">
        <v>2016</v>
      </c>
      <c r="C1" s="4">
        <f>B1+1</f>
        <v>2017</v>
      </c>
      <c r="D1" s="4">
        <f t="shared" ref="D1:G1" si="0">C1+1</f>
        <v>2018</v>
      </c>
      <c r="E1" s="4">
        <f t="shared" si="0"/>
        <v>2019</v>
      </c>
      <c r="F1" s="4">
        <f t="shared" si="0"/>
        <v>2020</v>
      </c>
      <c r="G1" s="4">
        <f t="shared" si="0"/>
        <v>2021</v>
      </c>
      <c r="I1" s="4">
        <f>G1+1</f>
        <v>2022</v>
      </c>
      <c r="J1" s="4">
        <v>2022</v>
      </c>
      <c r="K1" s="4">
        <v>2022</v>
      </c>
      <c r="M1" s="4">
        <v>2022</v>
      </c>
      <c r="P1" s="4">
        <f>M1+1</f>
        <v>2023</v>
      </c>
      <c r="Q1" s="4">
        <f>P1+1</f>
        <v>2024</v>
      </c>
      <c r="R1" s="4">
        <f t="shared" ref="R1:T1" si="1">Q1+1</f>
        <v>2025</v>
      </c>
      <c r="S1" s="4">
        <f t="shared" si="1"/>
        <v>2026</v>
      </c>
      <c r="T1" s="4">
        <f t="shared" si="1"/>
        <v>2027</v>
      </c>
    </row>
    <row r="2" spans="1:20" x14ac:dyDescent="0.25">
      <c r="A2" s="2" t="s">
        <v>7</v>
      </c>
      <c r="I2" s="9" t="s">
        <v>50</v>
      </c>
      <c r="J2" s="9" t="s">
        <v>51</v>
      </c>
      <c r="K2" s="9" t="s">
        <v>52</v>
      </c>
      <c r="L2" s="9"/>
      <c r="M2" s="9" t="s">
        <v>53</v>
      </c>
    </row>
    <row r="3" spans="1:20" x14ac:dyDescent="0.25">
      <c r="A3" s="2" t="s">
        <v>40</v>
      </c>
    </row>
    <row r="4" spans="1:20" x14ac:dyDescent="0.25">
      <c r="A4" t="s">
        <v>8</v>
      </c>
      <c r="B4">
        <v>22377</v>
      </c>
      <c r="C4">
        <v>22890</v>
      </c>
      <c r="D4">
        <v>24721</v>
      </c>
      <c r="E4">
        <v>26167</v>
      </c>
      <c r="F4">
        <v>20401</v>
      </c>
      <c r="G4">
        <v>25727</v>
      </c>
      <c r="I4">
        <v>6835</v>
      </c>
      <c r="J4">
        <v>7873</v>
      </c>
      <c r="K4">
        <v>7848</v>
      </c>
      <c r="M4">
        <f>K4*1.08</f>
        <v>8475.84</v>
      </c>
      <c r="P4">
        <f>SUM(I4:M4)*1.07</f>
        <v>33204.068800000001</v>
      </c>
      <c r="Q4">
        <f>P4*1.06</f>
        <v>35196.312927999999</v>
      </c>
      <c r="R4">
        <f>Q4*1.06</f>
        <v>37308.091703680002</v>
      </c>
      <c r="S4">
        <f>R4*1.06</f>
        <v>39546.577205900801</v>
      </c>
      <c r="T4">
        <f>S4*1.05</f>
        <v>41523.906066195843</v>
      </c>
    </row>
    <row r="5" spans="1:20" x14ac:dyDescent="0.25">
      <c r="A5" t="s">
        <v>9</v>
      </c>
      <c r="B5">
        <v>2886</v>
      </c>
      <c r="C5">
        <v>3090</v>
      </c>
      <c r="D5">
        <v>3441</v>
      </c>
      <c r="E5">
        <v>4042</v>
      </c>
      <c r="F5">
        <v>4664</v>
      </c>
      <c r="G5">
        <v>5195</v>
      </c>
      <c r="I5">
        <v>1423</v>
      </c>
      <c r="J5">
        <v>1481</v>
      </c>
      <c r="K5">
        <v>1541</v>
      </c>
      <c r="M5">
        <f>K5*1.08</f>
        <v>1664.2800000000002</v>
      </c>
      <c r="P5">
        <f>SUM(I5:M5)*1.05</f>
        <v>6414.7440000000006</v>
      </c>
      <c r="Q5">
        <f>P5*1.05</f>
        <v>6735.4812000000011</v>
      </c>
      <c r="R5">
        <f>Q5*1.04</f>
        <v>7004.9004480000012</v>
      </c>
      <c r="S5">
        <f>R5*1.04</f>
        <v>7285.0964659200017</v>
      </c>
      <c r="T5">
        <f>S5*1.04</f>
        <v>7576.5003245568023</v>
      </c>
    </row>
    <row r="6" spans="1:20" x14ac:dyDescent="0.25">
      <c r="A6" t="s">
        <v>10</v>
      </c>
      <c r="B6">
        <v>2718</v>
      </c>
      <c r="C6">
        <v>2990</v>
      </c>
      <c r="D6">
        <v>3153</v>
      </c>
      <c r="E6">
        <v>3297</v>
      </c>
      <c r="F6">
        <v>2163</v>
      </c>
      <c r="G6">
        <v>2392</v>
      </c>
      <c r="I6">
        <v>906</v>
      </c>
      <c r="J6">
        <v>1265</v>
      </c>
      <c r="K6">
        <v>1169</v>
      </c>
      <c r="M6">
        <f>K6*1.08</f>
        <v>1262.52</v>
      </c>
      <c r="P6">
        <f>SUM(I6:M6)*1.05</f>
        <v>4832.6460000000006</v>
      </c>
      <c r="Q6">
        <f>P6*1.05</f>
        <v>5074.2783000000009</v>
      </c>
      <c r="R6">
        <f>Q6*1.05</f>
        <v>5327.9922150000011</v>
      </c>
      <c r="S6">
        <f>R6*1.05</f>
        <v>5594.3918257500018</v>
      </c>
      <c r="T6">
        <f>S6*1.05</f>
        <v>5874.1114170375022</v>
      </c>
    </row>
    <row r="7" spans="1:20" x14ac:dyDescent="0.25">
      <c r="A7" t="s">
        <v>45</v>
      </c>
      <c r="B7">
        <v>1678</v>
      </c>
      <c r="C7">
        <v>1457</v>
      </c>
      <c r="D7">
        <v>1360</v>
      </c>
      <c r="E7">
        <v>1430</v>
      </c>
      <c r="F7">
        <v>874</v>
      </c>
      <c r="G7">
        <v>1316</v>
      </c>
      <c r="I7">
        <v>372</v>
      </c>
      <c r="J7">
        <v>416</v>
      </c>
      <c r="K7">
        <v>420</v>
      </c>
      <c r="M7">
        <f>K7*1.08</f>
        <v>453.6</v>
      </c>
      <c r="P7">
        <f>SUM(I7:M7)*1.05</f>
        <v>1744.68</v>
      </c>
      <c r="Q7">
        <f>P7*1.05</f>
        <v>1831.9140000000002</v>
      </c>
      <c r="R7">
        <f>Q7*1.05</f>
        <v>1923.5097000000003</v>
      </c>
      <c r="S7">
        <f>R7*1.05</f>
        <v>2019.6851850000005</v>
      </c>
      <c r="T7">
        <f>S7*1.05</f>
        <v>2120.6694442500007</v>
      </c>
    </row>
    <row r="8" spans="1:20" s="2" customFormat="1" x14ac:dyDescent="0.25">
      <c r="A8" s="2" t="s">
        <v>11</v>
      </c>
      <c r="B8" s="2">
        <f>SUM(B4:B7)</f>
        <v>29659</v>
      </c>
      <c r="C8" s="2">
        <f t="shared" ref="C8:G8" si="2">SUM(C4:C7)</f>
        <v>30427</v>
      </c>
      <c r="D8" s="2">
        <f t="shared" si="2"/>
        <v>32675</v>
      </c>
      <c r="E8" s="2">
        <f t="shared" si="2"/>
        <v>34936</v>
      </c>
      <c r="F8" s="2">
        <f t="shared" si="2"/>
        <v>28102</v>
      </c>
      <c r="G8" s="2">
        <f t="shared" si="2"/>
        <v>34630</v>
      </c>
      <c r="I8" s="2">
        <f t="shared" ref="I8" si="3">SUM(I4:I7)</f>
        <v>9536</v>
      </c>
      <c r="J8" s="2">
        <f t="shared" ref="J8" si="4">SUM(J4:J7)</f>
        <v>11035</v>
      </c>
      <c r="K8" s="2">
        <f t="shared" ref="K8" si="5">SUM(K4:K7)</f>
        <v>10978</v>
      </c>
      <c r="M8" s="10">
        <f t="shared" ref="M8" si="6">SUM(M4:M7)</f>
        <v>11856.240000000002</v>
      </c>
      <c r="P8" s="10">
        <f t="shared" ref="P8" si="7">SUM(P4:P7)</f>
        <v>46196.138800000001</v>
      </c>
      <c r="Q8" s="10">
        <f t="shared" ref="Q8" si="8">SUM(Q4:Q7)</f>
        <v>48837.986427999997</v>
      </c>
      <c r="R8" s="10">
        <f t="shared" ref="R8" si="9">SUM(R4:R7)</f>
        <v>51564.494066680003</v>
      </c>
      <c r="S8" s="10">
        <f t="shared" ref="S8" si="10">SUM(S4:S7)</f>
        <v>54445.750682570811</v>
      </c>
      <c r="T8" s="10">
        <f t="shared" ref="T8" si="11">SUM(T4:T7)</f>
        <v>57095.187252040145</v>
      </c>
    </row>
    <row r="9" spans="1:20" x14ac:dyDescent="0.25">
      <c r="A9" s="2" t="s">
        <v>12</v>
      </c>
    </row>
    <row r="10" spans="1:20" x14ac:dyDescent="0.25">
      <c r="A10" t="s">
        <v>13</v>
      </c>
      <c r="B10">
        <v>7214</v>
      </c>
      <c r="C10">
        <v>8148</v>
      </c>
      <c r="D10">
        <v>9941</v>
      </c>
      <c r="E10">
        <v>11308</v>
      </c>
      <c r="F10">
        <v>9779</v>
      </c>
      <c r="G10">
        <v>8850</v>
      </c>
      <c r="I10">
        <v>2473</v>
      </c>
      <c r="J10">
        <v>2707</v>
      </c>
      <c r="K10">
        <v>3164</v>
      </c>
      <c r="M10">
        <f>K10*1.08</f>
        <v>3417.1200000000003</v>
      </c>
      <c r="P10">
        <f>SUM(I10:M10)*1.04</f>
        <v>12231.564800000002</v>
      </c>
      <c r="Q10">
        <f>P10*1.03</f>
        <v>12598.511744000003</v>
      </c>
      <c r="R10">
        <f t="shared" ref="R10:T10" si="12">Q10*1.03</f>
        <v>12976.467096320004</v>
      </c>
      <c r="S10">
        <f t="shared" si="12"/>
        <v>13365.761109209605</v>
      </c>
      <c r="T10">
        <f t="shared" si="12"/>
        <v>13766.733942485893</v>
      </c>
    </row>
    <row r="11" spans="1:20" x14ac:dyDescent="0.25">
      <c r="A11" t="s">
        <v>14</v>
      </c>
      <c r="B11">
        <v>131</v>
      </c>
      <c r="C11">
        <v>89</v>
      </c>
      <c r="D11">
        <v>118</v>
      </c>
      <c r="E11">
        <v>188</v>
      </c>
      <c r="F11">
        <v>127</v>
      </c>
      <c r="G11">
        <v>83</v>
      </c>
      <c r="I11">
        <v>13</v>
      </c>
      <c r="J11">
        <v>22</v>
      </c>
      <c r="K11">
        <v>27</v>
      </c>
      <c r="M11">
        <f>K11*1.08</f>
        <v>29.160000000000004</v>
      </c>
      <c r="P11">
        <f>SUM(I11:M11)*1.04</f>
        <v>94.806399999999996</v>
      </c>
      <c r="Q11">
        <f>P11*1.03</f>
        <v>97.650592000000003</v>
      </c>
      <c r="R11">
        <f t="shared" ref="R11:T11" si="13">Q11*1.03</f>
        <v>100.58010976</v>
      </c>
      <c r="S11">
        <f t="shared" si="13"/>
        <v>103.5975130528</v>
      </c>
      <c r="T11">
        <f t="shared" si="13"/>
        <v>106.705438444384</v>
      </c>
    </row>
    <row r="12" spans="1:20" x14ac:dyDescent="0.25">
      <c r="A12" t="s">
        <v>15</v>
      </c>
      <c r="B12">
        <v>139</v>
      </c>
      <c r="C12">
        <v>326</v>
      </c>
      <c r="D12">
        <v>547</v>
      </c>
      <c r="E12">
        <v>588</v>
      </c>
      <c r="F12">
        <v>177</v>
      </c>
      <c r="G12">
        <v>100</v>
      </c>
      <c r="I12">
        <v>34</v>
      </c>
      <c r="J12">
        <v>70</v>
      </c>
      <c r="K12">
        <v>183</v>
      </c>
      <c r="M12">
        <f>K12*1.4</f>
        <v>256.2</v>
      </c>
      <c r="P12">
        <f>SUM(I12:M12)*1.04</f>
        <v>564.92800000000011</v>
      </c>
      <c r="Q12">
        <f>P12*1.03</f>
        <v>581.87584000000015</v>
      </c>
      <c r="R12">
        <f t="shared" ref="R12:T12" si="14">Q12*1.03</f>
        <v>599.3321152000002</v>
      </c>
      <c r="S12">
        <f t="shared" si="14"/>
        <v>617.31207865600027</v>
      </c>
      <c r="T12">
        <f t="shared" si="14"/>
        <v>635.8314410156803</v>
      </c>
    </row>
    <row r="13" spans="1:20" s="2" customFormat="1" x14ac:dyDescent="0.25">
      <c r="A13" s="2" t="s">
        <v>16</v>
      </c>
      <c r="B13" s="2">
        <f>SUM(B10:B12)</f>
        <v>7484</v>
      </c>
      <c r="C13" s="2">
        <f t="shared" ref="C13:G13" si="15">SUM(C10:C12)</f>
        <v>8563</v>
      </c>
      <c r="D13" s="2">
        <f t="shared" si="15"/>
        <v>10606</v>
      </c>
      <c r="E13" s="2">
        <f t="shared" si="15"/>
        <v>12084</v>
      </c>
      <c r="F13" s="2">
        <f t="shared" si="15"/>
        <v>10083</v>
      </c>
      <c r="G13" s="2">
        <f t="shared" si="15"/>
        <v>9033</v>
      </c>
      <c r="I13" s="2">
        <f t="shared" ref="I13" si="16">SUM(I10:I12)</f>
        <v>2520</v>
      </c>
      <c r="J13" s="2">
        <f t="shared" ref="J13" si="17">SUM(J10:J12)</f>
        <v>2799</v>
      </c>
      <c r="K13" s="2">
        <f t="shared" ref="K13" si="18">SUM(K10:K12)</f>
        <v>3374</v>
      </c>
      <c r="M13" s="2">
        <f t="shared" ref="M13" si="19">SUM(M10:M12)</f>
        <v>3702.48</v>
      </c>
      <c r="P13" s="2">
        <f t="shared" ref="P13" si="20">SUM(P10:P12)</f>
        <v>12891.299200000001</v>
      </c>
      <c r="Q13" s="2">
        <f t="shared" ref="Q13" si="21">SUM(Q10:Q12)</f>
        <v>13278.038176000004</v>
      </c>
      <c r="R13" s="2">
        <f t="shared" ref="R13" si="22">SUM(R10:R12)</f>
        <v>13676.379321280005</v>
      </c>
      <c r="S13" s="2">
        <f t="shared" ref="S13" si="23">SUM(S10:S12)</f>
        <v>14086.670700918407</v>
      </c>
      <c r="T13" s="2">
        <f t="shared" ref="T13" si="24">SUM(T10:T12)</f>
        <v>14509.270821945956</v>
      </c>
    </row>
    <row r="14" spans="1:20" s="2" customFormat="1" x14ac:dyDescent="0.25">
      <c r="A14" s="2" t="s">
        <v>49</v>
      </c>
      <c r="B14" s="2">
        <f>SUM(B13,B8)</f>
        <v>37143</v>
      </c>
      <c r="C14" s="2">
        <f t="shared" ref="C14:G14" si="25">SUM(C13,C8)</f>
        <v>38990</v>
      </c>
      <c r="D14" s="2">
        <f t="shared" si="25"/>
        <v>43281</v>
      </c>
      <c r="E14" s="2">
        <f t="shared" si="25"/>
        <v>47020</v>
      </c>
      <c r="F14" s="2">
        <f t="shared" si="25"/>
        <v>38185</v>
      </c>
      <c r="G14" s="2">
        <f t="shared" si="25"/>
        <v>43663</v>
      </c>
      <c r="I14" s="2">
        <f t="shared" ref="I14" si="26">SUM(I13,I8)</f>
        <v>12056</v>
      </c>
      <c r="J14" s="2">
        <f t="shared" ref="J14" si="27">SUM(J13,J8)</f>
        <v>13834</v>
      </c>
      <c r="K14" s="2">
        <f t="shared" ref="K14" si="28">SUM(K13,K8)</f>
        <v>14352</v>
      </c>
      <c r="M14" s="10">
        <f t="shared" ref="M14" si="29">SUM(M13,M8)</f>
        <v>15558.720000000001</v>
      </c>
      <c r="P14" s="10">
        <f t="shared" ref="P14" si="30">SUM(P13,P8)</f>
        <v>59087.438000000002</v>
      </c>
      <c r="Q14" s="10">
        <f t="shared" ref="Q14" si="31">SUM(Q13,Q8)</f>
        <v>62116.024603999998</v>
      </c>
      <c r="R14" s="10">
        <f t="shared" ref="R14" si="32">SUM(R13,R8)</f>
        <v>65240.873387960004</v>
      </c>
      <c r="S14" s="10">
        <f t="shared" ref="S14" si="33">SUM(S13,S8)</f>
        <v>68532.421383489214</v>
      </c>
      <c r="T14" s="10">
        <f t="shared" ref="T14" si="34">SUM(T13,T8)</f>
        <v>71604.458073986098</v>
      </c>
    </row>
    <row r="15" spans="1:20" x14ac:dyDescent="0.25">
      <c r="A15" s="2" t="s">
        <v>39</v>
      </c>
    </row>
    <row r="16" spans="1:20" x14ac:dyDescent="0.25">
      <c r="A16" t="s">
        <v>17</v>
      </c>
      <c r="B16">
        <v>598</v>
      </c>
      <c r="C16">
        <v>779</v>
      </c>
      <c r="D16">
        <v>1287</v>
      </c>
      <c r="E16">
        <v>1559</v>
      </c>
      <c r="F16">
        <v>943</v>
      </c>
      <c r="G16">
        <v>458</v>
      </c>
      <c r="I16">
        <v>122</v>
      </c>
      <c r="J16">
        <v>187</v>
      </c>
      <c r="K16">
        <v>440</v>
      </c>
      <c r="M16">
        <f>K16*1.08</f>
        <v>475.20000000000005</v>
      </c>
      <c r="P16">
        <f>SUM(I16:M16)*1.04</f>
        <v>1273.1680000000001</v>
      </c>
      <c r="Q16">
        <f>P16*1.03</f>
        <v>1311.3630400000002</v>
      </c>
      <c r="R16">
        <f>Q16*1.03</f>
        <v>1350.7039312000002</v>
      </c>
      <c r="S16">
        <f>R16*1.03</f>
        <v>1391.2250491360003</v>
      </c>
      <c r="T16">
        <f>S16*1.03</f>
        <v>1432.9618006100802</v>
      </c>
    </row>
    <row r="17" spans="1:20" x14ac:dyDescent="0.25">
      <c r="A17" t="s">
        <v>18</v>
      </c>
      <c r="B17">
        <v>1107</v>
      </c>
      <c r="C17">
        <v>1333</v>
      </c>
      <c r="D17">
        <v>1656</v>
      </c>
      <c r="E17">
        <v>1905</v>
      </c>
      <c r="F17">
        <v>1155</v>
      </c>
      <c r="G17">
        <v>825</v>
      </c>
      <c r="I17">
        <v>199</v>
      </c>
      <c r="J17">
        <v>252</v>
      </c>
      <c r="K17">
        <v>356</v>
      </c>
      <c r="M17">
        <f>K17*1.05</f>
        <v>373.8</v>
      </c>
      <c r="P17">
        <f>SUM(I17:M17)*1.04</f>
        <v>1228.0319999999999</v>
      </c>
      <c r="Q17">
        <f>P17*1.03</f>
        <v>1264.8729599999999</v>
      </c>
      <c r="R17">
        <f>Q17*1.03</f>
        <v>1302.8191488</v>
      </c>
      <c r="S17">
        <f>R17*1.03</f>
        <v>1341.9037232640001</v>
      </c>
      <c r="T17">
        <f>S17*1.03</f>
        <v>1382.16083496192</v>
      </c>
    </row>
    <row r="18" spans="1:20" s="2" customFormat="1" x14ac:dyDescent="0.25">
      <c r="A18" s="2" t="s">
        <v>19</v>
      </c>
      <c r="B18" s="2">
        <f>SUM(B16:B17)</f>
        <v>1705</v>
      </c>
      <c r="C18" s="2">
        <f t="shared" ref="C18:G18" si="35">SUM(C16:C17)</f>
        <v>2112</v>
      </c>
      <c r="D18" s="2">
        <f t="shared" si="35"/>
        <v>2943</v>
      </c>
      <c r="E18" s="2">
        <f t="shared" si="35"/>
        <v>3464</v>
      </c>
      <c r="F18" s="2">
        <f t="shared" si="35"/>
        <v>2098</v>
      </c>
      <c r="G18" s="2">
        <f t="shared" si="35"/>
        <v>1283</v>
      </c>
      <c r="I18" s="2">
        <f t="shared" ref="I18" si="36">SUM(I16:I17)</f>
        <v>321</v>
      </c>
      <c r="J18" s="2">
        <f t="shared" ref="J18" si="37">SUM(J16:J17)</f>
        <v>439</v>
      </c>
      <c r="K18" s="2">
        <f t="shared" ref="K18" si="38">SUM(K16:K17)</f>
        <v>796</v>
      </c>
      <c r="M18" s="2">
        <f t="shared" ref="M18" si="39">SUM(M16:M17)</f>
        <v>849</v>
      </c>
      <c r="P18" s="2">
        <f t="shared" ref="P18" si="40">SUM(P16:P17)</f>
        <v>2501.1999999999998</v>
      </c>
      <c r="Q18" s="2">
        <f t="shared" ref="Q18" si="41">SUM(Q16:Q17)</f>
        <v>2576.2359999999999</v>
      </c>
      <c r="R18" s="2">
        <f t="shared" ref="R18" si="42">SUM(R16:R17)</f>
        <v>2653.5230799999999</v>
      </c>
      <c r="S18" s="2">
        <f t="shared" ref="S18" si="43">SUM(S16:S17)</f>
        <v>2733.1287724000003</v>
      </c>
      <c r="T18" s="2">
        <f t="shared" ref="T18" si="44">SUM(T16:T17)</f>
        <v>2815.122635572</v>
      </c>
    </row>
    <row r="19" spans="1:20" s="2" customFormat="1" x14ac:dyDescent="0.25">
      <c r="A19" s="2" t="s">
        <v>20</v>
      </c>
      <c r="B19" s="2">
        <f>+B13-B18</f>
        <v>5779</v>
      </c>
      <c r="C19" s="2">
        <f t="shared" ref="C19:G19" si="45">+C13-C18</f>
        <v>6451</v>
      </c>
      <c r="D19" s="2">
        <f t="shared" si="45"/>
        <v>7663</v>
      </c>
      <c r="E19" s="2">
        <f t="shared" si="45"/>
        <v>8620</v>
      </c>
      <c r="F19" s="2">
        <f t="shared" si="45"/>
        <v>7985</v>
      </c>
      <c r="G19" s="2">
        <f t="shared" si="45"/>
        <v>7750</v>
      </c>
      <c r="I19" s="2">
        <f t="shared" ref="I19" si="46">+I13-I18</f>
        <v>2199</v>
      </c>
      <c r="J19" s="2">
        <f t="shared" ref="J19" si="47">+J13-J18</f>
        <v>2360</v>
      </c>
      <c r="K19" s="2">
        <f t="shared" ref="K19" si="48">+K13-K18</f>
        <v>2578</v>
      </c>
      <c r="M19" s="2">
        <f t="shared" ref="M19" si="49">+M13-M18</f>
        <v>2853.48</v>
      </c>
      <c r="P19" s="2">
        <f t="shared" ref="P19" si="50">+P13-P18</f>
        <v>10390.099200000001</v>
      </c>
      <c r="Q19" s="2">
        <f t="shared" ref="Q19" si="51">+Q13-Q18</f>
        <v>10701.802176000005</v>
      </c>
      <c r="R19" s="2">
        <f t="shared" ref="R19" si="52">+R13-R18</f>
        <v>11022.856241280006</v>
      </c>
      <c r="S19" s="2">
        <f t="shared" ref="S19" si="53">+S13-S18</f>
        <v>11353.541928518407</v>
      </c>
      <c r="T19" s="2">
        <f t="shared" ref="T19" si="54">+T13-T18</f>
        <v>11694.148186373957</v>
      </c>
    </row>
    <row r="20" spans="1:20" s="2" customFormat="1" x14ac:dyDescent="0.25">
      <c r="A20" s="2" t="s">
        <v>21</v>
      </c>
      <c r="B20" s="2">
        <f>SUM(B8,B13)-B18</f>
        <v>35438</v>
      </c>
      <c r="C20" s="2">
        <f t="shared" ref="C20:G20" si="55">SUM(C8,C13)-C18</f>
        <v>36878</v>
      </c>
      <c r="D20" s="2">
        <f t="shared" si="55"/>
        <v>40338</v>
      </c>
      <c r="E20" s="2">
        <f t="shared" si="55"/>
        <v>43556</v>
      </c>
      <c r="F20" s="2">
        <f t="shared" si="55"/>
        <v>36087</v>
      </c>
      <c r="G20" s="2">
        <f t="shared" si="55"/>
        <v>42380</v>
      </c>
      <c r="I20" s="2">
        <f t="shared" ref="I20:M20" si="56">SUM(I8,I13)-I18</f>
        <v>11735</v>
      </c>
      <c r="J20" s="2">
        <f t="shared" si="56"/>
        <v>13395</v>
      </c>
      <c r="K20" s="2">
        <f t="shared" si="56"/>
        <v>13556</v>
      </c>
      <c r="M20" s="10">
        <f t="shared" si="56"/>
        <v>14709.720000000001</v>
      </c>
      <c r="P20" s="10">
        <f t="shared" ref="P20:T20" si="57">SUM(P8,P13)-P18</f>
        <v>56586.238000000005</v>
      </c>
      <c r="Q20" s="10">
        <f t="shared" si="57"/>
        <v>59539.788604000001</v>
      </c>
      <c r="R20" s="10">
        <f t="shared" si="57"/>
        <v>62587.350307960005</v>
      </c>
      <c r="S20" s="10">
        <f t="shared" si="57"/>
        <v>65799.292611089215</v>
      </c>
      <c r="T20" s="10">
        <f t="shared" si="57"/>
        <v>68789.335438414098</v>
      </c>
    </row>
    <row r="21" spans="1:20" s="3" customFormat="1" x14ac:dyDescent="0.25">
      <c r="A21" s="2" t="s">
        <v>22</v>
      </c>
    </row>
    <row r="22" spans="1:20" x14ac:dyDescent="0.25">
      <c r="A22" s="3" t="s">
        <v>23</v>
      </c>
      <c r="B22">
        <v>696</v>
      </c>
      <c r="C22">
        <v>795</v>
      </c>
      <c r="D22">
        <v>937</v>
      </c>
      <c r="E22">
        <v>963</v>
      </c>
      <c r="F22">
        <v>1015</v>
      </c>
      <c r="G22">
        <v>-73</v>
      </c>
      <c r="I22">
        <v>80</v>
      </c>
      <c r="J22">
        <v>138</v>
      </c>
      <c r="K22">
        <v>165</v>
      </c>
      <c r="M22">
        <f>K22*1.15</f>
        <v>189.74999999999997</v>
      </c>
      <c r="P22">
        <f>SUM(I22:M22)*1.07</f>
        <v>612.84250000000009</v>
      </c>
      <c r="Q22">
        <f>P22*1.05</f>
        <v>643.48462500000016</v>
      </c>
      <c r="R22">
        <f>Q22*1.04</f>
        <v>669.22401000000025</v>
      </c>
      <c r="S22">
        <f>R22*1.01</f>
        <v>675.9162501000003</v>
      </c>
      <c r="T22">
        <f>S22*1.01</f>
        <v>682.67541260100029</v>
      </c>
    </row>
    <row r="23" spans="1:20" x14ac:dyDescent="0.25">
      <c r="A23" s="3" t="s">
        <v>24</v>
      </c>
      <c r="B23">
        <v>1235</v>
      </c>
      <c r="C23">
        <v>1868</v>
      </c>
      <c r="D23">
        <v>2266</v>
      </c>
      <c r="E23">
        <v>2462</v>
      </c>
      <c r="F23">
        <v>3453</v>
      </c>
      <c r="G23">
        <v>-1155</v>
      </c>
      <c r="I23">
        <v>-111</v>
      </c>
      <c r="J23">
        <v>272</v>
      </c>
      <c r="K23">
        <v>596</v>
      </c>
      <c r="M23">
        <f>K23*1.08</f>
        <v>643.68000000000006</v>
      </c>
      <c r="P23">
        <f>SUM(I23:M23)*1.07</f>
        <v>1498.7276000000002</v>
      </c>
      <c r="Q23">
        <f>P23*1.05</f>
        <v>1573.6639800000003</v>
      </c>
      <c r="R23">
        <f>Q23*1.04</f>
        <v>1636.6105392000004</v>
      </c>
      <c r="S23">
        <f>R23*1.03</f>
        <v>1685.7088553760004</v>
      </c>
      <c r="T23">
        <f>S23*1.03</f>
        <v>1736.2801210372804</v>
      </c>
    </row>
    <row r="24" spans="1:20" x14ac:dyDescent="0.25">
      <c r="A24" s="3" t="s">
        <v>25</v>
      </c>
      <c r="B24">
        <v>96</v>
      </c>
      <c r="C24">
        <v>97</v>
      </c>
      <c r="D24">
        <v>149</v>
      </c>
      <c r="E24">
        <v>148</v>
      </c>
      <c r="F24">
        <v>262</v>
      </c>
      <c r="G24">
        <v>-191</v>
      </c>
      <c r="I24">
        <v>-2</v>
      </c>
      <c r="J24">
        <v>0</v>
      </c>
      <c r="K24">
        <v>17</v>
      </c>
      <c r="M24">
        <v>0</v>
      </c>
      <c r="P24">
        <f>SUM(I24:M24)*1.3</f>
        <v>19.5</v>
      </c>
      <c r="Q24">
        <f>P24*4</f>
        <v>78</v>
      </c>
      <c r="R24">
        <f>Q24*1.8</f>
        <v>140.4</v>
      </c>
      <c r="S24">
        <f>R24*1.01</f>
        <v>141.804</v>
      </c>
      <c r="T24">
        <f>S24*1.01</f>
        <v>143.22203999999999</v>
      </c>
    </row>
    <row r="25" spans="1:20" s="2" customFormat="1" x14ac:dyDescent="0.25">
      <c r="A25" s="2" t="s">
        <v>26</v>
      </c>
      <c r="B25" s="2">
        <f>SUM(B22:B24)</f>
        <v>2027</v>
      </c>
      <c r="C25" s="2">
        <f t="shared" ref="C25:G25" si="58">SUM(C22:C24)</f>
        <v>2760</v>
      </c>
      <c r="D25" s="2">
        <f t="shared" si="58"/>
        <v>3352</v>
      </c>
      <c r="E25" s="2">
        <f t="shared" si="58"/>
        <v>3573</v>
      </c>
      <c r="F25" s="2">
        <f t="shared" si="58"/>
        <v>4730</v>
      </c>
      <c r="G25" s="2">
        <f t="shared" si="58"/>
        <v>-1419</v>
      </c>
      <c r="I25" s="2">
        <f t="shared" ref="I25" si="59">SUM(I22:I24)</f>
        <v>-33</v>
      </c>
      <c r="J25" s="2">
        <f t="shared" ref="J25" si="60">SUM(J22:J24)</f>
        <v>410</v>
      </c>
      <c r="K25" s="2">
        <f t="shared" ref="K25" si="61">SUM(K22:K24)</f>
        <v>778</v>
      </c>
      <c r="M25" s="2">
        <f t="shared" ref="M25" si="62">SUM(M22:M24)</f>
        <v>833.43000000000006</v>
      </c>
      <c r="P25" s="2">
        <f t="shared" ref="P25" si="63">SUM(P22:P24)</f>
        <v>2131.0701000000004</v>
      </c>
      <c r="Q25" s="2">
        <f t="shared" ref="Q25" si="64">SUM(Q22:Q24)</f>
        <v>2295.1486050000003</v>
      </c>
      <c r="R25" s="2">
        <f t="shared" ref="R25" si="65">SUM(R22:R24)</f>
        <v>2446.2345492000009</v>
      </c>
      <c r="S25" s="2">
        <f t="shared" ref="S25" si="66">SUM(S22:S24)</f>
        <v>2503.4291054760006</v>
      </c>
      <c r="T25" s="2">
        <f t="shared" ref="T25" si="67">SUM(T22:T24)</f>
        <v>2562.177573638281</v>
      </c>
    </row>
    <row r="26" spans="1:20" x14ac:dyDescent="0.25">
      <c r="A26" s="2" t="s">
        <v>27</v>
      </c>
    </row>
    <row r="27" spans="1:20" x14ac:dyDescent="0.25">
      <c r="A27" s="3" t="s">
        <v>28</v>
      </c>
      <c r="B27">
        <v>6249</v>
      </c>
      <c r="C27">
        <v>5722</v>
      </c>
      <c r="D27">
        <v>6470</v>
      </c>
      <c r="E27">
        <v>7125</v>
      </c>
      <c r="F27">
        <v>6747</v>
      </c>
      <c r="G27">
        <v>9053</v>
      </c>
      <c r="I27">
        <f>1224+1043</f>
        <v>2267</v>
      </c>
      <c r="J27">
        <f>1404+1502</f>
        <v>2906</v>
      </c>
      <c r="K27">
        <f>1194+1458</f>
        <v>2652</v>
      </c>
      <c r="M27">
        <f>K27*1.08</f>
        <v>2864.1600000000003</v>
      </c>
      <c r="P27">
        <f>SUM(I27:M27)*1.05</f>
        <v>11223.618</v>
      </c>
      <c r="Q27">
        <f>P27*1.04</f>
        <v>11672.56272</v>
      </c>
      <c r="R27">
        <f>Q27*1.04</f>
        <v>12139.4652288</v>
      </c>
      <c r="S27">
        <f>R27*1.04</f>
        <v>12625.043837952</v>
      </c>
      <c r="T27">
        <f>S27*1.03</f>
        <v>13003.795153090561</v>
      </c>
    </row>
    <row r="28" spans="1:20" x14ac:dyDescent="0.25">
      <c r="A28" s="3" t="s">
        <v>29</v>
      </c>
      <c r="B28">
        <v>7819</v>
      </c>
      <c r="C28">
        <v>8687</v>
      </c>
      <c r="D28">
        <v>9696</v>
      </c>
      <c r="E28">
        <v>10439</v>
      </c>
      <c r="F28">
        <v>8041</v>
      </c>
      <c r="G28">
        <v>11007</v>
      </c>
      <c r="I28">
        <v>3111</v>
      </c>
      <c r="J28">
        <v>3591</v>
      </c>
      <c r="K28">
        <v>3571</v>
      </c>
      <c r="M28">
        <f>K28*1.08</f>
        <v>3856.6800000000003</v>
      </c>
      <c r="P28">
        <f>SUM(I28:M28)*1.07</f>
        <v>15118.757600000001</v>
      </c>
      <c r="Q28">
        <f t="shared" ref="Q28:Q31" si="68">P28*1.07</f>
        <v>16177.070632000003</v>
      </c>
      <c r="R28">
        <f t="shared" ref="R28:R31" si="69">Q28*1.06</f>
        <v>17147.694869920004</v>
      </c>
      <c r="S28">
        <f t="shared" ref="S28:S31" si="70">R28*1.05</f>
        <v>18005.079613416005</v>
      </c>
      <c r="T28">
        <f t="shared" ref="T28:T31" si="71">S28*1.04</f>
        <v>18725.282797952645</v>
      </c>
    </row>
    <row r="29" spans="1:20" x14ac:dyDescent="0.25">
      <c r="A29" s="3" t="s">
        <v>30</v>
      </c>
      <c r="B29">
        <v>1100</v>
      </c>
      <c r="C29">
        <v>1392</v>
      </c>
      <c r="D29">
        <v>1777</v>
      </c>
      <c r="E29">
        <v>2223</v>
      </c>
      <c r="F29">
        <v>1230</v>
      </c>
      <c r="G29">
        <v>1993</v>
      </c>
      <c r="I29">
        <v>626</v>
      </c>
      <c r="J29">
        <v>678</v>
      </c>
      <c r="K29">
        <v>774</v>
      </c>
      <c r="M29">
        <f>K29*1.08</f>
        <v>835.92000000000007</v>
      </c>
      <c r="P29">
        <f>SUM(I29:M29)*1.03</f>
        <v>3001.3376000000003</v>
      </c>
      <c r="Q29">
        <f t="shared" si="68"/>
        <v>3211.4312320000004</v>
      </c>
      <c r="R29">
        <f t="shared" si="69"/>
        <v>3404.1171059200005</v>
      </c>
      <c r="S29">
        <f t="shared" si="70"/>
        <v>3574.3229612160007</v>
      </c>
      <c r="T29">
        <f t="shared" si="71"/>
        <v>3717.2958796646408</v>
      </c>
    </row>
    <row r="30" spans="1:20" x14ac:dyDescent="0.25">
      <c r="A30" s="3" t="s">
        <v>31</v>
      </c>
      <c r="B30">
        <v>5259</v>
      </c>
      <c r="C30">
        <v>5258</v>
      </c>
      <c r="D30">
        <v>5250</v>
      </c>
      <c r="E30">
        <v>5911</v>
      </c>
      <c r="F30">
        <v>5718</v>
      </c>
      <c r="G30">
        <v>6240</v>
      </c>
      <c r="I30">
        <v>1654</v>
      </c>
      <c r="J30">
        <v>1816</v>
      </c>
      <c r="K30">
        <v>1748</v>
      </c>
      <c r="M30">
        <f>K30*1.08</f>
        <v>1887.8400000000001</v>
      </c>
      <c r="P30">
        <f>SUM(I30:M30)*1.08</f>
        <v>7674.3072000000011</v>
      </c>
      <c r="Q30">
        <f>P30*1.06</f>
        <v>8134.7656320000015</v>
      </c>
      <c r="R30">
        <f t="shared" si="69"/>
        <v>8622.8515699200016</v>
      </c>
      <c r="S30">
        <f t="shared" si="70"/>
        <v>9053.9941484160026</v>
      </c>
      <c r="T30">
        <f t="shared" si="71"/>
        <v>9416.1539143526425</v>
      </c>
    </row>
    <row r="31" spans="1:20" x14ac:dyDescent="0.25">
      <c r="A31" s="3" t="s">
        <v>32</v>
      </c>
      <c r="B31">
        <v>4942</v>
      </c>
      <c r="C31">
        <v>5634</v>
      </c>
      <c r="D31">
        <v>5671</v>
      </c>
      <c r="E31">
        <v>5856</v>
      </c>
      <c r="F31">
        <v>5325</v>
      </c>
      <c r="G31">
        <v>4817</v>
      </c>
      <c r="I31">
        <v>1398</v>
      </c>
      <c r="J31">
        <v>1451</v>
      </c>
      <c r="K31">
        <v>1574</v>
      </c>
      <c r="M31">
        <f>K31*1.08</f>
        <v>1699.92</v>
      </c>
      <c r="P31">
        <f t="shared" ref="P28:P31" si="72">SUM(I31:M31)-(SUM(I31:M31)*0.2)</f>
        <v>4898.3360000000002</v>
      </c>
      <c r="Q31">
        <f t="shared" si="68"/>
        <v>5241.2195200000006</v>
      </c>
      <c r="R31">
        <f t="shared" si="69"/>
        <v>5555.6926912000008</v>
      </c>
      <c r="S31">
        <f t="shared" si="70"/>
        <v>5833.4773257600009</v>
      </c>
      <c r="T31">
        <f t="shared" si="71"/>
        <v>6066.8164187904013</v>
      </c>
    </row>
    <row r="32" spans="1:20" s="2" customFormat="1" x14ac:dyDescent="0.25">
      <c r="A32" s="2" t="s">
        <v>33</v>
      </c>
      <c r="B32" s="2">
        <f>SUM(B27:B31)</f>
        <v>25369</v>
      </c>
      <c r="C32" s="2">
        <f t="shared" ref="C32:G32" si="73">SUM(C27:C31)</f>
        <v>26693</v>
      </c>
      <c r="D32" s="2">
        <f t="shared" si="73"/>
        <v>28864</v>
      </c>
      <c r="E32" s="2">
        <f t="shared" si="73"/>
        <v>31554</v>
      </c>
      <c r="F32" s="2">
        <f t="shared" si="73"/>
        <v>27061</v>
      </c>
      <c r="G32" s="2">
        <f t="shared" si="73"/>
        <v>33110</v>
      </c>
      <c r="I32" s="2">
        <f t="shared" ref="I32" si="74">SUM(I27:I31)</f>
        <v>9056</v>
      </c>
      <c r="J32" s="2">
        <f t="shared" ref="J32" si="75">SUM(J27:J31)</f>
        <v>10442</v>
      </c>
      <c r="K32" s="2">
        <f t="shared" ref="K32" si="76">SUM(K27:K31)</f>
        <v>10319</v>
      </c>
      <c r="M32" s="2">
        <f t="shared" ref="M32" si="77">SUM(M27:M31)</f>
        <v>11144.52</v>
      </c>
      <c r="P32" s="2">
        <f t="shared" ref="P32" si="78">SUM(P27:P31)</f>
        <v>41916.356400000004</v>
      </c>
      <c r="Q32" s="2">
        <f t="shared" ref="Q32" si="79">SUM(Q27:Q31)</f>
        <v>44437.049736000001</v>
      </c>
      <c r="R32" s="2">
        <f t="shared" ref="R32" si="80">SUM(R27:R31)</f>
        <v>46869.821465760004</v>
      </c>
      <c r="S32" s="2">
        <f t="shared" ref="S32" si="81">SUM(S27:S31)</f>
        <v>49091.917886760006</v>
      </c>
      <c r="T32" s="2">
        <f t="shared" ref="T32" si="82">SUM(T27:T31)</f>
        <v>50929.344163850896</v>
      </c>
    </row>
    <row r="33" spans="1:20" x14ac:dyDescent="0.25">
      <c r="A33" s="3" t="s">
        <v>34</v>
      </c>
      <c r="B33">
        <f t="shared" ref="B33:D33" si="83">+B20-B25-B32</f>
        <v>8042</v>
      </c>
      <c r="C33">
        <f t="shared" si="83"/>
        <v>7425</v>
      </c>
      <c r="D33">
        <f t="shared" si="83"/>
        <v>8122</v>
      </c>
      <c r="E33">
        <f>+E20-E25-E32</f>
        <v>8429</v>
      </c>
      <c r="F33">
        <f t="shared" ref="F33:G33" si="84">+F20-F25-F32</f>
        <v>4296</v>
      </c>
      <c r="G33">
        <f t="shared" si="84"/>
        <v>10689</v>
      </c>
      <c r="I33">
        <f t="shared" ref="I33" si="85">+I20-I25-I32</f>
        <v>2712</v>
      </c>
      <c r="J33">
        <f t="shared" ref="J33" si="86">+J20-J25-J32</f>
        <v>2543</v>
      </c>
      <c r="K33">
        <f t="shared" ref="K33" si="87">+K20-K25-K32</f>
        <v>2459</v>
      </c>
      <c r="M33" s="6">
        <f t="shared" ref="M33" si="88">+M20-M25-M32</f>
        <v>2731.7700000000004</v>
      </c>
      <c r="P33">
        <f t="shared" ref="P28:P33" si="89">SUM(I33:M33)-(SUM(I33:M33)*0.2)</f>
        <v>8356.616</v>
      </c>
      <c r="Q33">
        <f>P33-(P33*0.01)</f>
        <v>8273.0498399999997</v>
      </c>
      <c r="R33">
        <f>Q33-(Q33*0.08)</f>
        <v>7611.2058527999998</v>
      </c>
      <c r="S33">
        <f>R33-(R33*0.1)</f>
        <v>6850.0852675199994</v>
      </c>
      <c r="T33">
        <f>S33*1.025</f>
        <v>7021.3373992079987</v>
      </c>
    </row>
    <row r="34" spans="1:20" x14ac:dyDescent="0.25">
      <c r="A34" s="3" t="s">
        <v>35</v>
      </c>
      <c r="B34">
        <v>2667</v>
      </c>
      <c r="C34">
        <v>4677</v>
      </c>
      <c r="D34">
        <v>1201</v>
      </c>
      <c r="E34">
        <v>1670</v>
      </c>
      <c r="F34">
        <v>1161</v>
      </c>
      <c r="G34">
        <v>2629</v>
      </c>
      <c r="I34">
        <v>613</v>
      </c>
      <c r="J34">
        <v>579</v>
      </c>
      <c r="K34">
        <v>580</v>
      </c>
      <c r="M34">
        <f>K34*1.05</f>
        <v>609</v>
      </c>
      <c r="P34">
        <f>SUM(I34:M34)*1.01</f>
        <v>2404.81</v>
      </c>
      <c r="Q34">
        <f>P34*1.025</f>
        <v>2464.9302499999999</v>
      </c>
      <c r="R34">
        <f t="shared" ref="R34:T34" si="90">Q34*1.025</f>
        <v>2526.5535062499998</v>
      </c>
      <c r="S34">
        <f t="shared" si="90"/>
        <v>2589.7173439062494</v>
      </c>
      <c r="T34">
        <f t="shared" si="90"/>
        <v>2654.4602775039052</v>
      </c>
    </row>
    <row r="35" spans="1:20" s="2" customFormat="1" x14ac:dyDescent="0.25">
      <c r="A35" s="2" t="s">
        <v>36</v>
      </c>
      <c r="B35" s="2">
        <f t="shared" ref="B35:E35" si="91">B20-B25-B32-B34</f>
        <v>5375</v>
      </c>
      <c r="C35" s="2">
        <f t="shared" si="91"/>
        <v>2748</v>
      </c>
      <c r="D35" s="2">
        <f t="shared" si="91"/>
        <v>6921</v>
      </c>
      <c r="E35" s="2">
        <f t="shared" si="91"/>
        <v>6759</v>
      </c>
      <c r="F35" s="2">
        <f>F20-F25-F32-F34</f>
        <v>3135</v>
      </c>
      <c r="G35" s="2">
        <f>G20-G25-G32-G34</f>
        <v>8060</v>
      </c>
      <c r="I35" s="2">
        <f>I20-I25-I32-I34</f>
        <v>2099</v>
      </c>
      <c r="J35" s="2">
        <f>J20-J25-J32-J34</f>
        <v>1964</v>
      </c>
      <c r="K35" s="2">
        <f>K20-K25-K32-K34</f>
        <v>1879</v>
      </c>
      <c r="M35" s="10">
        <f t="shared" ref="M35" si="92">M33-M34</f>
        <v>2122.7700000000004</v>
      </c>
      <c r="P35" s="2">
        <f t="shared" ref="P35:T35" si="93">P20-P25-P32-P34</f>
        <v>10134.001500000004</v>
      </c>
      <c r="Q35" s="2">
        <f t="shared" si="93"/>
        <v>10342.660012999999</v>
      </c>
      <c r="R35" s="2">
        <f t="shared" si="93"/>
        <v>10744.740786749999</v>
      </c>
      <c r="S35" s="2">
        <f t="shared" si="93"/>
        <v>11614.228274946956</v>
      </c>
      <c r="T35" s="2">
        <f t="shared" si="93"/>
        <v>12643.353423421013</v>
      </c>
    </row>
    <row r="36" spans="1:20" x14ac:dyDescent="0.25">
      <c r="A36" s="3"/>
    </row>
    <row r="37" spans="1:20" x14ac:dyDescent="0.25">
      <c r="A37" s="3"/>
      <c r="P37">
        <v>5951.81</v>
      </c>
    </row>
    <row r="38" spans="1:20" x14ac:dyDescent="0.25">
      <c r="A38" s="2" t="s">
        <v>41</v>
      </c>
    </row>
    <row r="39" spans="1:20" x14ac:dyDescent="0.25">
      <c r="A39" s="3" t="s">
        <v>42</v>
      </c>
      <c r="B39" s="6">
        <f t="shared" ref="B39:D39" si="94">B35/B43</f>
        <v>5.760986066452304</v>
      </c>
      <c r="C39" s="6">
        <f t="shared" si="94"/>
        <v>3.1121177802944509</v>
      </c>
      <c r="D39" s="6">
        <f t="shared" si="94"/>
        <v>8.0852803738317753</v>
      </c>
      <c r="E39" s="6">
        <f>E35/E43</f>
        <v>8.1630434782608692</v>
      </c>
      <c r="F39" s="6">
        <f t="shared" ref="F39:G39" si="95">F35/F43</f>
        <v>3.8944099378881987</v>
      </c>
      <c r="G39" s="6">
        <f t="shared" si="95"/>
        <v>10.215462610899873</v>
      </c>
      <c r="I39" s="6">
        <f t="shared" ref="I39:M39" si="96">I35/I43</f>
        <v>2.7727873183619551</v>
      </c>
      <c r="J39" s="6">
        <f t="shared" si="96"/>
        <v>2.6117021276595747</v>
      </c>
      <c r="K39" s="6">
        <f t="shared" si="96"/>
        <v>2.5120320855614975</v>
      </c>
      <c r="L39" s="6"/>
      <c r="M39" s="6">
        <f t="shared" si="96"/>
        <v>2.8686081081081087</v>
      </c>
      <c r="P39" s="6">
        <f t="shared" ref="P39:T39" si="97">P35/P43</f>
        <v>13.694596621621628</v>
      </c>
      <c r="Q39" s="6">
        <f t="shared" si="97"/>
        <v>13.976567585135134</v>
      </c>
      <c r="R39" s="6">
        <f t="shared" si="97"/>
        <v>14.519919982094592</v>
      </c>
      <c r="S39" s="6">
        <f t="shared" si="97"/>
        <v>15.694903074252643</v>
      </c>
      <c r="T39" s="6">
        <f t="shared" si="97"/>
        <v>17.085612734352718</v>
      </c>
    </row>
    <row r="40" spans="1:20" x14ac:dyDescent="0.25">
      <c r="A40" s="3" t="s">
        <v>43</v>
      </c>
      <c r="B40" s="6">
        <f t="shared" ref="B40:D40" si="98">B35/B44</f>
        <v>5.7486631016042784</v>
      </c>
      <c r="C40" s="6">
        <f t="shared" si="98"/>
        <v>3.1015801354401806</v>
      </c>
      <c r="D40" s="6">
        <f t="shared" si="98"/>
        <v>8.0570430733410952</v>
      </c>
      <c r="E40" s="6">
        <f>E35/E44</f>
        <v>8.1433734939759042</v>
      </c>
      <c r="F40" s="6">
        <f t="shared" ref="F40:G40" si="99">F35/F44</f>
        <v>3.8895781637717119</v>
      </c>
      <c r="G40" s="6">
        <f t="shared" si="99"/>
        <v>10.20253164556962</v>
      </c>
      <c r="I40" s="6">
        <f t="shared" ref="I40:M40" si="100">I35/I44</f>
        <v>2.7691292875989446</v>
      </c>
      <c r="J40" s="6">
        <f t="shared" si="100"/>
        <v>2.6082337317397077</v>
      </c>
      <c r="K40" s="6">
        <f t="shared" si="100"/>
        <v>2.5086782376502001</v>
      </c>
      <c r="L40" s="6"/>
      <c r="M40" s="6">
        <f t="shared" si="100"/>
        <v>2.8493557046979872</v>
      </c>
      <c r="P40" s="6">
        <f t="shared" ref="P40:T40" si="101">P35/P44</f>
        <v>13.602686577181213</v>
      </c>
      <c r="Q40" s="6">
        <f t="shared" si="101"/>
        <v>13.882765118120803</v>
      </c>
      <c r="R40" s="6">
        <f t="shared" si="101"/>
        <v>14.422470854697984</v>
      </c>
      <c r="S40" s="6">
        <f t="shared" si="101"/>
        <v>15.589568154291216</v>
      </c>
      <c r="T40" s="6">
        <f t="shared" si="101"/>
        <v>16.970944192511428</v>
      </c>
    </row>
    <row r="41" spans="1:20" x14ac:dyDescent="0.25">
      <c r="A41" s="3"/>
    </row>
    <row r="42" spans="1:20" x14ac:dyDescent="0.25">
      <c r="A42" s="2" t="s">
        <v>44</v>
      </c>
    </row>
    <row r="43" spans="1:20" x14ac:dyDescent="0.25">
      <c r="A43" s="3" t="s">
        <v>42</v>
      </c>
      <c r="B43">
        <v>933</v>
      </c>
      <c r="C43">
        <v>883</v>
      </c>
      <c r="D43">
        <v>856</v>
      </c>
      <c r="E43">
        <v>828</v>
      </c>
      <c r="F43">
        <v>805</v>
      </c>
      <c r="G43">
        <v>789</v>
      </c>
      <c r="I43">
        <v>757</v>
      </c>
      <c r="J43">
        <v>752</v>
      </c>
      <c r="K43">
        <v>748</v>
      </c>
      <c r="M43">
        <v>740</v>
      </c>
      <c r="P43">
        <f>M43</f>
        <v>740</v>
      </c>
      <c r="Q43">
        <f>P43</f>
        <v>740</v>
      </c>
      <c r="R43">
        <f t="shared" ref="R43:T43" si="102">Q43</f>
        <v>740</v>
      </c>
      <c r="S43">
        <f t="shared" si="102"/>
        <v>740</v>
      </c>
      <c r="T43">
        <f t="shared" si="102"/>
        <v>740</v>
      </c>
    </row>
    <row r="44" spans="1:20" x14ac:dyDescent="0.25">
      <c r="A44" s="3" t="s">
        <v>43</v>
      </c>
      <c r="B44">
        <v>935</v>
      </c>
      <c r="C44">
        <v>886</v>
      </c>
      <c r="D44">
        <v>859</v>
      </c>
      <c r="E44">
        <v>830</v>
      </c>
      <c r="F44">
        <v>806</v>
      </c>
      <c r="G44">
        <v>790</v>
      </c>
      <c r="I44">
        <v>758</v>
      </c>
      <c r="J44">
        <v>753</v>
      </c>
      <c r="K44">
        <v>749</v>
      </c>
      <c r="M44">
        <v>745</v>
      </c>
      <c r="P44">
        <f>M44</f>
        <v>745</v>
      </c>
      <c r="Q44">
        <f>P44</f>
        <v>745</v>
      </c>
      <c r="R44">
        <f t="shared" ref="R44:T44" si="103">Q44</f>
        <v>745</v>
      </c>
      <c r="S44">
        <f t="shared" si="103"/>
        <v>745</v>
      </c>
      <c r="T44">
        <f t="shared" si="103"/>
        <v>745</v>
      </c>
    </row>
    <row r="45" spans="1:20" x14ac:dyDescent="0.25">
      <c r="A45" s="3"/>
    </row>
    <row r="46" spans="1:20" x14ac:dyDescent="0.25">
      <c r="A46" s="3"/>
    </row>
    <row r="47" spans="1:20" x14ac:dyDescent="0.25">
      <c r="A47" s="3" t="s">
        <v>46</v>
      </c>
      <c r="B47" s="8"/>
      <c r="C47" s="8">
        <f>C14/B14-1</f>
        <v>4.9726731820262327E-2</v>
      </c>
      <c r="D47" s="8">
        <f t="shared" ref="D47:G47" si="104">D14/C14-1</f>
        <v>0.11005385996409345</v>
      </c>
      <c r="E47" s="8">
        <f t="shared" si="104"/>
        <v>8.6388946650955312E-2</v>
      </c>
      <c r="F47" s="8">
        <f t="shared" si="104"/>
        <v>-0.18789876648234793</v>
      </c>
      <c r="G47" s="8">
        <f t="shared" si="104"/>
        <v>0.14345947361529388</v>
      </c>
      <c r="I47" s="11"/>
      <c r="J47" s="11"/>
      <c r="K47" s="11"/>
      <c r="M47" s="11"/>
      <c r="Q47" s="8">
        <f>Q14/P14-1</f>
        <v>5.1256014924864424E-2</v>
      </c>
      <c r="R47" s="8">
        <f t="shared" ref="R47:T47" si="105">R14/Q14-1</f>
        <v>5.0306644764880559E-2</v>
      </c>
      <c r="S47" s="8">
        <f t="shared" si="105"/>
        <v>5.0452236835576425E-2</v>
      </c>
      <c r="T47" s="8">
        <f t="shared" si="105"/>
        <v>4.4826034575760509E-2</v>
      </c>
    </row>
    <row r="48" spans="1:20" x14ac:dyDescent="0.25">
      <c r="A48" s="3" t="s">
        <v>47</v>
      </c>
      <c r="B48" s="8">
        <f>B20/B14</f>
        <v>0.95409633039872921</v>
      </c>
      <c r="C48" s="8">
        <f t="shared" ref="C48:M48" si="106">C20/C14</f>
        <v>0.9458322646832521</v>
      </c>
      <c r="D48" s="8">
        <f t="shared" si="106"/>
        <v>0.93200249532127266</v>
      </c>
      <c r="E48" s="8">
        <f t="shared" si="106"/>
        <v>0.92632922160782649</v>
      </c>
      <c r="F48" s="8">
        <f t="shared" si="106"/>
        <v>0.94505695953908608</v>
      </c>
      <c r="G48" s="8">
        <f t="shared" si="106"/>
        <v>0.97061585323958499</v>
      </c>
      <c r="I48" s="8">
        <f t="shared" si="106"/>
        <v>0.97337425348374251</v>
      </c>
      <c r="J48" s="8">
        <f t="shared" si="106"/>
        <v>0.96826658956194878</v>
      </c>
      <c r="K48" s="8">
        <f t="shared" si="106"/>
        <v>0.94453734671125977</v>
      </c>
      <c r="L48" s="8"/>
      <c r="M48" s="8">
        <f t="shared" si="106"/>
        <v>0.94543252915406928</v>
      </c>
      <c r="P48" s="8">
        <f t="shared" ref="P48:T48" si="107">P20/P14</f>
        <v>0.95766951344209583</v>
      </c>
      <c r="Q48" s="8">
        <f t="shared" si="107"/>
        <v>0.95852542051066647</v>
      </c>
      <c r="R48" s="8">
        <f t="shared" si="107"/>
        <v>0.95932729066607347</v>
      </c>
      <c r="S48" s="8">
        <f t="shared" si="107"/>
        <v>0.96011918567554855</v>
      </c>
      <c r="T48" s="8">
        <f t="shared" si="107"/>
        <v>0.9606850926423709</v>
      </c>
    </row>
    <row r="49" spans="1:23" s="8" customFormat="1" x14ac:dyDescent="0.25">
      <c r="A49" s="8" t="s">
        <v>54</v>
      </c>
      <c r="B49" s="8">
        <f>(+B14-B32)/B14</f>
        <v>0.31699108849581348</v>
      </c>
      <c r="C49" s="8">
        <f t="shared" ref="C49:M49" si="108">(+C14-C32)/C14</f>
        <v>0.31538856116953062</v>
      </c>
      <c r="D49" s="8">
        <f t="shared" si="108"/>
        <v>0.33310228506735057</v>
      </c>
      <c r="E49" s="8">
        <f t="shared" si="108"/>
        <v>0.32892386218630371</v>
      </c>
      <c r="F49" s="8">
        <f t="shared" si="108"/>
        <v>0.2913185805944743</v>
      </c>
      <c r="G49" s="8">
        <f t="shared" si="108"/>
        <v>0.24169205047752101</v>
      </c>
      <c r="I49" s="8">
        <f t="shared" si="108"/>
        <v>0.24883875248838752</v>
      </c>
      <c r="J49" s="8">
        <f t="shared" si="108"/>
        <v>0.24519300274685557</v>
      </c>
      <c r="K49" s="8">
        <f t="shared" si="108"/>
        <v>0.28100613154960979</v>
      </c>
      <c r="M49" s="8">
        <f t="shared" si="108"/>
        <v>0.28371228481520333</v>
      </c>
      <c r="P49" s="8">
        <f t="shared" ref="P49:T49" si="109">(+P14-P32)/P14</f>
        <v>0.29060460533083188</v>
      </c>
      <c r="Q49" s="8">
        <f t="shared" si="109"/>
        <v>0.28461214285212882</v>
      </c>
      <c r="R49" s="8">
        <f t="shared" si="109"/>
        <v>0.28158807459481866</v>
      </c>
      <c r="S49" s="8">
        <f t="shared" si="109"/>
        <v>0.28366870897418489</v>
      </c>
      <c r="T49" s="8">
        <f t="shared" si="109"/>
        <v>0.28874059613400621</v>
      </c>
    </row>
    <row r="50" spans="1:23" ht="15.75" thickBot="1" x14ac:dyDescent="0.3">
      <c r="A50" s="3"/>
    </row>
    <row r="51" spans="1:23" x14ac:dyDescent="0.25">
      <c r="A51" s="3"/>
      <c r="B51" s="20"/>
      <c r="C51" s="21"/>
      <c r="D51" s="21"/>
      <c r="O51" s="20"/>
      <c r="P51" s="21"/>
      <c r="V51" s="16" t="s">
        <v>55</v>
      </c>
      <c r="W51" s="14">
        <f>T35*(1+0.025)/(0.12-0.025)</f>
        <v>136415.12904217409</v>
      </c>
    </row>
    <row r="52" spans="1:23" x14ac:dyDescent="0.25">
      <c r="A52" s="3"/>
      <c r="B52" s="20"/>
      <c r="C52" s="22"/>
      <c r="D52" s="21"/>
      <c r="O52" s="20"/>
      <c r="P52" s="22"/>
      <c r="V52" s="17"/>
      <c r="W52" s="18">
        <f>SUM(W51,P35:T35)</f>
        <v>191894.11304029202</v>
      </c>
    </row>
    <row r="53" spans="1:23" x14ac:dyDescent="0.25">
      <c r="A53" s="3"/>
      <c r="B53" s="20"/>
      <c r="C53" s="23"/>
      <c r="D53" s="21"/>
      <c r="O53" s="20"/>
      <c r="P53" s="23"/>
      <c r="V53" s="17" t="s">
        <v>56</v>
      </c>
      <c r="W53" s="19">
        <f>NPV(0.12,P35:T35,W52)</f>
        <v>136715.97507600987</v>
      </c>
    </row>
    <row r="54" spans="1:23" x14ac:dyDescent="0.25">
      <c r="A54" s="3"/>
      <c r="B54" s="24"/>
      <c r="C54" s="21"/>
      <c r="D54" s="21"/>
      <c r="O54" s="24"/>
      <c r="P54" s="21"/>
      <c r="V54" s="12" t="s">
        <v>57</v>
      </c>
      <c r="W54" s="15">
        <f>Main!C13</f>
        <v>22028</v>
      </c>
    </row>
    <row r="55" spans="1:23" x14ac:dyDescent="0.25">
      <c r="A55" s="3"/>
      <c r="B55" s="24"/>
      <c r="C55" s="21"/>
      <c r="D55" s="21"/>
      <c r="O55" s="24"/>
      <c r="P55" s="21"/>
      <c r="V55" s="12" t="s">
        <v>58</v>
      </c>
      <c r="W55" s="15">
        <f>Main!C14</f>
        <v>38675</v>
      </c>
    </row>
    <row r="56" spans="1:23" x14ac:dyDescent="0.25">
      <c r="A56" s="3"/>
      <c r="B56" s="24"/>
      <c r="C56" s="23"/>
      <c r="D56" s="21"/>
      <c r="O56" s="24"/>
      <c r="P56" s="23"/>
      <c r="V56" s="12" t="s">
        <v>59</v>
      </c>
      <c r="W56" s="19">
        <f>W53+W54-W55</f>
        <v>120068.97507600987</v>
      </c>
    </row>
    <row r="57" spans="1:23" x14ac:dyDescent="0.25">
      <c r="A57" s="3"/>
      <c r="B57" s="24"/>
      <c r="C57" s="21"/>
      <c r="D57" s="21"/>
      <c r="O57" s="24"/>
      <c r="P57" s="21"/>
      <c r="V57" s="12" t="s">
        <v>60</v>
      </c>
      <c r="W57" s="15">
        <f>M44</f>
        <v>745</v>
      </c>
    </row>
    <row r="58" spans="1:23" x14ac:dyDescent="0.25">
      <c r="A58" s="3"/>
      <c r="B58" s="24"/>
      <c r="C58" s="21"/>
      <c r="D58" s="21"/>
      <c r="O58" s="24"/>
      <c r="P58" s="21"/>
      <c r="V58" s="12" t="s">
        <v>61</v>
      </c>
      <c r="W58" s="19">
        <f>W56/W57</f>
        <v>161.16640949799984</v>
      </c>
    </row>
    <row r="59" spans="1:23" ht="15.75" thickBot="1" x14ac:dyDescent="0.3">
      <c r="A59" s="3"/>
      <c r="B59" s="24"/>
      <c r="C59" s="21"/>
      <c r="D59" s="21"/>
      <c r="O59" s="24"/>
      <c r="P59" s="21"/>
      <c r="V59" s="13" t="s">
        <v>62</v>
      </c>
      <c r="W59" s="25">
        <f>W58/Main!C10-1</f>
        <v>4.673903681236502E-2</v>
      </c>
    </row>
    <row r="60" spans="1:23" x14ac:dyDescent="0.25">
      <c r="A60" s="3"/>
      <c r="B60" s="21"/>
      <c r="C60" s="21"/>
      <c r="D60" s="21"/>
    </row>
    <row r="61" spans="1:23" x14ac:dyDescent="0.25">
      <c r="A61" s="3"/>
    </row>
    <row r="62" spans="1:23" x14ac:dyDescent="0.25">
      <c r="A62" s="3"/>
    </row>
    <row r="63" spans="1:23" x14ac:dyDescent="0.25">
      <c r="A63" s="3"/>
    </row>
    <row r="64" spans="1:23"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sheetData>
  <hyperlinks>
    <hyperlink ref="A1" location="Main!A1" display="Main" xr:uid="{13E7B54D-1F3A-489C-AE87-2DE8044BCFF7}"/>
  </hyperlink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A0E8-4F7C-4EFA-BF36-97E8065961E4}">
  <sheetPr>
    <tabColor theme="1" tint="4.9989318521683403E-2"/>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0D82D-0B8E-4ECE-8BF5-35AA2773E258}">
  <sheetPr>
    <tabColor theme="7" tint="0.59999389629810485"/>
  </sheetPr>
  <dimension ref="A1"/>
  <sheetViews>
    <sheetView workbookViewId="0">
      <selection activeCell="L2" sqref="L2"/>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8444-1A9D-4A7C-8BB2-D38170819C78}">
  <sheetPr>
    <tabColor theme="7" tint="0.59999389629810485"/>
  </sheetPr>
  <dimension ref="A1"/>
  <sheetViews>
    <sheetView workbookViewId="0">
      <selection activeCell="E2" sqref="E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Model</vt:lpstr>
      <vt:lpstr>SUPPORTING DOCS -&gt;</vt:lpstr>
      <vt:lpstr>INCOME_STATEMENT_HISTORICAL</vt:lpstr>
      <vt:lpstr>BALANCE_SHEET_HISTORICAL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Morton, Joshua</dc:creator>
  <cp:lastModifiedBy>Morton, Joshua</cp:lastModifiedBy>
  <dcterms:created xsi:type="dcterms:W3CDTF">2022-11-14T18:51:33Z</dcterms:created>
  <dcterms:modified xsi:type="dcterms:W3CDTF">2022-11-14T21:22:47Z</dcterms:modified>
</cp:coreProperties>
</file>