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s\Morton, J\Training Notes &amp; Materials\"/>
    </mc:Choice>
  </mc:AlternateContent>
  <xr:revisionPtr revIDLastSave="0" documentId="8_{83383C3E-A802-4A00-9B8A-540C347DDA7C}" xr6:coauthVersionLast="47" xr6:coauthVersionMax="47" xr10:uidLastSave="{00000000-0000-0000-0000-000000000000}"/>
  <bookViews>
    <workbookView xWindow="-120" yWindow="-120" windowWidth="29040" windowHeight="15840" activeTab="1" xr2:uid="{DEB47EC6-437F-4FC4-B780-CAD9EE15C5F4}"/>
  </bookViews>
  <sheets>
    <sheet name="Main" sheetId="1" r:id="rId1"/>
    <sheet name="Model" sheetId="2" r:id="rId2"/>
    <sheet name="SUPPORTING DOCS -&gt;" sheetId="3" r:id="rId3"/>
    <sheet name="Q2 2023 " sheetId="6" r:id="rId4"/>
    <sheet name="INCOME_STATEMENT_HISTORICAL" sheetId="4" r:id="rId5"/>
    <sheet name="BALANCE_SHEET_HISTORIC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9" i="2" l="1"/>
  <c r="V3" i="2"/>
  <c r="W3" i="2" s="1"/>
  <c r="X3" i="2" s="1"/>
  <c r="Y3" i="2" s="1"/>
  <c r="U5" i="2"/>
  <c r="U7" i="2" s="1"/>
  <c r="Q7" i="2"/>
  <c r="Q30" i="2" s="1"/>
  <c r="Q5" i="2"/>
  <c r="Q29" i="2" s="1"/>
  <c r="Y38" i="2"/>
  <c r="Y36" i="2"/>
  <c r="Y35" i="2"/>
  <c r="V6" i="2"/>
  <c r="W6" i="2" s="1"/>
  <c r="X6" i="2" s="1"/>
  <c r="Y6" i="2" s="1"/>
  <c r="V15" i="2"/>
  <c r="W15" i="2" s="1"/>
  <c r="X15" i="2" s="1"/>
  <c r="V12" i="2"/>
  <c r="W12" i="2" s="1"/>
  <c r="X12" i="2" s="1"/>
  <c r="Y12" i="2" s="1"/>
  <c r="V9" i="2"/>
  <c r="W9" i="2" s="1"/>
  <c r="X9" i="2" s="1"/>
  <c r="Y9" i="2" s="1"/>
  <c r="V8" i="2"/>
  <c r="W8" i="2" s="1"/>
  <c r="X8" i="2" s="1"/>
  <c r="Y8" i="2" s="1"/>
  <c r="V1" i="2"/>
  <c r="W1" i="2" s="1"/>
  <c r="X1" i="2" s="1"/>
  <c r="Y1" i="2" s="1"/>
  <c r="C6" i="1"/>
  <c r="C7" i="1"/>
  <c r="C4" i="1"/>
  <c r="C5" i="1" s="1"/>
  <c r="O4" i="2"/>
  <c r="O3" i="2"/>
  <c r="O26" i="2"/>
  <c r="O25" i="2"/>
  <c r="O17" i="2"/>
  <c r="O15" i="2"/>
  <c r="O12" i="2"/>
  <c r="O13" i="2"/>
  <c r="S5" i="2"/>
  <c r="S7" i="2" s="1"/>
  <c r="S11" i="2" s="1"/>
  <c r="O9" i="2"/>
  <c r="O8" i="2"/>
  <c r="O6" i="2"/>
  <c r="L5" i="2"/>
  <c r="L7" i="2" s="1"/>
  <c r="L11" i="2" s="1"/>
  <c r="L14" i="2" s="1"/>
  <c r="L16" i="2" s="1"/>
  <c r="L18" i="2" s="1"/>
  <c r="L22" i="2" s="1"/>
  <c r="M5" i="2"/>
  <c r="M7" i="2" s="1"/>
  <c r="M11" i="2" s="1"/>
  <c r="M14" i="2" s="1"/>
  <c r="M16" i="2" s="1"/>
  <c r="M18" i="2" s="1"/>
  <c r="M21" i="2" s="1"/>
  <c r="J5" i="2"/>
  <c r="J7" i="2" s="1"/>
  <c r="J11" i="2" s="1"/>
  <c r="J14" i="2" s="1"/>
  <c r="I5" i="2"/>
  <c r="I7" i="2" s="1"/>
  <c r="I11" i="2" s="1"/>
  <c r="I14" i="2" s="1"/>
  <c r="H5" i="2"/>
  <c r="H7" i="2" s="1"/>
  <c r="H11" i="2" s="1"/>
  <c r="H14" i="2" s="1"/>
  <c r="G5" i="2"/>
  <c r="G7" i="2" s="1"/>
  <c r="G11" i="2" s="1"/>
  <c r="G14" i="2" s="1"/>
  <c r="F5" i="2"/>
  <c r="F7" i="2" s="1"/>
  <c r="F11" i="2" s="1"/>
  <c r="F14" i="2" s="1"/>
  <c r="E5" i="2"/>
  <c r="E7" i="2" s="1"/>
  <c r="E11" i="2" s="1"/>
  <c r="E14" i="2" s="1"/>
  <c r="D5" i="2"/>
  <c r="C5" i="2"/>
  <c r="B5" i="2"/>
  <c r="D7" i="2"/>
  <c r="D11" i="2" s="1"/>
  <c r="D14" i="2" s="1"/>
  <c r="D16" i="2" s="1"/>
  <c r="D18" i="2" s="1"/>
  <c r="D21" i="2" s="1"/>
  <c r="C7" i="2"/>
  <c r="C11" i="2" s="1"/>
  <c r="C14" i="2" s="1"/>
  <c r="C16" i="2" s="1"/>
  <c r="C18" i="2" s="1"/>
  <c r="C22" i="2" s="1"/>
  <c r="B7" i="2"/>
  <c r="B11" i="2" s="1"/>
  <c r="B14" i="2" s="1"/>
  <c r="B16" i="2" s="1"/>
  <c r="B18" i="2" s="1"/>
  <c r="B22" i="2" s="1"/>
  <c r="C2" i="2"/>
  <c r="D2" i="2" s="1"/>
  <c r="E2" i="2" s="1"/>
  <c r="F2" i="2" s="1"/>
  <c r="G2" i="2" s="1"/>
  <c r="H2" i="2" s="1"/>
  <c r="I2" i="2" s="1"/>
  <c r="J2" i="2" s="1"/>
  <c r="Z35" i="2"/>
  <c r="Z40" i="2"/>
  <c r="Z34" i="2"/>
  <c r="Z37" i="2"/>
  <c r="Z36" i="2"/>
  <c r="Z39" i="2"/>
  <c r="Z32" i="2"/>
  <c r="Z33" i="2"/>
  <c r="Z38" i="2"/>
  <c r="U30" i="2" l="1"/>
  <c r="U11" i="2"/>
  <c r="U14" i="2" s="1"/>
  <c r="U16" i="2" s="1"/>
  <c r="U18" i="2" s="1"/>
  <c r="V25" i="2"/>
  <c r="W25" i="2" s="1"/>
  <c r="X25" i="2" s="1"/>
  <c r="Y25" i="2" s="1"/>
  <c r="V13" i="2"/>
  <c r="W13" i="2" s="1"/>
  <c r="X13" i="2" s="1"/>
  <c r="Y13" i="2" s="1"/>
  <c r="V26" i="2"/>
  <c r="W26" i="2" s="1"/>
  <c r="X26" i="2" s="1"/>
  <c r="Y26" i="2" s="1"/>
  <c r="Q11" i="2"/>
  <c r="Q14" i="2" s="1"/>
  <c r="Q16" i="2" s="1"/>
  <c r="Q18" i="2" s="1"/>
  <c r="C29" i="2"/>
  <c r="H30" i="2"/>
  <c r="D29" i="2"/>
  <c r="H29" i="2"/>
  <c r="I29" i="2"/>
  <c r="I30" i="2"/>
  <c r="C21" i="2"/>
  <c r="C30" i="2"/>
  <c r="D22" i="2"/>
  <c r="L21" i="2"/>
  <c r="L30" i="2"/>
  <c r="B21" i="2"/>
  <c r="E29" i="2"/>
  <c r="E30" i="2"/>
  <c r="M22" i="2"/>
  <c r="F29" i="2"/>
  <c r="M29" i="2"/>
  <c r="F30" i="2"/>
  <c r="B30" i="2"/>
  <c r="M30" i="2"/>
  <c r="G29" i="2"/>
  <c r="G30" i="2"/>
  <c r="J29" i="2"/>
  <c r="D30" i="2"/>
  <c r="J30" i="2"/>
  <c r="V4" i="2"/>
  <c r="W4" i="2" s="1"/>
  <c r="X4" i="2" s="1"/>
  <c r="Y4" i="2" s="1"/>
  <c r="Y15" i="2"/>
  <c r="O5" i="2"/>
  <c r="J16" i="2"/>
  <c r="J18" i="2" s="1"/>
  <c r="I16" i="2"/>
  <c r="I18" i="2" s="1"/>
  <c r="H16" i="2"/>
  <c r="H18" i="2" s="1"/>
  <c r="F16" i="2"/>
  <c r="F18" i="2" s="1"/>
  <c r="G16" i="2"/>
  <c r="G18" i="2" s="1"/>
  <c r="E16" i="2"/>
  <c r="E18" i="2" s="1"/>
  <c r="U21" i="2" l="1"/>
  <c r="U22" i="2"/>
  <c r="Q22" i="2"/>
  <c r="Q21" i="2"/>
  <c r="E21" i="2"/>
  <c r="E22" i="2"/>
  <c r="G21" i="2"/>
  <c r="G22" i="2"/>
  <c r="F22" i="2"/>
  <c r="F21" i="2"/>
  <c r="H21" i="2"/>
  <c r="H22" i="2"/>
  <c r="O7" i="2"/>
  <c r="O29" i="2"/>
  <c r="I22" i="2"/>
  <c r="I21" i="2"/>
  <c r="J21" i="2"/>
  <c r="J22" i="2"/>
  <c r="V5" i="2"/>
  <c r="W5" i="2"/>
  <c r="W7" i="2" l="1"/>
  <c r="W29" i="2"/>
  <c r="V7" i="2"/>
  <c r="V29" i="2"/>
  <c r="O11" i="2"/>
  <c r="O14" i="2" s="1"/>
  <c r="O16" i="2" s="1"/>
  <c r="O18" i="2" s="1"/>
  <c r="O30" i="2"/>
  <c r="Y5" i="2"/>
  <c r="X5" i="2"/>
  <c r="O22" i="2" l="1"/>
  <c r="O21" i="2"/>
  <c r="Y7" i="2"/>
  <c r="Y29" i="2"/>
  <c r="X7" i="2"/>
  <c r="X29" i="2"/>
  <c r="V11" i="2"/>
  <c r="V14" i="2" s="1"/>
  <c r="V16" i="2" s="1"/>
  <c r="V18" i="2" s="1"/>
  <c r="V30" i="2"/>
  <c r="W11" i="2"/>
  <c r="W14" i="2" s="1"/>
  <c r="W16" i="2" s="1"/>
  <c r="W18" i="2" s="1"/>
  <c r="W30" i="2"/>
  <c r="X11" i="2" l="1"/>
  <c r="X14" i="2" s="1"/>
  <c r="X16" i="2" s="1"/>
  <c r="X18" i="2" s="1"/>
  <c r="X30" i="2"/>
  <c r="W21" i="2"/>
  <c r="W22" i="2"/>
  <c r="Y11" i="2"/>
  <c r="Y14" i="2" s="1"/>
  <c r="Y16" i="2" s="1"/>
  <c r="Y18" i="2" s="1"/>
  <c r="Y32" i="2" s="1"/>
  <c r="Y30" i="2"/>
  <c r="V22" i="2"/>
  <c r="V21" i="2"/>
  <c r="Y33" i="2" l="1"/>
  <c r="Y34" i="2" s="1"/>
  <c r="Y37" i="2" s="1"/>
  <c r="Y39" i="2" s="1"/>
  <c r="Y40" i="2" s="1"/>
  <c r="X22" i="2"/>
  <c r="X21" i="2"/>
  <c r="Y22" i="2"/>
  <c r="Y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Morton</author>
  </authors>
  <commentList>
    <comment ref="S3" authorId="0" shapeId="0" xr:uid="{80896E0A-B9D4-4174-A00C-C22226615EB2}">
      <text>
        <r>
          <rPr>
            <b/>
            <sz val="9"/>
            <color indexed="81"/>
            <rFont val="Tahoma"/>
            <family val="2"/>
          </rPr>
          <t>Josh Morton:</t>
        </r>
        <r>
          <rPr>
            <sz val="9"/>
            <color indexed="81"/>
            <rFont val="Tahoma"/>
            <family val="2"/>
          </rPr>
          <t xml:space="preserve">
Update once released</t>
        </r>
      </text>
    </comment>
  </commentList>
</comments>
</file>

<file path=xl/sharedStrings.xml><?xml version="1.0" encoding="utf-8"?>
<sst xmlns="http://schemas.openxmlformats.org/spreadsheetml/2006/main" count="54" uniqueCount="44">
  <si>
    <t>Stock</t>
  </si>
  <si>
    <t>Price</t>
  </si>
  <si>
    <t>Shares</t>
  </si>
  <si>
    <t>Market Cap</t>
  </si>
  <si>
    <t>Cash</t>
  </si>
  <si>
    <t>Debt</t>
  </si>
  <si>
    <t>TGT</t>
  </si>
  <si>
    <t>Main</t>
  </si>
  <si>
    <t>Sales</t>
  </si>
  <si>
    <t>Cost of sales</t>
  </si>
  <si>
    <t>Gross Margin</t>
  </si>
  <si>
    <t>Selling, general, admin</t>
  </si>
  <si>
    <t>Depreciation &amp; amortization</t>
  </si>
  <si>
    <t>Gain on sale</t>
  </si>
  <si>
    <t>Net interest expense</t>
  </si>
  <si>
    <t>Earnings from cont. operations before income taxes</t>
  </si>
  <si>
    <t>Provision for income taxes</t>
  </si>
  <si>
    <t>Net earnings from continuing operations</t>
  </si>
  <si>
    <t>Discontinued operations, net of tax</t>
  </si>
  <si>
    <t>Net income</t>
  </si>
  <si>
    <t>EPS</t>
  </si>
  <si>
    <t>Basic</t>
  </si>
  <si>
    <t>Diluted</t>
  </si>
  <si>
    <t xml:space="preserve">Weighted average common shares outstanding </t>
  </si>
  <si>
    <t>Other revenue</t>
  </si>
  <si>
    <t>Total Revenue</t>
  </si>
  <si>
    <t>Other income, net</t>
  </si>
  <si>
    <t>2022 Q1</t>
  </si>
  <si>
    <t>2022 Q2</t>
  </si>
  <si>
    <t>Estimates</t>
  </si>
  <si>
    <t>Revenue y/y</t>
  </si>
  <si>
    <t>Terminal Value</t>
  </si>
  <si>
    <t>Enterprise Value</t>
  </si>
  <si>
    <t>(+) cash &amp; marketable securities</t>
  </si>
  <si>
    <t>(-) debt</t>
  </si>
  <si>
    <t>Equity Value</t>
  </si>
  <si>
    <t>Shares outstanding</t>
  </si>
  <si>
    <t>Intrinsic Value</t>
  </si>
  <si>
    <t>Upside</t>
  </si>
  <si>
    <t>&lt;- added inventory</t>
  </si>
  <si>
    <t>Q2 2023</t>
  </si>
  <si>
    <t>ACTUAL</t>
  </si>
  <si>
    <t>Earnings from cont. operations before interest expense &amp; income taxes (OPERATING INCOME)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</si>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</sst>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0" fontId="3" fillId="0" borderId="0" xfId="3" applyFill="1"/>
    <xf numFmtId="43" fontId="0" fillId="0" borderId="0" xfId="1" applyFont="1"/>
    <xf numFmtId="43" fontId="2" fillId="0" borderId="0" xfId="1" applyFont="1"/>
    <xf numFmtId="14" fontId="0" fillId="0" borderId="0" xfId="0" applyNumberFormat="1" applyAlignment="1">
      <alignment horizontal="right"/>
    </xf>
    <xf numFmtId="0" fontId="2" fillId="2" borderId="0" xfId="0" applyFont="1" applyFill="1" applyAlignment="1">
      <alignment horizontal="right"/>
    </xf>
    <xf numFmtId="43" fontId="1" fillId="0" borderId="0" xfId="1" applyFont="1"/>
    <xf numFmtId="43" fontId="0" fillId="0" borderId="0" xfId="0" applyNumberFormat="1"/>
    <xf numFmtId="10" fontId="0" fillId="0" borderId="0" xfId="2" applyNumberFormat="1" applyFont="1"/>
    <xf numFmtId="0" fontId="2" fillId="0" borderId="1" xfId="0" applyFont="1" applyBorder="1"/>
    <xf numFmtId="0" fontId="2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0" fillId="0" borderId="4" xfId="0" applyBorder="1"/>
    <xf numFmtId="43" fontId="0" fillId="0" borderId="5" xfId="0" applyNumberFormat="1" applyBorder="1"/>
    <xf numFmtId="43" fontId="0" fillId="0" borderId="6" xfId="0" applyNumberFormat="1" applyBorder="1"/>
    <xf numFmtId="8" fontId="0" fillId="0" borderId="6" xfId="0" applyNumberFormat="1" applyBorder="1"/>
    <xf numFmtId="0" fontId="0" fillId="0" borderId="6" xfId="0" applyBorder="1"/>
    <xf numFmtId="0" fontId="0" fillId="0" borderId="7" xfId="0" applyBorder="1"/>
    <xf numFmtId="9" fontId="0" fillId="0" borderId="8" xfId="2" applyFont="1" applyBorder="1"/>
    <xf numFmtId="14" fontId="0" fillId="3" borderId="0" xfId="0" applyNumberFormat="1" applyFill="1"/>
    <xf numFmtId="0" fontId="2" fillId="3" borderId="0" xfId="0" applyFont="1" applyFill="1"/>
    <xf numFmtId="43" fontId="0" fillId="3" borderId="0" xfId="0" applyNumberFormat="1" applyFill="1"/>
    <xf numFmtId="43" fontId="2" fillId="3" borderId="0" xfId="1" applyFont="1" applyFill="1"/>
    <xf numFmtId="43" fontId="0" fillId="3" borderId="0" xfId="1" applyFont="1" applyFill="1"/>
    <xf numFmtId="0" fontId="0" fillId="3" borderId="0" xfId="0" applyFill="1"/>
    <xf numFmtId="10" fontId="0" fillId="3" borderId="0" xfId="2" applyNumberFormat="1" applyFont="1" applyFill="1"/>
    <xf numFmtId="14" fontId="0" fillId="4" borderId="0" xfId="0" applyNumberFormat="1" applyFill="1"/>
    <xf numFmtId="0" fontId="2" fillId="4" borderId="0" xfId="0" applyFont="1" applyFill="1"/>
    <xf numFmtId="43" fontId="0" fillId="4" borderId="0" xfId="0" applyNumberFormat="1" applyFill="1"/>
    <xf numFmtId="43" fontId="2" fillId="4" borderId="0" xfId="1" applyFont="1" applyFill="1"/>
    <xf numFmtId="43" fontId="0" fillId="4" borderId="0" xfId="1" applyFont="1" applyFill="1"/>
    <xf numFmtId="0" fontId="0" fillId="4" borderId="0" xfId="0" applyFill="1"/>
    <xf numFmtId="10" fontId="0" fillId="4" borderId="0" xfId="2" applyNumberFormat="1" applyFont="1" applyFill="1"/>
    <xf numFmtId="0" fontId="2" fillId="2" borderId="0" xfId="0" applyFont="1" applyFill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0</xdr:row>
      <xdr:rowOff>19050</xdr:rowOff>
    </xdr:from>
    <xdr:to>
      <xdr:col>13</xdr:col>
      <xdr:colOff>114300</xdr:colOff>
      <xdr:row>32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BD99381-9F4F-6C49-EF70-52A9188121FF}"/>
            </a:ext>
          </a:extLst>
        </xdr:cNvPr>
        <xdr:cNvCxnSpPr/>
      </xdr:nvCxnSpPr>
      <xdr:spPr>
        <a:xfrm>
          <a:off x="13173075" y="19050"/>
          <a:ext cx="19050" cy="7277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85725</xdr:rowOff>
    </xdr:from>
    <xdr:to>
      <xdr:col>21</xdr:col>
      <xdr:colOff>19050</xdr:colOff>
      <xdr:row>26</xdr:row>
      <xdr:rowOff>95250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ACD08EF-E704-ED6A-4881-9628F8A62DDD}"/>
            </a:ext>
          </a:extLst>
        </xdr:cNvPr>
        <xdr:cNvCxnSpPr/>
      </xdr:nvCxnSpPr>
      <xdr:spPr>
        <a:xfrm>
          <a:off x="19050" y="6181725"/>
          <a:ext cx="17659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133350</xdr:rowOff>
    </xdr:from>
    <xdr:to>
      <xdr:col>15</xdr:col>
      <xdr:colOff>306072</xdr:colOff>
      <xdr:row>31</xdr:row>
      <xdr:rowOff>10305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005FB3-04E0-0BA6-CE9C-A2C88596B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323850"/>
          <a:ext cx="9116697" cy="5591955"/>
        </a:xfrm>
        <a:prstGeom prst="rect">
          <a:avLst/>
        </a:prstGeom>
      </xdr:spPr>
    </xdr:pic>
    <xdr:clientData/>
  </xdr:twoCellAnchor>
  <xdr:twoCellAnchor editAs="oneCell">
    <xdr:from>
      <xdr:col>15</xdr:col>
      <xdr:colOff>438150</xdr:colOff>
      <xdr:row>1</xdr:row>
      <xdr:rowOff>0</xdr:rowOff>
    </xdr:from>
    <xdr:to>
      <xdr:col>30</xdr:col>
      <xdr:colOff>401321</xdr:colOff>
      <xdr:row>45</xdr:row>
      <xdr:rowOff>67854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E36C65-F53F-1169-FD43-DCD646F69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2150" y="190500"/>
          <a:ext cx="9107171" cy="84498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382244</xdr:colOff>
      <xdr:row>43</xdr:row>
      <xdr:rowOff>58248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ADB89F-6CB7-4512-5A00-E0F46D327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916644" cy="786874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30</xdr:col>
      <xdr:colOff>448929</xdr:colOff>
      <xdr:row>43</xdr:row>
      <xdr:rowOff>115406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583697-899A-DAF9-3339-DADDD643A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381000"/>
          <a:ext cx="8983329" cy="7925906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45</xdr:col>
      <xdr:colOff>487034</xdr:colOff>
      <xdr:row>44</xdr:row>
      <xdr:rowOff>105906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A88128-10F2-805C-8CE8-F565571CC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97600" y="381000"/>
          <a:ext cx="9021434" cy="8106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30</xdr:col>
      <xdr:colOff>354942</xdr:colOff>
      <xdr:row>47</xdr:row>
      <xdr:rowOff>1196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316714-6B01-E71F-5DD7-FDB2A03C0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8033342" cy="8573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A296-F283-42BA-B266-A769110EC4FE}">
  <dimension ref="B2:D7"/>
  <sheetViews>
    <sheetView workbookViewId="0">
      <selection activeCell="D4" sqref="D4"/>
    </sheetView>
  </sheetViews>
  <sheetFormatPr defaultRowHeight="15" x14ac:dyDescent="0.25"/>
  <cols>
    <col min="2" max="2" width="11" bestFit="1" customWidth="1"/>
    <col min="4" max="4" width="10.7109375" bestFit="1" customWidth="1"/>
  </cols>
  <sheetData>
    <row r="2" spans="2:4" x14ac:dyDescent="0.25">
      <c r="B2" t="s">
        <v>0</v>
      </c>
      <c r="C2" t="s">
        <v>6</v>
      </c>
    </row>
    <row r="3" spans="2:4" x14ac:dyDescent="0.25">
      <c r="B3" t="s">
        <v>1</v>
      </c>
      <c r="C3">
        <v>111.57</v>
      </c>
      <c r="D3" s="1">
        <v>45212</v>
      </c>
    </row>
    <row r="4" spans="2:4" x14ac:dyDescent="0.25">
      <c r="B4" t="s">
        <v>2</v>
      </c>
      <c r="C4">
        <f>Model!M26</f>
        <v>463.6</v>
      </c>
    </row>
    <row r="5" spans="2:4" x14ac:dyDescent="0.25">
      <c r="B5" t="s">
        <v>3</v>
      </c>
      <c r="C5">
        <f>C3*C4</f>
        <v>51723.851999999999</v>
      </c>
    </row>
    <row r="6" spans="2:4" x14ac:dyDescent="0.25">
      <c r="B6" t="s">
        <v>4</v>
      </c>
      <c r="C6">
        <f>1117+15320</f>
        <v>16437</v>
      </c>
      <c r="D6" t="s">
        <v>39</v>
      </c>
    </row>
    <row r="7" spans="2:4" x14ac:dyDescent="0.25">
      <c r="B7" t="s">
        <v>5</v>
      </c>
      <c r="C7">
        <f>13453+1649</f>
        <v>15102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F58F-39EA-49EC-B1AB-A1C9829603F8}">
  <sheetPr>
    <tabColor theme="5" tint="0.59999389629810485"/>
  </sheetPr>
  <dimension ref="A1:Z40"/>
  <sheetViews>
    <sheetView tabSelected="1" topLeftCell="A4" workbookViewId="0">
      <pane xSplit="1" topLeftCell="I1" activePane="topRight" state="frozen"/>
      <selection pane="topRight" activeCell="R38" sqref="R38"/>
    </sheetView>
  </sheetViews>
  <sheetFormatPr defaultRowHeight="15" x14ac:dyDescent="0.25"/>
  <cols>
    <col min="1" max="1" width="86.7109375" bestFit="1" customWidth="1"/>
    <col min="2" max="9" width="10.5703125" bestFit="1" customWidth="1"/>
    <col min="10" max="10" width="11.5703125" bestFit="1" customWidth="1"/>
    <col min="11" max="11" width="3" customWidth="1"/>
    <col min="12" max="12" width="11.5703125" customWidth="1"/>
    <col min="13" max="13" width="10.5703125" bestFit="1" customWidth="1"/>
    <col min="14" max="14" width="3.140625" customWidth="1"/>
    <col min="15" max="15" width="10.5703125" bestFit="1" customWidth="1"/>
    <col min="16" max="16" width="2" customWidth="1"/>
    <col min="17" max="17" width="10.5703125" customWidth="1"/>
    <col min="18" max="18" width="2.28515625" customWidth="1"/>
    <col min="19" max="19" width="10.7109375" bestFit="1" customWidth="1"/>
    <col min="20" max="20" width="2.5703125" customWidth="1"/>
    <col min="21" max="25" width="11.5703125" bestFit="1" customWidth="1"/>
  </cols>
  <sheetData>
    <row r="1" spans="1:25" x14ac:dyDescent="0.25">
      <c r="A1" s="4" t="s">
        <v>7</v>
      </c>
      <c r="L1" s="1">
        <v>44681</v>
      </c>
      <c r="M1" s="7">
        <v>44772</v>
      </c>
      <c r="O1" s="23" t="s">
        <v>40</v>
      </c>
      <c r="P1" s="1"/>
      <c r="Q1" s="30" t="s">
        <v>40</v>
      </c>
      <c r="S1" s="1" t="s">
        <v>43</v>
      </c>
      <c r="U1" s="35">
        <v>2022</v>
      </c>
      <c r="V1">
        <f>U1+1</f>
        <v>2023</v>
      </c>
      <c r="W1">
        <f t="shared" ref="W1:Y1" si="0">V1+1</f>
        <v>2024</v>
      </c>
      <c r="X1">
        <f t="shared" si="0"/>
        <v>2025</v>
      </c>
      <c r="Y1">
        <f t="shared" si="0"/>
        <v>2026</v>
      </c>
    </row>
    <row r="2" spans="1:25" s="3" customFormat="1" x14ac:dyDescent="0.25">
      <c r="B2" s="3">
        <v>2013</v>
      </c>
      <c r="C2" s="3">
        <f>B2+1</f>
        <v>2014</v>
      </c>
      <c r="D2" s="3">
        <f t="shared" ref="D2:J2" si="1">C2+1</f>
        <v>2015</v>
      </c>
      <c r="E2" s="3">
        <f t="shared" si="1"/>
        <v>2016</v>
      </c>
      <c r="F2" s="3">
        <f t="shared" si="1"/>
        <v>2017</v>
      </c>
      <c r="G2" s="3">
        <f t="shared" si="1"/>
        <v>2018</v>
      </c>
      <c r="H2" s="3">
        <f t="shared" si="1"/>
        <v>2019</v>
      </c>
      <c r="I2" s="3">
        <f t="shared" si="1"/>
        <v>2020</v>
      </c>
      <c r="J2" s="3">
        <f t="shared" si="1"/>
        <v>2021</v>
      </c>
      <c r="L2" s="8" t="s">
        <v>27</v>
      </c>
      <c r="M2" s="8" t="s">
        <v>28</v>
      </c>
      <c r="N2" s="8"/>
      <c r="O2" s="24" t="s">
        <v>29</v>
      </c>
      <c r="Q2" s="31" t="s">
        <v>41</v>
      </c>
      <c r="S2" s="37" t="s">
        <v>41</v>
      </c>
      <c r="U2" s="31" t="s">
        <v>41</v>
      </c>
      <c r="V2" s="3" t="s">
        <v>29</v>
      </c>
      <c r="W2" s="3" t="s">
        <v>29</v>
      </c>
      <c r="X2" s="3" t="s">
        <v>29</v>
      </c>
      <c r="Y2" s="3" t="s">
        <v>29</v>
      </c>
    </row>
    <row r="3" spans="1:25" x14ac:dyDescent="0.25">
      <c r="A3" t="s">
        <v>8</v>
      </c>
      <c r="B3" s="5">
        <v>71279</v>
      </c>
      <c r="C3" s="5">
        <v>72618</v>
      </c>
      <c r="D3" s="5">
        <v>73785</v>
      </c>
      <c r="E3" s="5">
        <v>69414</v>
      </c>
      <c r="F3" s="5">
        <v>71786</v>
      </c>
      <c r="G3" s="5">
        <v>74433</v>
      </c>
      <c r="H3" s="5">
        <v>77130</v>
      </c>
      <c r="I3" s="5">
        <v>92400</v>
      </c>
      <c r="J3" s="5">
        <v>104611</v>
      </c>
      <c r="K3" s="5"/>
      <c r="L3" s="5">
        <v>24830</v>
      </c>
      <c r="M3" s="5">
        <v>25653</v>
      </c>
      <c r="O3" s="25">
        <f>M3*1.07</f>
        <v>27448.710000000003</v>
      </c>
      <c r="P3" s="10"/>
      <c r="Q3" s="32">
        <v>24384</v>
      </c>
      <c r="U3" s="32">
        <v>107588</v>
      </c>
      <c r="V3" s="10">
        <f>U3*1.035</f>
        <v>111353.57999999999</v>
      </c>
      <c r="W3" s="10">
        <f>V3*1.035</f>
        <v>115250.95529999997</v>
      </c>
      <c r="X3" s="10">
        <f>W3*1.035</f>
        <v>119284.73873549997</v>
      </c>
      <c r="Y3" s="10">
        <f>X3*1.035</f>
        <v>123459.70459124245</v>
      </c>
    </row>
    <row r="4" spans="1:25" x14ac:dyDescent="0.25">
      <c r="A4" t="s">
        <v>24</v>
      </c>
      <c r="B4" s="5">
        <v>0</v>
      </c>
      <c r="C4" s="5">
        <v>0</v>
      </c>
      <c r="D4" s="5">
        <v>0</v>
      </c>
      <c r="E4" s="5">
        <v>857</v>
      </c>
      <c r="F4" s="5">
        <v>928</v>
      </c>
      <c r="G4" s="5">
        <v>923</v>
      </c>
      <c r="H4" s="5">
        <v>982</v>
      </c>
      <c r="I4" s="5">
        <v>1161</v>
      </c>
      <c r="J4" s="5">
        <v>1394</v>
      </c>
      <c r="K4" s="5"/>
      <c r="L4" s="5">
        <v>340</v>
      </c>
      <c r="M4" s="5">
        <v>384</v>
      </c>
      <c r="O4" s="25">
        <f>M4*1.05</f>
        <v>403.20000000000005</v>
      </c>
      <c r="P4" s="10"/>
      <c r="Q4" s="32">
        <v>389</v>
      </c>
      <c r="U4" s="32">
        <v>1532</v>
      </c>
      <c r="V4" s="10">
        <f>U4*1.025</f>
        <v>1570.3</v>
      </c>
      <c r="W4" s="10">
        <f>V4*1.025</f>
        <v>1609.5574999999999</v>
      </c>
      <c r="X4" s="10">
        <f>W4*1.025</f>
        <v>1649.7964374999997</v>
      </c>
      <c r="Y4" s="10">
        <f>X4*1.025</f>
        <v>1691.0413484374994</v>
      </c>
    </row>
    <row r="5" spans="1:25" s="2" customFormat="1" x14ac:dyDescent="0.25">
      <c r="A5" s="2" t="s">
        <v>25</v>
      </c>
      <c r="B5" s="6">
        <f>SUM(B3:B4)</f>
        <v>71279</v>
      </c>
      <c r="C5" s="6">
        <f t="shared" ref="C5:M5" si="2">SUM(C3:C4)</f>
        <v>72618</v>
      </c>
      <c r="D5" s="6">
        <f t="shared" si="2"/>
        <v>73785</v>
      </c>
      <c r="E5" s="6">
        <f t="shared" si="2"/>
        <v>70271</v>
      </c>
      <c r="F5" s="6">
        <f t="shared" si="2"/>
        <v>72714</v>
      </c>
      <c r="G5" s="6">
        <f t="shared" si="2"/>
        <v>75356</v>
      </c>
      <c r="H5" s="6">
        <f t="shared" si="2"/>
        <v>78112</v>
      </c>
      <c r="I5" s="6">
        <f t="shared" si="2"/>
        <v>93561</v>
      </c>
      <c r="J5" s="6">
        <f t="shared" si="2"/>
        <v>106005</v>
      </c>
      <c r="K5" s="6"/>
      <c r="L5" s="6">
        <f t="shared" ref="L5" si="3">SUM(L3:L4)</f>
        <v>25170</v>
      </c>
      <c r="M5" s="6">
        <f t="shared" si="2"/>
        <v>26037</v>
      </c>
      <c r="O5" s="26">
        <f t="shared" ref="O5:Q5" si="4">SUM(O3:O4)</f>
        <v>27851.910000000003</v>
      </c>
      <c r="P5" s="6"/>
      <c r="Q5" s="33">
        <f t="shared" si="4"/>
        <v>24773</v>
      </c>
      <c r="S5" s="6">
        <f t="shared" ref="S5" si="5">SUM(S3:S4)</f>
        <v>0</v>
      </c>
      <c r="U5" s="33">
        <f t="shared" ref="U5" si="6">SUM(U3:U4)</f>
        <v>109120</v>
      </c>
      <c r="V5" s="6">
        <f t="shared" ref="V5" si="7">SUM(V3:V4)</f>
        <v>112923.87999999999</v>
      </c>
      <c r="W5" s="6">
        <f t="shared" ref="W5" si="8">SUM(W3:W4)</f>
        <v>116860.51279999997</v>
      </c>
      <c r="X5" s="6">
        <f t="shared" ref="X5" si="9">SUM(X3:X4)</f>
        <v>120934.53517299997</v>
      </c>
      <c r="Y5" s="6">
        <f t="shared" ref="Y5" si="10">SUM(Y3:Y4)</f>
        <v>125150.74593967995</v>
      </c>
    </row>
    <row r="6" spans="1:25" x14ac:dyDescent="0.25">
      <c r="A6" t="s">
        <v>9</v>
      </c>
      <c r="B6" s="5">
        <v>50039</v>
      </c>
      <c r="C6" s="5">
        <v>51278</v>
      </c>
      <c r="D6" s="5">
        <v>51997</v>
      </c>
      <c r="E6" s="5">
        <v>49145</v>
      </c>
      <c r="F6" s="5">
        <v>51125</v>
      </c>
      <c r="G6" s="5">
        <v>53299</v>
      </c>
      <c r="H6" s="5">
        <v>54864</v>
      </c>
      <c r="I6" s="5">
        <v>66177</v>
      </c>
      <c r="J6" s="5">
        <v>74963</v>
      </c>
      <c r="K6" s="5"/>
      <c r="L6" s="5">
        <v>18461</v>
      </c>
      <c r="M6" s="5">
        <v>20142</v>
      </c>
      <c r="O6" s="25">
        <f>M6*1.04</f>
        <v>20947.68</v>
      </c>
      <c r="P6" s="10"/>
      <c r="Q6" s="32">
        <v>17798</v>
      </c>
      <c r="U6" s="32">
        <v>82229</v>
      </c>
      <c r="V6" s="10">
        <f>U6*1.05</f>
        <v>86340.45</v>
      </c>
      <c r="W6" s="10">
        <f>V6*1.03</f>
        <v>88930.663499999995</v>
      </c>
      <c r="X6" s="10">
        <f>W6*1.03</f>
        <v>91598.583404999998</v>
      </c>
      <c r="Y6" s="10">
        <f>X6*1.03</f>
        <v>94346.540907150003</v>
      </c>
    </row>
    <row r="7" spans="1:25" s="2" customFormat="1" x14ac:dyDescent="0.25">
      <c r="A7" s="2" t="s">
        <v>10</v>
      </c>
      <c r="B7" s="6">
        <f>+B3-B6</f>
        <v>21240</v>
      </c>
      <c r="C7" s="6">
        <f>+C3-C6</f>
        <v>21340</v>
      </c>
      <c r="D7" s="6">
        <f>+D3-D6</f>
        <v>21788</v>
      </c>
      <c r="E7" s="6">
        <f>E5-E6</f>
        <v>21126</v>
      </c>
      <c r="F7" s="6">
        <f t="shared" ref="F7:M7" si="11">F5-F6</f>
        <v>21589</v>
      </c>
      <c r="G7" s="6">
        <f t="shared" si="11"/>
        <v>22057</v>
      </c>
      <c r="H7" s="6">
        <f t="shared" si="11"/>
        <v>23248</v>
      </c>
      <c r="I7" s="6">
        <f t="shared" si="11"/>
        <v>27384</v>
      </c>
      <c r="J7" s="6">
        <f t="shared" si="11"/>
        <v>31042</v>
      </c>
      <c r="K7" s="6"/>
      <c r="L7" s="6">
        <f t="shared" ref="L7" si="12">L5-L6</f>
        <v>6709</v>
      </c>
      <c r="M7" s="6">
        <f t="shared" si="11"/>
        <v>5895</v>
      </c>
      <c r="O7" s="26">
        <f t="shared" ref="O7:S7" si="13">O5-O6</f>
        <v>6904.2300000000032</v>
      </c>
      <c r="P7" s="6"/>
      <c r="Q7" s="33">
        <f t="shared" si="13"/>
        <v>6975</v>
      </c>
      <c r="S7" s="6">
        <f t="shared" si="13"/>
        <v>0</v>
      </c>
      <c r="U7" s="33">
        <f t="shared" ref="U7" si="14">U5-U6</f>
        <v>26891</v>
      </c>
      <c r="V7" s="6">
        <f t="shared" ref="V7" si="15">V5-V6</f>
        <v>26583.429999999993</v>
      </c>
      <c r="W7" s="6">
        <f t="shared" ref="W7" si="16">W5-W6</f>
        <v>27929.849299999973</v>
      </c>
      <c r="X7" s="6">
        <f t="shared" ref="X7" si="17">X5-X6</f>
        <v>29335.95176799997</v>
      </c>
      <c r="Y7" s="6">
        <f t="shared" ref="Y7" si="18">Y5-Y6</f>
        <v>30804.20503252995</v>
      </c>
    </row>
    <row r="8" spans="1:25" x14ac:dyDescent="0.25">
      <c r="A8" t="s">
        <v>11</v>
      </c>
      <c r="B8" s="5">
        <v>14465</v>
      </c>
      <c r="C8" s="5">
        <v>14676</v>
      </c>
      <c r="D8" s="5">
        <v>14665</v>
      </c>
      <c r="E8" s="5">
        <v>14217</v>
      </c>
      <c r="F8" s="5">
        <v>15140</v>
      </c>
      <c r="G8" s="5">
        <v>15723</v>
      </c>
      <c r="H8" s="5">
        <v>16233</v>
      </c>
      <c r="I8" s="5">
        <v>18615</v>
      </c>
      <c r="J8" s="5">
        <v>19752</v>
      </c>
      <c r="K8" s="5"/>
      <c r="L8" s="5">
        <v>4762</v>
      </c>
      <c r="M8" s="5">
        <v>5002</v>
      </c>
      <c r="O8" s="25">
        <f>M8*1.05</f>
        <v>5252.1</v>
      </c>
      <c r="P8" s="10"/>
      <c r="Q8" s="32">
        <v>5184</v>
      </c>
      <c r="U8" s="32">
        <v>20658</v>
      </c>
      <c r="V8" s="10">
        <f>U8*1.03</f>
        <v>21277.74</v>
      </c>
      <c r="W8" s="10">
        <f t="shared" ref="W8:Y8" si="19">V8*1.03</f>
        <v>21916.072200000002</v>
      </c>
      <c r="X8" s="10">
        <f t="shared" si="19"/>
        <v>22573.554366000004</v>
      </c>
      <c r="Y8" s="10">
        <f t="shared" si="19"/>
        <v>23250.760996980003</v>
      </c>
    </row>
    <row r="9" spans="1:25" x14ac:dyDescent="0.25">
      <c r="A9" t="s">
        <v>12</v>
      </c>
      <c r="B9" s="5">
        <v>1996</v>
      </c>
      <c r="C9" s="5">
        <v>2129</v>
      </c>
      <c r="D9" s="5">
        <v>2213</v>
      </c>
      <c r="E9" s="5">
        <v>2045</v>
      </c>
      <c r="F9" s="5">
        <v>2225</v>
      </c>
      <c r="G9" s="5">
        <v>2224</v>
      </c>
      <c r="H9" s="5">
        <v>2357</v>
      </c>
      <c r="I9" s="5">
        <v>2230</v>
      </c>
      <c r="J9" s="9">
        <v>2344</v>
      </c>
      <c r="K9" s="9"/>
      <c r="L9" s="9">
        <v>601</v>
      </c>
      <c r="M9" s="9">
        <v>572</v>
      </c>
      <c r="O9" s="25">
        <f>M9*1.02</f>
        <v>583.44000000000005</v>
      </c>
      <c r="P9" s="10"/>
      <c r="Q9" s="32">
        <v>594</v>
      </c>
      <c r="U9" s="32">
        <v>2385</v>
      </c>
      <c r="V9" s="10">
        <f>U9*1.025</f>
        <v>2444.625</v>
      </c>
      <c r="W9" s="10">
        <f t="shared" ref="W9:Y9" si="20">V9*1.025</f>
        <v>2505.7406249999999</v>
      </c>
      <c r="X9" s="10">
        <f t="shared" si="20"/>
        <v>2568.3841406249999</v>
      </c>
      <c r="Y9" s="10">
        <f t="shared" si="20"/>
        <v>2632.5937441406245</v>
      </c>
    </row>
    <row r="10" spans="1:25" x14ac:dyDescent="0.25">
      <c r="A10" t="s">
        <v>13</v>
      </c>
      <c r="B10" s="5">
        <v>-391</v>
      </c>
      <c r="C10" s="5">
        <v>0</v>
      </c>
      <c r="D10" s="5">
        <v>-620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/>
      <c r="L10" s="5">
        <v>0</v>
      </c>
      <c r="M10" s="5">
        <v>0</v>
      </c>
      <c r="O10" s="27">
        <v>0</v>
      </c>
      <c r="P10" s="5"/>
      <c r="Q10" s="34"/>
      <c r="U10" s="35">
        <v>0</v>
      </c>
      <c r="V10">
        <v>0</v>
      </c>
      <c r="W10">
        <v>0</v>
      </c>
      <c r="X10">
        <v>0</v>
      </c>
      <c r="Y10">
        <v>0</v>
      </c>
    </row>
    <row r="11" spans="1:25" s="2" customFormat="1" x14ac:dyDescent="0.25">
      <c r="A11" s="2" t="s">
        <v>42</v>
      </c>
      <c r="B11" s="6">
        <f>+B7-SUM(B8:B10)</f>
        <v>5170</v>
      </c>
      <c r="C11" s="6">
        <f t="shared" ref="C11:J11" si="21">+C7-SUM(C8:C10)</f>
        <v>4535</v>
      </c>
      <c r="D11" s="6">
        <f t="shared" si="21"/>
        <v>5530</v>
      </c>
      <c r="E11" s="6">
        <f t="shared" si="21"/>
        <v>4864</v>
      </c>
      <c r="F11" s="6">
        <f t="shared" si="21"/>
        <v>4224</v>
      </c>
      <c r="G11" s="6">
        <f t="shared" si="21"/>
        <v>4110</v>
      </c>
      <c r="H11" s="6">
        <f t="shared" si="21"/>
        <v>4658</v>
      </c>
      <c r="I11" s="6">
        <f t="shared" si="21"/>
        <v>6539</v>
      </c>
      <c r="J11" s="6">
        <f t="shared" si="21"/>
        <v>8946</v>
      </c>
      <c r="K11" s="6"/>
      <c r="L11" s="6">
        <f t="shared" ref="L11" si="22">+L7-SUM(L8:L10)</f>
        <v>1346</v>
      </c>
      <c r="M11" s="6">
        <f t="shared" ref="M11:S11" si="23">+M7-SUM(M8:M10)</f>
        <v>321</v>
      </c>
      <c r="O11" s="26">
        <f t="shared" si="23"/>
        <v>1068.6900000000023</v>
      </c>
      <c r="P11" s="6"/>
      <c r="Q11" s="33">
        <f t="shared" si="23"/>
        <v>1197</v>
      </c>
      <c r="S11" s="6">
        <f t="shared" si="23"/>
        <v>0</v>
      </c>
      <c r="U11" s="33">
        <f t="shared" ref="U11" si="24">+U7-SUM(U8:U10)</f>
        <v>3848</v>
      </c>
      <c r="V11" s="6">
        <f t="shared" ref="V11" si="25">+V7-SUM(V8:V10)</f>
        <v>2861.0649999999914</v>
      </c>
      <c r="W11" s="6">
        <f t="shared" ref="W11" si="26">+W7-SUM(W8:W10)</f>
        <v>3508.0364749999717</v>
      </c>
      <c r="X11" s="6">
        <f t="shared" ref="X11" si="27">+X7-SUM(X8:X10)</f>
        <v>4194.0132613749665</v>
      </c>
      <c r="Y11" s="6">
        <f t="shared" ref="Y11" si="28">+Y7-SUM(Y8:Y10)</f>
        <v>4920.8502914093224</v>
      </c>
    </row>
    <row r="12" spans="1:25" x14ac:dyDescent="0.25">
      <c r="A12" t="s">
        <v>14</v>
      </c>
      <c r="B12" s="5">
        <v>1049</v>
      </c>
      <c r="C12" s="5">
        <v>882</v>
      </c>
      <c r="D12" s="5">
        <v>607</v>
      </c>
      <c r="E12" s="5">
        <v>991</v>
      </c>
      <c r="F12" s="5">
        <v>653</v>
      </c>
      <c r="G12" s="5">
        <v>461</v>
      </c>
      <c r="H12" s="5">
        <v>477</v>
      </c>
      <c r="I12" s="5">
        <v>977</v>
      </c>
      <c r="J12" s="5">
        <v>421</v>
      </c>
      <c r="K12" s="5"/>
      <c r="L12" s="5">
        <v>112</v>
      </c>
      <c r="M12" s="5">
        <v>112</v>
      </c>
      <c r="O12" s="27">
        <f>M12</f>
        <v>112</v>
      </c>
      <c r="P12" s="5"/>
      <c r="Q12" s="34">
        <v>141</v>
      </c>
      <c r="U12" s="32">
        <v>478</v>
      </c>
      <c r="V12" s="10">
        <f>U12*1.02</f>
        <v>487.56</v>
      </c>
      <c r="W12" s="10">
        <f t="shared" ref="W12:Y12" si="29">V12*1.02</f>
        <v>497.31119999999999</v>
      </c>
      <c r="X12" s="10">
        <f t="shared" si="29"/>
        <v>507.25742400000001</v>
      </c>
      <c r="Y12" s="10">
        <f t="shared" si="29"/>
        <v>517.40257248</v>
      </c>
    </row>
    <row r="13" spans="1:25" x14ac:dyDescent="0.25">
      <c r="A13" t="s">
        <v>26</v>
      </c>
      <c r="B13" s="5">
        <v>0</v>
      </c>
      <c r="C13" s="5">
        <v>0</v>
      </c>
      <c r="D13" s="5">
        <v>0</v>
      </c>
      <c r="E13" s="5">
        <v>-88</v>
      </c>
      <c r="F13" s="5">
        <v>-59</v>
      </c>
      <c r="G13" s="5">
        <v>-27</v>
      </c>
      <c r="H13" s="5">
        <v>-9</v>
      </c>
      <c r="I13" s="5">
        <v>16</v>
      </c>
      <c r="J13" s="9">
        <v>-382</v>
      </c>
      <c r="K13" s="9"/>
      <c r="L13" s="9">
        <v>-15</v>
      </c>
      <c r="M13" s="5">
        <v>-8</v>
      </c>
      <c r="O13" s="27">
        <f>M13*1.25</f>
        <v>-10</v>
      </c>
      <c r="P13" s="5"/>
      <c r="Q13" s="34">
        <v>-16</v>
      </c>
      <c r="U13" s="32">
        <v>-48</v>
      </c>
      <c r="V13" s="10">
        <f>U13*1.1</f>
        <v>-52.800000000000004</v>
      </c>
      <c r="W13" s="10">
        <f t="shared" ref="W13:Y13" si="30">V13*1.1</f>
        <v>-58.080000000000013</v>
      </c>
      <c r="X13" s="10">
        <f t="shared" si="30"/>
        <v>-63.888000000000019</v>
      </c>
      <c r="Y13" s="10">
        <f t="shared" si="30"/>
        <v>-70.276800000000023</v>
      </c>
    </row>
    <row r="14" spans="1:25" s="2" customFormat="1" x14ac:dyDescent="0.25">
      <c r="A14" s="2" t="s">
        <v>15</v>
      </c>
      <c r="B14" s="6">
        <f>+B11-B12</f>
        <v>4121</v>
      </c>
      <c r="C14" s="6">
        <f t="shared" ref="C14:D14" si="31">+C11-C12</f>
        <v>3653</v>
      </c>
      <c r="D14" s="6">
        <f t="shared" si="31"/>
        <v>4923</v>
      </c>
      <c r="E14" s="6">
        <f>E11-SUM(E12:E13)</f>
        <v>3961</v>
      </c>
      <c r="F14" s="6">
        <f t="shared" ref="F14:J14" si="32">F11-SUM(F12:F13)</f>
        <v>3630</v>
      </c>
      <c r="G14" s="6">
        <f t="shared" si="32"/>
        <v>3676</v>
      </c>
      <c r="H14" s="6">
        <f t="shared" si="32"/>
        <v>4190</v>
      </c>
      <c r="I14" s="6">
        <f t="shared" si="32"/>
        <v>5546</v>
      </c>
      <c r="J14" s="6">
        <f t="shared" si="32"/>
        <v>8907</v>
      </c>
      <c r="K14" s="6"/>
      <c r="L14" s="6">
        <f t="shared" ref="L14" si="33">L11-SUM(L12:L13)</f>
        <v>1249</v>
      </c>
      <c r="M14" s="6">
        <f t="shared" ref="M14:Q14" si="34">M11-SUM(M12:M13)</f>
        <v>217</v>
      </c>
      <c r="O14" s="26">
        <f t="shared" si="34"/>
        <v>966.69000000000233</v>
      </c>
      <c r="P14" s="6"/>
      <c r="Q14" s="33">
        <f t="shared" si="34"/>
        <v>1072</v>
      </c>
      <c r="U14" s="33">
        <f t="shared" ref="U14" si="35">U11-SUM(U12:U13)</f>
        <v>3418</v>
      </c>
      <c r="V14" s="6">
        <f t="shared" ref="V14" si="36">V11-SUM(V12:V13)</f>
        <v>2426.3049999999912</v>
      </c>
      <c r="W14" s="6">
        <f t="shared" ref="W14" si="37">W11-SUM(W12:W13)</f>
        <v>3068.8052749999715</v>
      </c>
      <c r="X14" s="6">
        <f t="shared" ref="X14" si="38">X11-SUM(X12:X13)</f>
        <v>3750.6438373749666</v>
      </c>
      <c r="Y14" s="6">
        <f t="shared" ref="Y14" si="39">Y11-SUM(Y12:Y13)</f>
        <v>4473.7245189293226</v>
      </c>
    </row>
    <row r="15" spans="1:25" x14ac:dyDescent="0.25">
      <c r="A15" t="s">
        <v>16</v>
      </c>
      <c r="B15" s="5">
        <v>1427</v>
      </c>
      <c r="C15" s="5">
        <v>1204</v>
      </c>
      <c r="D15" s="5">
        <v>1602</v>
      </c>
      <c r="E15" s="5">
        <v>1295</v>
      </c>
      <c r="F15" s="5">
        <v>722</v>
      </c>
      <c r="G15" s="5">
        <v>746</v>
      </c>
      <c r="H15" s="5">
        <v>921</v>
      </c>
      <c r="I15" s="5">
        <v>1178</v>
      </c>
      <c r="J15" s="9">
        <v>1961</v>
      </c>
      <c r="K15" s="9"/>
      <c r="L15" s="9">
        <v>240</v>
      </c>
      <c r="M15" s="5">
        <v>34</v>
      </c>
      <c r="O15" s="25">
        <f>M15</f>
        <v>34</v>
      </c>
      <c r="P15" s="10"/>
      <c r="Q15" s="32">
        <v>237</v>
      </c>
      <c r="U15" s="32">
        <v>638</v>
      </c>
      <c r="V15" s="10">
        <f>U15-(U15*0.025)</f>
        <v>622.04999999999995</v>
      </c>
      <c r="W15" s="10">
        <f>V15-(V15*0.25)</f>
        <v>466.53749999999997</v>
      </c>
      <c r="X15" s="10">
        <f>W15-(W15*0.5)</f>
        <v>233.26874999999998</v>
      </c>
      <c r="Y15" s="10">
        <f t="shared" ref="Y15" si="40">X15-(X15*0.025)</f>
        <v>227.43703124999999</v>
      </c>
    </row>
    <row r="16" spans="1:25" s="2" customFormat="1" x14ac:dyDescent="0.25">
      <c r="A16" s="2" t="s">
        <v>17</v>
      </c>
      <c r="B16" s="6">
        <f>+B14-B15</f>
        <v>2694</v>
      </c>
      <c r="C16" s="6">
        <f t="shared" ref="C16:J16" si="41">+C14-C15</f>
        <v>2449</v>
      </c>
      <c r="D16" s="6">
        <f t="shared" si="41"/>
        <v>3321</v>
      </c>
      <c r="E16" s="6">
        <f t="shared" si="41"/>
        <v>2666</v>
      </c>
      <c r="F16" s="6">
        <f t="shared" si="41"/>
        <v>2908</v>
      </c>
      <c r="G16" s="6">
        <f t="shared" si="41"/>
        <v>2930</v>
      </c>
      <c r="H16" s="6">
        <f t="shared" si="41"/>
        <v>3269</v>
      </c>
      <c r="I16" s="6">
        <f t="shared" si="41"/>
        <v>4368</v>
      </c>
      <c r="J16" s="6">
        <f t="shared" si="41"/>
        <v>6946</v>
      </c>
      <c r="K16" s="6"/>
      <c r="L16" s="6">
        <f t="shared" ref="L16" si="42">+L14-L15</f>
        <v>1009</v>
      </c>
      <c r="M16" s="6">
        <f t="shared" ref="M16:Q16" si="43">+M14-M15</f>
        <v>183</v>
      </c>
      <c r="O16" s="26">
        <f t="shared" si="43"/>
        <v>932.69000000000233</v>
      </c>
      <c r="P16" s="6"/>
      <c r="Q16" s="33">
        <f t="shared" si="43"/>
        <v>835</v>
      </c>
      <c r="U16" s="33">
        <f t="shared" ref="U16" si="44">+U14-U15</f>
        <v>2780</v>
      </c>
      <c r="V16" s="6">
        <f t="shared" ref="V16" si="45">+V14-V15</f>
        <v>1804.2549999999912</v>
      </c>
      <c r="W16" s="6">
        <f t="shared" ref="W16" si="46">+W14-W15</f>
        <v>2602.2677749999716</v>
      </c>
      <c r="X16" s="6">
        <f t="shared" ref="X16" si="47">+X14-X15</f>
        <v>3517.3750873749664</v>
      </c>
      <c r="Y16" s="6">
        <f t="shared" ref="Y16" si="48">+Y14-Y15</f>
        <v>4246.287487679323</v>
      </c>
    </row>
    <row r="17" spans="1:26" x14ac:dyDescent="0.25">
      <c r="A17" t="s">
        <v>18</v>
      </c>
      <c r="B17" s="5">
        <v>-723</v>
      </c>
      <c r="C17" s="5">
        <v>-4085</v>
      </c>
      <c r="D17" s="5">
        <v>42</v>
      </c>
      <c r="E17" s="5">
        <v>68</v>
      </c>
      <c r="F17" s="5">
        <v>6</v>
      </c>
      <c r="G17" s="5">
        <v>7</v>
      </c>
      <c r="H17" s="5">
        <v>12</v>
      </c>
      <c r="I17" s="5">
        <v>0</v>
      </c>
      <c r="J17" s="6">
        <v>0</v>
      </c>
      <c r="K17" s="6"/>
      <c r="L17" s="6">
        <v>0</v>
      </c>
      <c r="M17" s="5">
        <v>0</v>
      </c>
      <c r="O17" s="25">
        <f>M17</f>
        <v>0</v>
      </c>
      <c r="P17" s="10"/>
      <c r="Q17" s="32">
        <v>0</v>
      </c>
      <c r="U17" s="35">
        <v>0</v>
      </c>
      <c r="V17">
        <v>0</v>
      </c>
      <c r="W17">
        <v>0</v>
      </c>
      <c r="X17">
        <v>0</v>
      </c>
      <c r="Y17">
        <v>0</v>
      </c>
    </row>
    <row r="18" spans="1:26" s="2" customFormat="1" x14ac:dyDescent="0.25">
      <c r="A18" s="2" t="s">
        <v>19</v>
      </c>
      <c r="B18" s="6">
        <f>SUM(B16:B17)</f>
        <v>1971</v>
      </c>
      <c r="C18" s="6">
        <f t="shared" ref="C18:D18" si="49">SUM(C16:C17)</f>
        <v>-1636</v>
      </c>
      <c r="D18" s="6">
        <f t="shared" si="49"/>
        <v>3363</v>
      </c>
      <c r="E18" s="6">
        <f>SUM(E16:E17)</f>
        <v>2734</v>
      </c>
      <c r="F18" s="6">
        <f t="shared" ref="F18:J18" si="50">SUM(F16:F17)</f>
        <v>2914</v>
      </c>
      <c r="G18" s="6">
        <f t="shared" si="50"/>
        <v>2937</v>
      </c>
      <c r="H18" s="6">
        <f t="shared" si="50"/>
        <v>3281</v>
      </c>
      <c r="I18" s="6">
        <f t="shared" si="50"/>
        <v>4368</v>
      </c>
      <c r="J18" s="6">
        <f t="shared" si="50"/>
        <v>6946</v>
      </c>
      <c r="K18" s="6"/>
      <c r="L18" s="6">
        <f t="shared" ref="L18" si="51">SUM(L16:L17)</f>
        <v>1009</v>
      </c>
      <c r="M18" s="6">
        <f t="shared" ref="M18:Q18" si="52">SUM(M16:M17)</f>
        <v>183</v>
      </c>
      <c r="O18" s="26">
        <f t="shared" si="52"/>
        <v>932.69000000000233</v>
      </c>
      <c r="P18" s="6"/>
      <c r="Q18" s="33">
        <f t="shared" si="52"/>
        <v>835</v>
      </c>
      <c r="U18" s="33">
        <f t="shared" ref="U18" si="53">SUM(U16:U17)</f>
        <v>2780</v>
      </c>
      <c r="V18" s="6">
        <f t="shared" ref="V18" si="54">SUM(V16:V17)</f>
        <v>1804.2549999999912</v>
      </c>
      <c r="W18" s="6">
        <f t="shared" ref="W18" si="55">SUM(W16:W17)</f>
        <v>2602.2677749999716</v>
      </c>
      <c r="X18" s="6">
        <f t="shared" ref="X18" si="56">SUM(X16:X17)</f>
        <v>3517.3750873749664</v>
      </c>
      <c r="Y18" s="6">
        <f t="shared" ref="Y18" si="57">SUM(Y16:Y17)</f>
        <v>4246.287487679323</v>
      </c>
    </row>
    <row r="19" spans="1:26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O19" s="28"/>
      <c r="Q19" s="35"/>
      <c r="U19" s="35"/>
    </row>
    <row r="20" spans="1:26" x14ac:dyDescent="0.25">
      <c r="A20" s="2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O20" s="28"/>
      <c r="Q20" s="35"/>
      <c r="U20" s="35"/>
    </row>
    <row r="21" spans="1:26" x14ac:dyDescent="0.25">
      <c r="A21" s="2" t="s">
        <v>21</v>
      </c>
      <c r="B21" s="5">
        <f>B18/B25</f>
        <v>3.103448275862069</v>
      </c>
      <c r="C21" s="5">
        <f t="shared" ref="C21:J21" si="58">C18/C25</f>
        <v>-2.5775957145107924</v>
      </c>
      <c r="D21" s="5">
        <f t="shared" si="58"/>
        <v>5.3576549306993781</v>
      </c>
      <c r="E21" s="5">
        <f t="shared" si="58"/>
        <v>4.7333795013850413</v>
      </c>
      <c r="F21" s="5">
        <f t="shared" si="58"/>
        <v>5.3291880029261156</v>
      </c>
      <c r="G21" s="5">
        <f t="shared" si="58"/>
        <v>5.5561861520998859</v>
      </c>
      <c r="H21" s="5">
        <f t="shared" si="58"/>
        <v>6.4220003914660406</v>
      </c>
      <c r="I21" s="5">
        <f t="shared" si="58"/>
        <v>8.7255293647622842</v>
      </c>
      <c r="J21" s="5">
        <f t="shared" si="58"/>
        <v>14.230690432288466</v>
      </c>
      <c r="K21" s="5"/>
      <c r="L21" s="5">
        <f>L18/L25</f>
        <v>2.1745689655172415</v>
      </c>
      <c r="M21" s="5">
        <f>M18/M25</f>
        <v>0.39653304442036835</v>
      </c>
      <c r="O21" s="27">
        <f>O18/O25</f>
        <v>2.0209967497291492</v>
      </c>
      <c r="P21" s="5"/>
      <c r="Q21" s="34">
        <f>Q18/Q25</f>
        <v>1.8089254766031195</v>
      </c>
      <c r="U21" s="34">
        <f t="shared" ref="U21:Y21" si="59">U18/U25</f>
        <v>6.0160138498160567</v>
      </c>
      <c r="V21" s="5">
        <f t="shared" si="59"/>
        <v>3.9044687297121645</v>
      </c>
      <c r="W21" s="5">
        <f t="shared" si="59"/>
        <v>5.6313953148668503</v>
      </c>
      <c r="X21" s="5">
        <f t="shared" si="59"/>
        <v>7.6117184318869642</v>
      </c>
      <c r="Y21" s="5">
        <f t="shared" si="59"/>
        <v>9.1891094734458409</v>
      </c>
    </row>
    <row r="22" spans="1:26" x14ac:dyDescent="0.25">
      <c r="A22" s="2" t="s">
        <v>22</v>
      </c>
      <c r="B22" s="5">
        <f>B18/B26</f>
        <v>3.0710501713929577</v>
      </c>
      <c r="C22" s="5">
        <f t="shared" ref="C22:J22" si="60">C18/C26</f>
        <v>-2.5558506483361976</v>
      </c>
      <c r="D22" s="5">
        <f t="shared" si="60"/>
        <v>5.313635645441618</v>
      </c>
      <c r="E22" s="5">
        <f t="shared" si="60"/>
        <v>4.6935622317596568</v>
      </c>
      <c r="F22" s="5">
        <f t="shared" si="60"/>
        <v>5.2952934762856625</v>
      </c>
      <c r="G22" s="5">
        <f t="shared" si="60"/>
        <v>5.5082520630157532</v>
      </c>
      <c r="H22" s="5">
        <f t="shared" si="60"/>
        <v>6.3634600465477114</v>
      </c>
      <c r="I22" s="5">
        <f t="shared" si="60"/>
        <v>8.6426592797783943</v>
      </c>
      <c r="J22" s="5">
        <f t="shared" si="60"/>
        <v>14.097828293078953</v>
      </c>
      <c r="K22" s="5"/>
      <c r="L22" s="5">
        <f>L18/L26</f>
        <v>2.1569046601111586</v>
      </c>
      <c r="M22" s="5">
        <f>M18/M26</f>
        <v>0.39473684210526316</v>
      </c>
      <c r="O22" s="27">
        <f>O18/O26</f>
        <v>2.0118421052631628</v>
      </c>
      <c r="P22" s="5"/>
      <c r="Q22" s="34">
        <f>Q18/Q26</f>
        <v>1.8054054054054054</v>
      </c>
      <c r="U22" s="34">
        <f t="shared" ref="U22:Y22" si="61">U18/U26</f>
        <v>5.9823542070152786</v>
      </c>
      <c r="V22" s="5">
        <f t="shared" si="61"/>
        <v>3.8826231977619781</v>
      </c>
      <c r="W22" s="5">
        <f t="shared" si="61"/>
        <v>5.5998876156659598</v>
      </c>
      <c r="X22" s="5">
        <f t="shared" si="61"/>
        <v>7.5691308099310666</v>
      </c>
      <c r="Y22" s="5">
        <f t="shared" si="61"/>
        <v>9.1376963367319206</v>
      </c>
    </row>
    <row r="23" spans="1:26" x14ac:dyDescent="0.2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O23" s="28"/>
      <c r="Q23" s="35"/>
      <c r="U23" s="35"/>
    </row>
    <row r="24" spans="1:26" x14ac:dyDescent="0.25">
      <c r="A24" t="s">
        <v>23</v>
      </c>
      <c r="O24" s="28"/>
      <c r="Q24" s="35"/>
      <c r="U24" s="35"/>
    </row>
    <row r="25" spans="1:26" x14ac:dyDescent="0.25">
      <c r="A25" t="s">
        <v>21</v>
      </c>
      <c r="B25">
        <v>635.1</v>
      </c>
      <c r="C25">
        <v>634.70000000000005</v>
      </c>
      <c r="D25">
        <v>627.70000000000005</v>
      </c>
      <c r="E25">
        <v>577.6</v>
      </c>
      <c r="F25">
        <v>546.79999999999995</v>
      </c>
      <c r="G25">
        <v>528.6</v>
      </c>
      <c r="H25">
        <v>510.9</v>
      </c>
      <c r="I25">
        <v>500.6</v>
      </c>
      <c r="J25">
        <v>488.1</v>
      </c>
      <c r="L25">
        <v>464</v>
      </c>
      <c r="M25">
        <v>461.5</v>
      </c>
      <c r="O25" s="28">
        <f>M25</f>
        <v>461.5</v>
      </c>
      <c r="Q25" s="35">
        <v>461.6</v>
      </c>
      <c r="U25" s="35">
        <v>462.1</v>
      </c>
      <c r="V25">
        <f>U25</f>
        <v>462.1</v>
      </c>
      <c r="W25">
        <f t="shared" ref="W25:Y25" si="62">V25</f>
        <v>462.1</v>
      </c>
      <c r="X25">
        <f t="shared" si="62"/>
        <v>462.1</v>
      </c>
      <c r="Y25">
        <f t="shared" si="62"/>
        <v>462.1</v>
      </c>
    </row>
    <row r="26" spans="1:26" x14ac:dyDescent="0.25">
      <c r="A26" t="s">
        <v>22</v>
      </c>
      <c r="B26">
        <v>641.79999999999995</v>
      </c>
      <c r="C26">
        <v>640.1</v>
      </c>
      <c r="D26">
        <v>632.9</v>
      </c>
      <c r="E26">
        <v>582.5</v>
      </c>
      <c r="F26">
        <v>550.29999999999995</v>
      </c>
      <c r="G26">
        <v>533.20000000000005</v>
      </c>
      <c r="H26">
        <v>515.6</v>
      </c>
      <c r="I26">
        <v>505.4</v>
      </c>
      <c r="J26">
        <v>492.7</v>
      </c>
      <c r="L26">
        <v>467.8</v>
      </c>
      <c r="M26">
        <v>463.6</v>
      </c>
      <c r="O26" s="28">
        <f>M26</f>
        <v>463.6</v>
      </c>
      <c r="Q26" s="35">
        <v>462.5</v>
      </c>
      <c r="U26" s="35">
        <v>464.7</v>
      </c>
      <c r="V26">
        <f>U26</f>
        <v>464.7</v>
      </c>
      <c r="W26">
        <f t="shared" ref="W26:Y26" si="63">V26</f>
        <v>464.7</v>
      </c>
      <c r="X26">
        <f t="shared" si="63"/>
        <v>464.7</v>
      </c>
      <c r="Y26">
        <f t="shared" si="63"/>
        <v>464.7</v>
      </c>
    </row>
    <row r="27" spans="1:26" x14ac:dyDescent="0.25">
      <c r="O27" s="28"/>
      <c r="Q27" s="35"/>
      <c r="U27" s="35"/>
    </row>
    <row r="28" spans="1:26" x14ac:dyDescent="0.25">
      <c r="O28" s="28"/>
      <c r="Q28" s="35"/>
      <c r="U28" s="35"/>
    </row>
    <row r="29" spans="1:26" x14ac:dyDescent="0.25">
      <c r="A29" t="s">
        <v>30</v>
      </c>
      <c r="B29" s="11"/>
      <c r="C29" s="11">
        <f>C5/B5-1</f>
        <v>1.8785336494619775E-2</v>
      </c>
      <c r="D29" s="11">
        <f t="shared" ref="D29:J29" si="64">D5/C5-1</f>
        <v>1.6070395769643975E-2</v>
      </c>
      <c r="E29" s="11">
        <f t="shared" si="64"/>
        <v>-4.7624856000542115E-2</v>
      </c>
      <c r="F29" s="11">
        <f t="shared" si="64"/>
        <v>3.4765408205376325E-2</v>
      </c>
      <c r="G29" s="11">
        <f t="shared" si="64"/>
        <v>3.6334130978903589E-2</v>
      </c>
      <c r="H29" s="11">
        <f t="shared" si="64"/>
        <v>3.6573066510961372E-2</v>
      </c>
      <c r="I29" s="11">
        <f t="shared" si="64"/>
        <v>0.19778011061040557</v>
      </c>
      <c r="J29" s="11">
        <f t="shared" si="64"/>
        <v>0.13300413633885921</v>
      </c>
      <c r="L29" s="5">
        <v>0</v>
      </c>
      <c r="M29" s="11">
        <f t="shared" ref="M29" si="65">M5/L5-1</f>
        <v>3.4445768772348062E-2</v>
      </c>
      <c r="O29" s="29">
        <f>O5/M5-1</f>
        <v>6.9705035142297644E-2</v>
      </c>
      <c r="P29" s="11"/>
      <c r="Q29" s="36">
        <f>Q5/M5-1</f>
        <v>-4.8546299496869838E-2</v>
      </c>
      <c r="U29" s="36">
        <f>U5/J5-1</f>
        <v>2.9385406348757082E-2</v>
      </c>
      <c r="V29" s="11">
        <f>V5/U5-1</f>
        <v>3.4859604105571762E-2</v>
      </c>
      <c r="W29" s="11">
        <f t="shared" ref="W29:Y29" si="66">W5/V5-1</f>
        <v>3.4860941724637717E-2</v>
      </c>
      <c r="X29" s="11">
        <f t="shared" si="66"/>
        <v>3.4862266777593742E-2</v>
      </c>
      <c r="Y29" s="11">
        <f t="shared" si="66"/>
        <v>3.4863579379112775E-2</v>
      </c>
    </row>
    <row r="30" spans="1:26" x14ac:dyDescent="0.25">
      <c r="A30" t="s">
        <v>10</v>
      </c>
      <c r="B30" s="11">
        <f>B7/B5</f>
        <v>0.29798397845087615</v>
      </c>
      <c r="C30" s="11">
        <f>C7/C5</f>
        <v>0.29386653446803823</v>
      </c>
      <c r="D30" s="11">
        <f t="shared" ref="D30:J30" si="67">D7/D5</f>
        <v>0.29529037067154573</v>
      </c>
      <c r="E30" s="11">
        <f t="shared" si="67"/>
        <v>0.30063610877887037</v>
      </c>
      <c r="F30" s="11">
        <f t="shared" si="67"/>
        <v>0.29690293478559837</v>
      </c>
      <c r="G30" s="11">
        <f t="shared" si="67"/>
        <v>0.2927039651786188</v>
      </c>
      <c r="H30" s="11">
        <f t="shared" si="67"/>
        <v>0.29762392462105697</v>
      </c>
      <c r="I30" s="11">
        <f t="shared" si="67"/>
        <v>0.29268605508705553</v>
      </c>
      <c r="J30" s="11">
        <f t="shared" si="67"/>
        <v>0.29283524362058394</v>
      </c>
      <c r="L30" s="11">
        <f>L7/L5</f>
        <v>0.26654747715534366</v>
      </c>
      <c r="M30" s="11">
        <f>M7/M5</f>
        <v>0.22640857241617698</v>
      </c>
      <c r="O30" s="29">
        <f>O7/O5</f>
        <v>0.24789071916432309</v>
      </c>
      <c r="P30" s="11"/>
      <c r="Q30" s="36">
        <f>Q7/Q5</f>
        <v>0.28155653332256891</v>
      </c>
      <c r="U30" s="36">
        <f t="shared" ref="U30:Y30" si="68">U7/U5</f>
        <v>0.24643511730205278</v>
      </c>
      <c r="V30" s="11">
        <f t="shared" si="68"/>
        <v>0.23541017187861413</v>
      </c>
      <c r="W30" s="11">
        <f t="shared" si="68"/>
        <v>0.23900159798032292</v>
      </c>
      <c r="X30" s="11">
        <f t="shared" si="68"/>
        <v>0.24257712427665212</v>
      </c>
      <c r="Y30" s="11">
        <f t="shared" si="68"/>
        <v>0.2461368072658307</v>
      </c>
    </row>
    <row r="31" spans="1:26" ht="15.75" thickBot="1" x14ac:dyDescent="0.3">
      <c r="B31" s="10"/>
    </row>
    <row r="32" spans="1:26" x14ac:dyDescent="0.25">
      <c r="V32" s="12" t="s">
        <v>31</v>
      </c>
      <c r="W32" s="16"/>
      <c r="X32" s="16"/>
      <c r="Y32" s="17">
        <f>Y18*(1+0.025)/(0.12-0.025)</f>
        <v>45815.207103908477</v>
      </c>
      <c r="Z32" t="str">
        <f ca="1">_xlfn.FORMULATEXT(Y32)</f>
        <v>=Y18*(1+0.025)/(0.12-0.025)</v>
      </c>
    </row>
    <row r="33" spans="22:26" x14ac:dyDescent="0.25">
      <c r="V33" s="13"/>
      <c r="Y33" s="18">
        <f>SUM(Y32,U18:Y18)</f>
        <v>60765.392453962726</v>
      </c>
      <c r="Z33" t="str">
        <f t="shared" ref="Z33:Z40" ca="1" si="69">_xlfn.FORMULATEXT(Y33)</f>
        <v>=SUM(Y32,U18:Y18)</v>
      </c>
    </row>
    <row r="34" spans="22:26" x14ac:dyDescent="0.25">
      <c r="V34" s="13" t="s">
        <v>32</v>
      </c>
      <c r="Y34" s="19">
        <f>NPV(0.12,U18:Y18,Y33)</f>
        <v>41203.17862034971</v>
      </c>
      <c r="Z34" t="str">
        <f t="shared" ca="1" si="69"/>
        <v>=NPV(0.12,U18:Y18,Y33)</v>
      </c>
    </row>
    <row r="35" spans="22:26" x14ac:dyDescent="0.25">
      <c r="V35" s="14" t="s">
        <v>33</v>
      </c>
      <c r="Y35" s="20">
        <f>Main!C6</f>
        <v>16437</v>
      </c>
      <c r="Z35" t="str">
        <f t="shared" ca="1" si="69"/>
        <v>=Main!C6</v>
      </c>
    </row>
    <row r="36" spans="22:26" x14ac:dyDescent="0.25">
      <c r="V36" s="14" t="s">
        <v>34</v>
      </c>
      <c r="Y36" s="20">
        <f>Main!C7</f>
        <v>15102</v>
      </c>
      <c r="Z36" t="str">
        <f t="shared" ca="1" si="69"/>
        <v>=Main!C7</v>
      </c>
    </row>
    <row r="37" spans="22:26" x14ac:dyDescent="0.25">
      <c r="V37" s="14" t="s">
        <v>35</v>
      </c>
      <c r="Y37" s="19">
        <f>Y34+Y35-Y36</f>
        <v>42538.17862034971</v>
      </c>
      <c r="Z37" t="str">
        <f t="shared" ca="1" si="69"/>
        <v>=Y34+Y35-Y36</v>
      </c>
    </row>
    <row r="38" spans="22:26" x14ac:dyDescent="0.25">
      <c r="V38" s="14" t="s">
        <v>36</v>
      </c>
      <c r="Y38" s="20">
        <f>J26</f>
        <v>492.7</v>
      </c>
      <c r="Z38" t="str">
        <f t="shared" ca="1" si="69"/>
        <v>=J26</v>
      </c>
    </row>
    <row r="39" spans="22:26" x14ac:dyDescent="0.25">
      <c r="V39" s="14" t="s">
        <v>37</v>
      </c>
      <c r="Y39" s="19">
        <f>Y37/Y38</f>
        <v>86.336875624821815</v>
      </c>
      <c r="Z39" t="str">
        <f t="shared" ca="1" si="69"/>
        <v>=Y37/Y38</v>
      </c>
    </row>
    <row r="40" spans="22:26" ht="15.75" thickBot="1" x14ac:dyDescent="0.3">
      <c r="V40" s="15" t="s">
        <v>38</v>
      </c>
      <c r="W40" s="21"/>
      <c r="X40" s="21"/>
      <c r="Y40" s="22">
        <f>Y39/Main!C3-1</f>
        <v>-0.22616406180136395</v>
      </c>
      <c r="Z40" t="str">
        <f t="shared" ca="1" si="69"/>
        <v>=Y39/Main!C3-1</v>
      </c>
    </row>
  </sheetData>
  <hyperlinks>
    <hyperlink ref="A1" location="Main!A1" display="Main" xr:uid="{D12AA1D3-E4E1-411E-B939-DC96EC52D666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B424-0741-4143-93A9-49B12F13F7E3}">
  <sheetPr>
    <tabColor theme="1" tint="4.9989318521683403E-2"/>
  </sheetPr>
  <dimension ref="A1"/>
  <sheetViews>
    <sheetView workbookViewId="0">
      <selection activeCell="G31" sqref="G3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8C9B-97A2-4974-97DD-B246098C9F5C}">
  <sheetPr>
    <tabColor theme="7" tint="0.59999389629810485"/>
  </sheetPr>
  <dimension ref="A1"/>
  <sheetViews>
    <sheetView workbookViewId="0">
      <selection activeCell="L33" sqref="L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25D5-6B14-49B2-97A9-A3161F2A9B65}">
  <sheetPr>
    <tabColor theme="7" tint="0.59999389629810485"/>
  </sheetPr>
  <dimension ref="A1"/>
  <sheetViews>
    <sheetView workbookViewId="0">
      <selection activeCell="AE1" sqref="AE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C556-6B71-45EE-AF40-06C00A5A4141}">
  <sheetPr>
    <tabColor theme="7" tint="0.59999389629810485"/>
  </sheetPr>
  <dimension ref="A1"/>
  <sheetViews>
    <sheetView workbookViewId="0">
      <selection activeCell="A6" sqref="A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Model</vt:lpstr>
      <vt:lpstr>SUPPORTING DOCS -&gt;</vt:lpstr>
      <vt:lpstr>Q2 2023 </vt:lpstr>
      <vt:lpstr>INCOME_STATEMENT_HISTORICAL</vt:lpstr>
      <vt:lpstr>BALANCE_SHEET_HISTORICAL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Morton</dc:creator>
  <cp:lastModifiedBy>Morton, Josh</cp:lastModifiedBy>
  <dcterms:created xsi:type="dcterms:W3CDTF">2022-11-13T17:02:35Z</dcterms:created>
  <dcterms:modified xsi:type="dcterms:W3CDTF">2023-10-13T13:55:59Z</dcterms:modified>
</cp:coreProperties>
</file>