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rt\OneDrive\Documents\2022 MAIN\"/>
    </mc:Choice>
  </mc:AlternateContent>
  <xr:revisionPtr revIDLastSave="0" documentId="13_ncr:1_{0294B08F-AE05-4B29-AFAF-A424AB171972}" xr6:coauthVersionLast="47" xr6:coauthVersionMax="47" xr10:uidLastSave="{00000000-0000-0000-0000-000000000000}"/>
  <bookViews>
    <workbookView xWindow="-28920" yWindow="-120" windowWidth="29040" windowHeight="15720" xr2:uid="{32898893-7F95-4E5E-AA54-1525A302A134}"/>
  </bookViews>
  <sheets>
    <sheet name="Main" sheetId="1" r:id="rId1"/>
    <sheet name="Q4 22' Analysis" sheetId="2" r:id="rId2"/>
    <sheet name="Stock Valution" sheetId="3" r:id="rId3"/>
    <sheet name="DCF Mode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5" l="1"/>
  <c r="D20" i="5"/>
  <c r="D18" i="5"/>
  <c r="C5" i="5"/>
  <c r="C8" i="5"/>
  <c r="D8" i="5" s="1"/>
  <c r="D7" i="5"/>
  <c r="E7" i="5" s="1"/>
  <c r="F7" i="5" s="1"/>
  <c r="G7" i="5" s="1"/>
  <c r="H7" i="5" s="1"/>
  <c r="J9" i="2"/>
  <c r="K8" i="2"/>
  <c r="J8" i="2"/>
  <c r="J7" i="2"/>
  <c r="J6" i="2"/>
  <c r="J5" i="2"/>
  <c r="J4" i="2"/>
  <c r="C28" i="2"/>
  <c r="C29" i="2"/>
  <c r="C27" i="2"/>
  <c r="C25" i="2"/>
  <c r="C22" i="2"/>
  <c r="C16" i="2"/>
  <c r="C6" i="1"/>
  <c r="C5" i="1"/>
  <c r="C4" i="1"/>
  <c r="D10" i="5" l="1"/>
  <c r="E8" i="5"/>
  <c r="F8" i="5" l="1"/>
  <c r="E10" i="5"/>
  <c r="G8" i="5" l="1"/>
  <c r="F10" i="5"/>
  <c r="H8" i="5" l="1"/>
  <c r="G10" i="5"/>
  <c r="H9" i="5" l="1"/>
  <c r="H10" i="5" s="1"/>
  <c r="D13" i="5" s="1"/>
  <c r="D1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Morton</author>
  </authors>
  <commentList>
    <comment ref="B3" authorId="0" shapeId="0" xr:uid="{89EA345F-A178-473F-8BB0-62DEB404D673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use diluted</t>
        </r>
      </text>
    </comment>
    <comment ref="C3" authorId="0" shapeId="0" xr:uid="{9A2EB490-FEA3-4E75-8F56-5CDBEBB0394D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rounded in thousands per top line of statement</t>
        </r>
      </text>
    </comment>
    <comment ref="B4" authorId="0" shapeId="0" xr:uid="{1C3EF288-20E6-420B-8E6A-0AC2A4A24EEC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Market cap</t>
        </r>
      </text>
    </comment>
    <comment ref="C4" authorId="0" shapeId="0" xr:uid="{7C87877D-D254-4B7C-92BE-FE20A43AD086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in millions
</t>
        </r>
      </text>
    </comment>
    <comment ref="C5" authorId="0" shapeId="0" xr:uid="{BA5B4EEB-D32D-4D5E-8AA1-D02D111981BE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in millions cash + marketable securities
</t>
        </r>
      </text>
    </comment>
    <comment ref="C6" authorId="0" shapeId="0" xr:uid="{2F552F4E-98AC-4CA6-AC5D-62389388950F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short term debt + long term debt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Morton</author>
  </authors>
  <commentList>
    <comment ref="E2" authorId="0" shapeId="0" xr:uid="{32DCDB94-039D-42FC-88DB-06BC28F562EE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columns E:G pasted from main AAPL model</t>
        </r>
      </text>
    </comment>
    <comment ref="J6" authorId="0" shapeId="0" xr:uid="{7486687E-0737-44D6-B469-0B619E7BEEDD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this is a good increase given current macro environment</t>
        </r>
      </text>
    </comment>
    <comment ref="K8" authorId="0" shapeId="0" xr:uid="{CC92D11F-4801-4206-9FA4-A266EDD80619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6.58% increase in net income quarter to quarter
</t>
        </r>
      </text>
    </comment>
    <comment ref="J9" authorId="0" shapeId="0" xr:uid="{AED7AA40-A731-4503-9465-819F247BCBC8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decreased share float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Morton</author>
  </authors>
  <commentList>
    <comment ref="M15" authorId="0" shapeId="0" xr:uid="{36893B41-B883-466E-A671-7D575246A023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See DCF tab on the bottom for full breakout &amp; formulas
</t>
        </r>
      </text>
    </comment>
  </commentList>
</comments>
</file>

<file path=xl/sharedStrings.xml><?xml version="1.0" encoding="utf-8"?>
<sst xmlns="http://schemas.openxmlformats.org/spreadsheetml/2006/main" count="133" uniqueCount="95">
  <si>
    <t>Price</t>
  </si>
  <si>
    <t>Shares</t>
  </si>
  <si>
    <t>MC</t>
  </si>
  <si>
    <t>Cash</t>
  </si>
  <si>
    <t>Debt</t>
  </si>
  <si>
    <t>Q4 2022</t>
  </si>
  <si>
    <t>Revenue</t>
  </si>
  <si>
    <t>Revenue Build</t>
  </si>
  <si>
    <t>iPhone</t>
  </si>
  <si>
    <t>Mac</t>
  </si>
  <si>
    <t>iPad</t>
  </si>
  <si>
    <t>Services</t>
  </si>
  <si>
    <t>Wearables, Home &amp; 
Accessories</t>
  </si>
  <si>
    <t>Net Sales</t>
  </si>
  <si>
    <t>Products</t>
  </si>
  <si>
    <t>Net Sales (by category)</t>
  </si>
  <si>
    <t>COGS</t>
  </si>
  <si>
    <t>Total net sales</t>
  </si>
  <si>
    <t>Gross Margin</t>
  </si>
  <si>
    <t>Operating Expenses</t>
  </si>
  <si>
    <t>R&amp;D</t>
  </si>
  <si>
    <t>Selling, gen, admin</t>
  </si>
  <si>
    <t>Total operating expenses</t>
  </si>
  <si>
    <t>Operating income</t>
  </si>
  <si>
    <t>Other income</t>
  </si>
  <si>
    <t>Income before provision for taxes</t>
  </si>
  <si>
    <t>provision for income taxes</t>
  </si>
  <si>
    <t>Net income</t>
  </si>
  <si>
    <t>EPS</t>
  </si>
  <si>
    <t xml:space="preserve">  Units</t>
  </si>
  <si>
    <t xml:space="preserve">  ASP</t>
  </si>
  <si>
    <t>Wearables</t>
  </si>
  <si>
    <t>COP</t>
  </si>
  <si>
    <t>COS</t>
  </si>
  <si>
    <t>Gross Profit</t>
  </si>
  <si>
    <t>SG&amp;A</t>
  </si>
  <si>
    <t>OpEx</t>
  </si>
  <si>
    <t>OpInc</t>
  </si>
  <si>
    <t>Interest</t>
  </si>
  <si>
    <t>Pretax Income</t>
  </si>
  <si>
    <t>Taxes</t>
  </si>
  <si>
    <t>Net Income</t>
  </si>
  <si>
    <t>Revenue y/y</t>
  </si>
  <si>
    <t>iPhone y/y</t>
  </si>
  <si>
    <t>Services y/y</t>
  </si>
  <si>
    <t>Services Margin</t>
  </si>
  <si>
    <t>Products Margin</t>
  </si>
  <si>
    <t>Operating Margin</t>
  </si>
  <si>
    <t>Tax Rate</t>
  </si>
  <si>
    <t>FQ322</t>
  </si>
  <si>
    <t>FQ422</t>
  </si>
  <si>
    <t>Q4 2022 (10/27/22)</t>
  </si>
  <si>
    <t>Increase/Decrease on key metrics</t>
  </si>
  <si>
    <t>Gross Margin (Profit)</t>
  </si>
  <si>
    <t>Operating expenses</t>
  </si>
  <si>
    <t>Number of shares</t>
  </si>
  <si>
    <t>Estimates</t>
  </si>
  <si>
    <t>Reported</t>
  </si>
  <si>
    <t>Revenue (in billions)</t>
  </si>
  <si>
    <t>Beat</t>
  </si>
  <si>
    <t>yes</t>
  </si>
  <si>
    <t>no</t>
  </si>
  <si>
    <t>Growth Estimates ( YoY)</t>
  </si>
  <si>
    <t>Revenue Growth %</t>
  </si>
  <si>
    <t>Profit Margin</t>
  </si>
  <si>
    <t>Free Cash Flow Margin</t>
  </si>
  <si>
    <t>Historical</t>
  </si>
  <si>
    <t>Low</t>
  </si>
  <si>
    <t>Middle</t>
  </si>
  <si>
    <t>High</t>
  </si>
  <si>
    <t>P/E</t>
  </si>
  <si>
    <t>P/FCF</t>
  </si>
  <si>
    <t>Preferred annual return</t>
  </si>
  <si>
    <t>Total</t>
  </si>
  <si>
    <t>Company</t>
  </si>
  <si>
    <t>Growth rate of FCF</t>
  </si>
  <si>
    <t>Perpetual growth rate</t>
  </si>
  <si>
    <t>Discount rate (WACC)</t>
  </si>
  <si>
    <t>Year</t>
  </si>
  <si>
    <t>FCF</t>
  </si>
  <si>
    <t>Terminal Value</t>
  </si>
  <si>
    <t>AAPL</t>
  </si>
  <si>
    <t>per yahoo finance 5 year (past per annum)</t>
  </si>
  <si>
    <t>preferred return (low estimate)</t>
  </si>
  <si>
    <t>DCF Valuation</t>
  </si>
  <si>
    <t>Enterprise Value</t>
  </si>
  <si>
    <t>(+) cash &amp; marketable securities</t>
  </si>
  <si>
    <t>(-) debt</t>
  </si>
  <si>
    <t>Equity Value</t>
  </si>
  <si>
    <t>Shares Outstanding</t>
  </si>
  <si>
    <t>Intrinsic Value</t>
  </si>
  <si>
    <t>Upside</t>
  </si>
  <si>
    <t>Buy/Sell</t>
  </si>
  <si>
    <t>Current Price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</si>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</sst>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6" formatCode="m/d/yy;@"/>
    <numFmt numFmtId="169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43" fontId="0" fillId="0" borderId="0" xfId="1" applyFont="1"/>
    <xf numFmtId="2" fontId="0" fillId="0" borderId="0" xfId="0" applyNumberFormat="1"/>
    <xf numFmtId="43" fontId="0" fillId="0" borderId="0" xfId="0" applyNumberFormat="1"/>
    <xf numFmtId="0" fontId="3" fillId="0" borderId="0" xfId="0" applyFont="1"/>
    <xf numFmtId="164" fontId="0" fillId="0" borderId="0" xfId="1" applyNumberFormat="1" applyFont="1"/>
    <xf numFmtId="43" fontId="3" fillId="0" borderId="0" xfId="1" applyFont="1"/>
    <xf numFmtId="0" fontId="0" fillId="0" borderId="0" xfId="0" applyAlignment="1">
      <alignment horizontal="right"/>
    </xf>
    <xf numFmtId="0" fontId="0" fillId="0" borderId="0" xfId="0" applyFill="1"/>
    <xf numFmtId="0" fontId="3" fillId="0" borderId="0" xfId="0" applyFont="1" applyFill="1"/>
    <xf numFmtId="0" fontId="0" fillId="0" borderId="0" xfId="0" applyFill="1" applyAlignment="1">
      <alignment wrapText="1"/>
    </xf>
    <xf numFmtId="0" fontId="0" fillId="0" borderId="0" xfId="0" applyFont="1" applyFill="1"/>
    <xf numFmtId="0" fontId="0" fillId="0" borderId="1" xfId="0" applyBorder="1"/>
    <xf numFmtId="43" fontId="0" fillId="0" borderId="2" xfId="1" applyFont="1" applyBorder="1"/>
    <xf numFmtId="43" fontId="0" fillId="0" borderId="3" xfId="1" applyFont="1" applyBorder="1"/>
    <xf numFmtId="43" fontId="0" fillId="0" borderId="0" xfId="1" applyFont="1" applyBorder="1"/>
    <xf numFmtId="43" fontId="0" fillId="0" borderId="5" xfId="1" applyFont="1" applyBorder="1"/>
    <xf numFmtId="0" fontId="0" fillId="0" borderId="4" xfId="0" applyBorder="1" applyAlignment="1">
      <alignment horizontal="right"/>
    </xf>
    <xf numFmtId="3" fontId="0" fillId="0" borderId="4" xfId="0" applyNumberFormat="1" applyBorder="1"/>
    <xf numFmtId="3" fontId="6" fillId="0" borderId="4" xfId="0" applyNumberFormat="1" applyFont="1" applyBorder="1"/>
    <xf numFmtId="0" fontId="6" fillId="0" borderId="4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6" fontId="0" fillId="0" borderId="6" xfId="0" applyNumberFormat="1" applyBorder="1"/>
    <xf numFmtId="0" fontId="3" fillId="0" borderId="7" xfId="0" applyFont="1" applyBorder="1"/>
    <xf numFmtId="14" fontId="3" fillId="3" borderId="7" xfId="1" applyNumberFormat="1" applyFont="1" applyFill="1" applyBorder="1"/>
    <xf numFmtId="14" fontId="3" fillId="3" borderId="8" xfId="1" applyNumberFormat="1" applyFont="1" applyFill="1" applyBorder="1"/>
    <xf numFmtId="43" fontId="3" fillId="3" borderId="7" xfId="1" applyFont="1" applyFill="1" applyBorder="1"/>
    <xf numFmtId="0" fontId="3" fillId="0" borderId="7" xfId="0" applyFont="1" applyFill="1" applyBorder="1"/>
    <xf numFmtId="10" fontId="0" fillId="0" borderId="0" xfId="3" applyNumberFormat="1" applyFont="1"/>
    <xf numFmtId="0" fontId="3" fillId="0" borderId="0" xfId="0" applyFont="1" applyAlignment="1">
      <alignment horizontal="left"/>
    </xf>
    <xf numFmtId="14" fontId="0" fillId="0" borderId="0" xfId="0" applyNumberFormat="1"/>
    <xf numFmtId="9" fontId="3" fillId="0" borderId="0" xfId="3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0" fillId="0" borderId="9" xfId="0" applyBorder="1"/>
    <xf numFmtId="10" fontId="0" fillId="2" borderId="5" xfId="0" applyNumberFormat="1" applyFill="1" applyBorder="1"/>
    <xf numFmtId="0" fontId="0" fillId="2" borderId="3" xfId="0" applyFill="1" applyBorder="1" applyAlignment="1">
      <alignment horizontal="right"/>
    </xf>
    <xf numFmtId="10" fontId="0" fillId="2" borderId="10" xfId="0" applyNumberFormat="1" applyFill="1" applyBorder="1"/>
    <xf numFmtId="0" fontId="2" fillId="5" borderId="1" xfId="0" applyFont="1" applyFill="1" applyBorder="1"/>
    <xf numFmtId="0" fontId="3" fillId="2" borderId="2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0" fillId="4" borderId="4" xfId="0" applyFill="1" applyBorder="1"/>
    <xf numFmtId="43" fontId="0" fillId="2" borderId="0" xfId="0" applyNumberFormat="1" applyFill="1" applyBorder="1"/>
    <xf numFmtId="43" fontId="0" fillId="4" borderId="0" xfId="0" applyNumberFormat="1" applyFill="1" applyBorder="1"/>
    <xf numFmtId="43" fontId="0" fillId="4" borderId="5" xfId="0" applyNumberFormat="1" applyFill="1" applyBorder="1"/>
    <xf numFmtId="0" fontId="0" fillId="4" borderId="0" xfId="0" applyFill="1" applyBorder="1"/>
    <xf numFmtId="0" fontId="0" fillId="4" borderId="9" xfId="0" applyFill="1" applyBorder="1"/>
    <xf numFmtId="0" fontId="0" fillId="4" borderId="11" xfId="0" applyFill="1" applyBorder="1"/>
    <xf numFmtId="43" fontId="0" fillId="4" borderId="11" xfId="0" applyNumberFormat="1" applyFill="1" applyBorder="1"/>
    <xf numFmtId="43" fontId="3" fillId="4" borderId="10" xfId="0" applyNumberFormat="1" applyFont="1" applyFill="1" applyBorder="1"/>
    <xf numFmtId="0" fontId="0" fillId="2" borderId="0" xfId="0" applyFill="1" applyBorder="1"/>
    <xf numFmtId="0" fontId="3" fillId="4" borderId="0" xfId="0" applyFont="1" applyFill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8" fontId="0" fillId="4" borderId="5" xfId="0" applyNumberFormat="1" applyFill="1" applyBorder="1"/>
    <xf numFmtId="0" fontId="0" fillId="2" borderId="4" xfId="0" applyFill="1" applyBorder="1"/>
    <xf numFmtId="44" fontId="0" fillId="2" borderId="5" xfId="2" applyFont="1" applyFill="1" applyBorder="1"/>
    <xf numFmtId="0" fontId="3" fillId="4" borderId="4" xfId="0" applyFont="1" applyFill="1" applyBorder="1"/>
    <xf numFmtId="43" fontId="0" fillId="2" borderId="5" xfId="1" applyFont="1" applyFill="1" applyBorder="1"/>
    <xf numFmtId="0" fontId="3" fillId="4" borderId="9" xfId="0" applyFont="1" applyFill="1" applyBorder="1"/>
    <xf numFmtId="0" fontId="3" fillId="4" borderId="11" xfId="0" applyFont="1" applyFill="1" applyBorder="1"/>
    <xf numFmtId="8" fontId="3" fillId="4" borderId="10" xfId="0" applyNumberFormat="1" applyFont="1" applyFill="1" applyBorder="1"/>
    <xf numFmtId="169" fontId="3" fillId="4" borderId="5" xfId="3" applyNumberFormat="1" applyFont="1" applyFill="1" applyBorder="1"/>
    <xf numFmtId="0" fontId="3" fillId="4" borderId="10" xfId="0" applyFont="1" applyFill="1" applyBorder="1" applyAlignment="1">
      <alignment horizontal="right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7" xfId="0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96114</xdr:colOff>
      <xdr:row>42</xdr:row>
      <xdr:rowOff>134432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CECB8C-BC67-7DDE-7626-6948DEA64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381000"/>
          <a:ext cx="6192114" cy="775443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27</xdr:col>
      <xdr:colOff>96114</xdr:colOff>
      <xdr:row>41</xdr:row>
      <xdr:rowOff>124879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A7D067-0140-E905-C15B-0018DD6BC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381000"/>
          <a:ext cx="6192114" cy="7554379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</xdr:row>
      <xdr:rowOff>0</xdr:rowOff>
    </xdr:from>
    <xdr:to>
      <xdr:col>38</xdr:col>
      <xdr:colOff>134219</xdr:colOff>
      <xdr:row>41</xdr:row>
      <xdr:rowOff>48669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F1DE61-6A41-3B03-7BEB-4C5842696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68800" y="381000"/>
          <a:ext cx="6230219" cy="74781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C91E-E5EF-464D-B9F2-B96A41B3A907}">
  <dimension ref="B2:D7"/>
  <sheetViews>
    <sheetView tabSelected="1" workbookViewId="0">
      <selection activeCell="D16" sqref="D16"/>
    </sheetView>
  </sheetViews>
  <sheetFormatPr defaultRowHeight="15" x14ac:dyDescent="0.25"/>
  <cols>
    <col min="3" max="3" width="16.85546875" bestFit="1" customWidth="1"/>
  </cols>
  <sheetData>
    <row r="2" spans="2:4" x14ac:dyDescent="0.25">
      <c r="B2" t="s">
        <v>0</v>
      </c>
      <c r="C2" s="2">
        <v>145.6</v>
      </c>
    </row>
    <row r="3" spans="2:4" x14ac:dyDescent="0.25">
      <c r="B3" t="s">
        <v>1</v>
      </c>
      <c r="C3" s="1">
        <v>16118</v>
      </c>
      <c r="D3" t="s">
        <v>5</v>
      </c>
    </row>
    <row r="4" spans="2:4" x14ac:dyDescent="0.25">
      <c r="B4" t="s">
        <v>2</v>
      </c>
      <c r="C4" s="3">
        <f>C2*C3</f>
        <v>2346780.7999999998</v>
      </c>
    </row>
    <row r="5" spans="2:4" x14ac:dyDescent="0.25">
      <c r="B5" t="s">
        <v>3</v>
      </c>
      <c r="C5" s="1">
        <f>23646+24658</f>
        <v>48304</v>
      </c>
    </row>
    <row r="6" spans="2:4" x14ac:dyDescent="0.25">
      <c r="B6" t="s">
        <v>4</v>
      </c>
      <c r="C6" s="1">
        <f>11128+98959</f>
        <v>110087</v>
      </c>
    </row>
    <row r="7" spans="2:4" x14ac:dyDescent="0.25">
      <c r="C7" s="3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8A32-88D8-4B0E-A0AE-7613DF74110D}">
  <dimension ref="A1:K37"/>
  <sheetViews>
    <sheetView workbookViewId="0">
      <selection activeCell="B20" sqref="B20"/>
    </sheetView>
  </sheetViews>
  <sheetFormatPr defaultRowHeight="15" x14ac:dyDescent="0.25"/>
  <cols>
    <col min="2" max="2" width="31.5703125" bestFit="1" customWidth="1"/>
    <col min="3" max="3" width="19.140625" style="1" bestFit="1" customWidth="1"/>
    <col min="4" max="4" width="2.42578125" customWidth="1"/>
    <col min="5" max="5" width="15.85546875" style="21" customWidth="1"/>
    <col min="6" max="6" width="10.5703125" style="15" bestFit="1" customWidth="1"/>
    <col min="7" max="7" width="10.5703125" style="16" bestFit="1" customWidth="1"/>
    <col min="8" max="8" width="2.42578125" customWidth="1"/>
    <col min="9" max="9" width="19.42578125" customWidth="1"/>
    <col min="10" max="10" width="9.5703125" bestFit="1" customWidth="1"/>
  </cols>
  <sheetData>
    <row r="1" spans="1:11" ht="15.75" thickBot="1" x14ac:dyDescent="0.3">
      <c r="E1" s="12"/>
      <c r="F1" s="13"/>
      <c r="G1" s="14"/>
    </row>
    <row r="2" spans="1:11" s="23" customFormat="1" ht="15.75" thickBot="1" x14ac:dyDescent="0.3">
      <c r="A2" s="22"/>
      <c r="C2" s="28" t="s">
        <v>51</v>
      </c>
      <c r="E2" s="24"/>
      <c r="F2" s="26">
        <v>44737</v>
      </c>
      <c r="G2" s="27">
        <v>44829</v>
      </c>
      <c r="I2" s="25" t="s">
        <v>52</v>
      </c>
      <c r="J2" s="29"/>
    </row>
    <row r="3" spans="1:11" x14ac:dyDescent="0.25">
      <c r="B3" s="9" t="s">
        <v>7</v>
      </c>
      <c r="E3" s="17"/>
      <c r="F3" s="15" t="s">
        <v>49</v>
      </c>
      <c r="G3" s="16" t="s">
        <v>50</v>
      </c>
    </row>
    <row r="4" spans="1:11" x14ac:dyDescent="0.25">
      <c r="B4" s="8"/>
      <c r="E4" s="18" t="s">
        <v>8</v>
      </c>
      <c r="F4" s="15">
        <v>40665</v>
      </c>
      <c r="G4" s="16">
        <v>38770.83</v>
      </c>
      <c r="I4" t="s">
        <v>13</v>
      </c>
      <c r="J4" s="3">
        <f>C16-F14</f>
        <v>7187</v>
      </c>
    </row>
    <row r="5" spans="1:11" x14ac:dyDescent="0.25">
      <c r="B5" s="9" t="s">
        <v>15</v>
      </c>
      <c r="E5" s="18" t="s">
        <v>29</v>
      </c>
      <c r="F5" s="15">
        <v>43260.117693779554</v>
      </c>
      <c r="G5" s="16">
        <v>47880</v>
      </c>
      <c r="I5" t="s">
        <v>53</v>
      </c>
      <c r="J5" s="3">
        <f>C18-F18</f>
        <v>2210</v>
      </c>
    </row>
    <row r="6" spans="1:11" x14ac:dyDescent="0.25">
      <c r="B6" s="8" t="s">
        <v>8</v>
      </c>
      <c r="C6" s="1">
        <v>42626</v>
      </c>
      <c r="E6" s="18" t="s">
        <v>30</v>
      </c>
      <c r="F6" s="15">
        <v>940.01131221719459</v>
      </c>
      <c r="G6" s="16">
        <v>809.75</v>
      </c>
      <c r="I6" t="s">
        <v>28</v>
      </c>
      <c r="J6" s="3">
        <f>C28-F27</f>
        <v>9.0048358493063363E-2</v>
      </c>
    </row>
    <row r="7" spans="1:11" x14ac:dyDescent="0.25">
      <c r="B7" s="8" t="s">
        <v>9</v>
      </c>
      <c r="C7" s="1">
        <v>11508</v>
      </c>
      <c r="E7" s="18"/>
      <c r="I7" t="s">
        <v>54</v>
      </c>
      <c r="J7" s="3">
        <f>C22-F21</f>
        <v>392</v>
      </c>
    </row>
    <row r="8" spans="1:11" x14ac:dyDescent="0.25">
      <c r="B8" s="8" t="s">
        <v>10</v>
      </c>
      <c r="C8" s="1">
        <v>7174</v>
      </c>
      <c r="E8" s="18" t="s">
        <v>9</v>
      </c>
      <c r="F8" s="15">
        <v>7382</v>
      </c>
      <c r="G8" s="16">
        <v>8719.1</v>
      </c>
      <c r="I8" t="s">
        <v>27</v>
      </c>
      <c r="J8" s="3">
        <f>C27-F26</f>
        <v>1279</v>
      </c>
      <c r="K8" s="30">
        <f>J8/F26</f>
        <v>6.5785413023351502E-2</v>
      </c>
    </row>
    <row r="9" spans="1:11" ht="30" x14ac:dyDescent="0.25">
      <c r="B9" s="10" t="s">
        <v>12</v>
      </c>
      <c r="C9" s="1">
        <v>9650</v>
      </c>
      <c r="E9" s="18" t="s">
        <v>10</v>
      </c>
      <c r="F9" s="15">
        <v>7224</v>
      </c>
      <c r="G9" s="16">
        <v>7839.4</v>
      </c>
      <c r="I9" t="s">
        <v>55</v>
      </c>
      <c r="J9" s="3">
        <f>C29-F28</f>
        <v>-144.20299999999952</v>
      </c>
    </row>
    <row r="10" spans="1:11" x14ac:dyDescent="0.25">
      <c r="B10" s="8" t="s">
        <v>11</v>
      </c>
      <c r="C10" s="1">
        <v>19188</v>
      </c>
      <c r="E10" s="18" t="s">
        <v>31</v>
      </c>
      <c r="F10" s="15">
        <v>8084</v>
      </c>
      <c r="G10" s="16">
        <v>8345.75</v>
      </c>
      <c r="J10" s="3"/>
    </row>
    <row r="11" spans="1:11" x14ac:dyDescent="0.25">
      <c r="B11" s="8"/>
      <c r="E11" s="18"/>
    </row>
    <row r="12" spans="1:11" x14ac:dyDescent="0.25">
      <c r="B12" s="8" t="s">
        <v>13</v>
      </c>
      <c r="E12" s="18" t="s">
        <v>14</v>
      </c>
      <c r="F12" s="15">
        <v>63355</v>
      </c>
      <c r="G12" s="16">
        <v>63675.08</v>
      </c>
    </row>
    <row r="13" spans="1:11" x14ac:dyDescent="0.25">
      <c r="B13" s="8"/>
      <c r="E13" s="18" t="s">
        <v>11</v>
      </c>
      <c r="F13" s="15">
        <v>19604</v>
      </c>
      <c r="G13" s="16">
        <v>20104.7</v>
      </c>
    </row>
    <row r="14" spans="1:11" x14ac:dyDescent="0.25">
      <c r="B14" s="8" t="s">
        <v>14</v>
      </c>
      <c r="C14" s="1">
        <v>70958</v>
      </c>
      <c r="E14" s="19" t="s">
        <v>6</v>
      </c>
      <c r="F14" s="15">
        <v>82959</v>
      </c>
      <c r="G14" s="16">
        <v>83779.78</v>
      </c>
    </row>
    <row r="15" spans="1:11" x14ac:dyDescent="0.25">
      <c r="B15" s="8" t="s">
        <v>11</v>
      </c>
      <c r="C15" s="1">
        <v>19188</v>
      </c>
      <c r="E15" s="18" t="s">
        <v>32</v>
      </c>
      <c r="F15" s="15">
        <v>41485</v>
      </c>
      <c r="G15" s="16">
        <v>41388.802000000003</v>
      </c>
    </row>
    <row r="16" spans="1:11" x14ac:dyDescent="0.25">
      <c r="B16" s="9" t="s">
        <v>17</v>
      </c>
      <c r="C16" s="1">
        <f>SUM(C14:C15)</f>
        <v>90146</v>
      </c>
      <c r="E16" s="18" t="s">
        <v>33</v>
      </c>
      <c r="F16" s="15">
        <v>5589</v>
      </c>
      <c r="G16" s="16">
        <v>6031.41</v>
      </c>
    </row>
    <row r="17" spans="2:7" x14ac:dyDescent="0.25">
      <c r="B17" s="8" t="s">
        <v>16</v>
      </c>
      <c r="C17" s="1">
        <v>52051</v>
      </c>
      <c r="E17" s="18" t="s">
        <v>16</v>
      </c>
      <c r="F17" s="15">
        <v>47074</v>
      </c>
      <c r="G17" s="16">
        <v>47420.212</v>
      </c>
    </row>
    <row r="18" spans="2:7" x14ac:dyDescent="0.25">
      <c r="B18" s="9" t="s">
        <v>18</v>
      </c>
      <c r="C18" s="1">
        <v>38095</v>
      </c>
      <c r="E18" s="18" t="s">
        <v>34</v>
      </c>
      <c r="F18" s="15">
        <v>35885</v>
      </c>
      <c r="G18" s="16">
        <v>36359.567999999999</v>
      </c>
    </row>
    <row r="19" spans="2:7" x14ac:dyDescent="0.25">
      <c r="B19" s="8" t="s">
        <v>19</v>
      </c>
      <c r="E19" s="18" t="s">
        <v>20</v>
      </c>
      <c r="F19" s="15">
        <v>6797</v>
      </c>
      <c r="G19" s="16">
        <v>6349.2000000000007</v>
      </c>
    </row>
    <row r="20" spans="2:7" x14ac:dyDescent="0.25">
      <c r="B20" s="11" t="s">
        <v>20</v>
      </c>
      <c r="C20" s="1">
        <v>6761</v>
      </c>
      <c r="E20" s="18" t="s">
        <v>35</v>
      </c>
      <c r="F20" s="15">
        <v>6012</v>
      </c>
      <c r="G20" s="16">
        <v>6177.6</v>
      </c>
    </row>
    <row r="21" spans="2:7" x14ac:dyDescent="0.25">
      <c r="B21" s="11" t="s">
        <v>21</v>
      </c>
      <c r="C21" s="1">
        <v>6440</v>
      </c>
      <c r="E21" s="18" t="s">
        <v>36</v>
      </c>
      <c r="F21" s="15">
        <v>12809</v>
      </c>
      <c r="G21" s="16">
        <v>12526.800000000001</v>
      </c>
    </row>
    <row r="22" spans="2:7" x14ac:dyDescent="0.25">
      <c r="B22" s="9" t="s">
        <v>22</v>
      </c>
      <c r="C22" s="1">
        <f>SUM(C20:C21)</f>
        <v>13201</v>
      </c>
      <c r="E22" s="18" t="s">
        <v>37</v>
      </c>
      <c r="F22" s="15">
        <v>23076</v>
      </c>
      <c r="G22" s="16">
        <v>23832.767999999996</v>
      </c>
    </row>
    <row r="23" spans="2:7" x14ac:dyDescent="0.25">
      <c r="B23" s="11" t="s">
        <v>23</v>
      </c>
      <c r="C23" s="1">
        <v>24894</v>
      </c>
      <c r="E23" s="18" t="s">
        <v>38</v>
      </c>
      <c r="F23" s="15">
        <v>-10</v>
      </c>
      <c r="G23" s="16">
        <v>0</v>
      </c>
    </row>
    <row r="24" spans="2:7" x14ac:dyDescent="0.25">
      <c r="B24" s="11" t="s">
        <v>24</v>
      </c>
      <c r="C24" s="1">
        <v>-237</v>
      </c>
      <c r="E24" s="18" t="s">
        <v>39</v>
      </c>
      <c r="F24" s="15">
        <v>23066</v>
      </c>
      <c r="G24" s="16">
        <v>23832.767999999996</v>
      </c>
    </row>
    <row r="25" spans="2:7" x14ac:dyDescent="0.25">
      <c r="B25" s="9" t="s">
        <v>25</v>
      </c>
      <c r="C25" s="1">
        <f>SUM(C23:C24)</f>
        <v>24657</v>
      </c>
      <c r="E25" s="18" t="s">
        <v>40</v>
      </c>
      <c r="F25" s="15">
        <v>3624</v>
      </c>
      <c r="G25" s="16">
        <v>3574.9151999999995</v>
      </c>
    </row>
    <row r="26" spans="2:7" x14ac:dyDescent="0.25">
      <c r="B26" s="11" t="s">
        <v>26</v>
      </c>
      <c r="C26" s="1">
        <v>3936</v>
      </c>
      <c r="E26" s="18" t="s">
        <v>41</v>
      </c>
      <c r="F26" s="15">
        <v>19442</v>
      </c>
      <c r="G26" s="16">
        <v>20257.852799999997</v>
      </c>
    </row>
    <row r="27" spans="2:7" x14ac:dyDescent="0.25">
      <c r="B27" s="9" t="s">
        <v>27</v>
      </c>
      <c r="C27" s="1">
        <f>C25-C26</f>
        <v>20721</v>
      </c>
      <c r="E27" s="20" t="s">
        <v>28</v>
      </c>
      <c r="F27" s="15">
        <v>1.1955329791418789</v>
      </c>
      <c r="G27" s="16">
        <v>1.2495434951067415</v>
      </c>
    </row>
    <row r="28" spans="2:7" x14ac:dyDescent="0.25">
      <c r="B28" s="9" t="s">
        <v>28</v>
      </c>
      <c r="C28" s="6">
        <f>C27/C29</f>
        <v>1.2855813376349423</v>
      </c>
      <c r="E28" s="18" t="s">
        <v>1</v>
      </c>
      <c r="F28" s="15">
        <v>16262.203</v>
      </c>
      <c r="G28" s="16">
        <v>16212.203</v>
      </c>
    </row>
    <row r="29" spans="2:7" x14ac:dyDescent="0.25">
      <c r="B29" s="11" t="s">
        <v>1</v>
      </c>
      <c r="C29" s="1">
        <f>Main!C3</f>
        <v>16118</v>
      </c>
    </row>
    <row r="30" spans="2:7" x14ac:dyDescent="0.25">
      <c r="E30" s="19" t="s">
        <v>42</v>
      </c>
      <c r="F30" s="15">
        <v>1.8726821720657316E-2</v>
      </c>
      <c r="G30" s="16">
        <v>5.0357485604606289E-3</v>
      </c>
    </row>
    <row r="31" spans="2:7" x14ac:dyDescent="0.25">
      <c r="E31" s="19" t="s">
        <v>43</v>
      </c>
      <c r="F31" s="15">
        <v>2.7672479150871787E-2</v>
      </c>
      <c r="G31" s="16">
        <v>-2.4999999999999467E-3</v>
      </c>
    </row>
    <row r="32" spans="2:7" x14ac:dyDescent="0.25">
      <c r="E32" s="19" t="s">
        <v>44</v>
      </c>
      <c r="F32" s="15">
        <v>0.12112547180601618</v>
      </c>
      <c r="G32" s="16">
        <v>0.10000000000000009</v>
      </c>
    </row>
    <row r="33" spans="5:7" x14ac:dyDescent="0.25">
      <c r="E33" s="21" t="s">
        <v>18</v>
      </c>
      <c r="F33" s="15">
        <v>0.43256307332537758</v>
      </c>
      <c r="G33" s="16">
        <v>0.43398977653080495</v>
      </c>
    </row>
    <row r="34" spans="5:7" x14ac:dyDescent="0.25">
      <c r="E34" s="18" t="s">
        <v>45</v>
      </c>
      <c r="F34" s="15">
        <v>0.71490512140379514</v>
      </c>
      <c r="G34" s="16">
        <v>0.70000000000000007</v>
      </c>
    </row>
    <row r="35" spans="5:7" x14ac:dyDescent="0.25">
      <c r="E35" s="18" t="s">
        <v>46</v>
      </c>
      <c r="F35" s="15">
        <v>0.34519769552521506</v>
      </c>
      <c r="G35" s="16">
        <v>0.35</v>
      </c>
    </row>
    <row r="36" spans="5:7" x14ac:dyDescent="0.25">
      <c r="E36" s="21" t="s">
        <v>47</v>
      </c>
      <c r="F36" s="15">
        <v>0.27816150146457891</v>
      </c>
      <c r="G36" s="16">
        <v>0.28446921202228026</v>
      </c>
    </row>
    <row r="37" spans="5:7" x14ac:dyDescent="0.25">
      <c r="E37" s="21" t="s">
        <v>48</v>
      </c>
      <c r="F37" s="15">
        <v>0.15711436746726784</v>
      </c>
      <c r="G37" s="16">
        <v>0.15</v>
      </c>
    </row>
  </sheetData>
  <conditionalFormatting sqref="J1:J1048576">
    <cfRule type="cellIs" dxfId="34" priority="1" operator="greaterThan">
      <formula>0</formula>
    </cfRule>
    <cfRule type="cellIs" dxfId="33" priority="2" operator="lessThan">
      <formula>0</formula>
    </cfRule>
    <cfRule type="cellIs" dxfId="32" priority="3" operator="greaterThan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E08E-2D18-433B-9E7E-9695F56C3C87}">
  <dimension ref="A2:O26"/>
  <sheetViews>
    <sheetView workbookViewId="0">
      <selection activeCell="L12" sqref="L12"/>
    </sheetView>
  </sheetViews>
  <sheetFormatPr defaultRowHeight="15" x14ac:dyDescent="0.25"/>
  <cols>
    <col min="2" max="2" width="25.5703125" bestFit="1" customWidth="1"/>
    <col min="4" max="4" width="1.28515625" customWidth="1"/>
    <col min="5" max="5" width="10.7109375" bestFit="1" customWidth="1"/>
    <col min="6" max="6" width="1.140625" customWidth="1"/>
    <col min="8" max="8" width="1.5703125" customWidth="1"/>
    <col min="13" max="13" width="29.85546875" bestFit="1" customWidth="1"/>
    <col min="15" max="15" width="9.140625" style="7"/>
  </cols>
  <sheetData>
    <row r="2" spans="1:15" ht="15.75" thickBot="1" x14ac:dyDescent="0.3">
      <c r="B2" s="31" t="s">
        <v>5</v>
      </c>
      <c r="E2" s="32">
        <v>44861</v>
      </c>
    </row>
    <row r="3" spans="1:15" s="23" customFormat="1" ht="15.75" thickBot="1" x14ac:dyDescent="0.3">
      <c r="A3" s="22"/>
      <c r="C3" s="25" t="s">
        <v>56</v>
      </c>
      <c r="D3" s="25"/>
      <c r="E3" s="25" t="s">
        <v>57</v>
      </c>
      <c r="F3" s="25"/>
      <c r="G3" s="25" t="s">
        <v>59</v>
      </c>
      <c r="O3" s="71"/>
    </row>
    <row r="5" spans="1:15" x14ac:dyDescent="0.25">
      <c r="B5" s="4" t="s">
        <v>28</v>
      </c>
      <c r="C5">
        <v>1.27</v>
      </c>
      <c r="E5">
        <v>1.29</v>
      </c>
      <c r="G5" t="s">
        <v>60</v>
      </c>
    </row>
    <row r="6" spans="1:15" x14ac:dyDescent="0.25">
      <c r="B6" s="4" t="s">
        <v>58</v>
      </c>
      <c r="C6">
        <v>88.8</v>
      </c>
      <c r="E6">
        <v>90.15</v>
      </c>
      <c r="G6" t="s">
        <v>60</v>
      </c>
    </row>
    <row r="8" spans="1:15" x14ac:dyDescent="0.25">
      <c r="B8" t="s">
        <v>8</v>
      </c>
      <c r="C8">
        <v>43.21</v>
      </c>
      <c r="E8" s="1">
        <v>42.625999999999998</v>
      </c>
      <c r="G8" t="s">
        <v>61</v>
      </c>
    </row>
    <row r="9" spans="1:15" x14ac:dyDescent="0.25">
      <c r="B9" t="s">
        <v>9</v>
      </c>
      <c r="C9">
        <v>9.36</v>
      </c>
      <c r="E9" s="1">
        <v>11.507999999999999</v>
      </c>
      <c r="G9" t="s">
        <v>60</v>
      </c>
    </row>
    <row r="10" spans="1:15" x14ac:dyDescent="0.25">
      <c r="B10" t="s">
        <v>10</v>
      </c>
      <c r="C10">
        <v>7.94</v>
      </c>
      <c r="E10" s="1">
        <v>7.17</v>
      </c>
      <c r="G10" t="s">
        <v>61</v>
      </c>
    </row>
    <row r="11" spans="1:15" x14ac:dyDescent="0.25">
      <c r="B11" t="s">
        <v>11</v>
      </c>
      <c r="C11">
        <v>20.100000000000001</v>
      </c>
      <c r="E11" s="1">
        <v>19.187999999999999</v>
      </c>
      <c r="G11" t="s">
        <v>61</v>
      </c>
    </row>
    <row r="12" spans="1:15" x14ac:dyDescent="0.25">
      <c r="B12" t="s">
        <v>31</v>
      </c>
      <c r="C12">
        <v>9.17</v>
      </c>
      <c r="E12" s="1">
        <v>9.65</v>
      </c>
      <c r="G12" t="s">
        <v>60</v>
      </c>
    </row>
    <row r="15" spans="1:15" x14ac:dyDescent="0.25">
      <c r="B15" s="4" t="s">
        <v>62</v>
      </c>
      <c r="C15" s="33"/>
      <c r="I15" s="34" t="s">
        <v>56</v>
      </c>
      <c r="J15" s="34"/>
      <c r="K15" s="34"/>
      <c r="M15" s="4" t="s">
        <v>84</v>
      </c>
    </row>
    <row r="16" spans="1:15" x14ac:dyDescent="0.25">
      <c r="B16" t="s">
        <v>66</v>
      </c>
      <c r="C16">
        <v>2021</v>
      </c>
      <c r="E16">
        <v>2017</v>
      </c>
      <c r="G16">
        <v>2012</v>
      </c>
      <c r="I16" t="s">
        <v>67</v>
      </c>
      <c r="J16" t="s">
        <v>68</v>
      </c>
      <c r="K16" t="s">
        <v>69</v>
      </c>
      <c r="M16" t="s">
        <v>85</v>
      </c>
      <c r="O16" s="7">
        <v>2197295.6813420933</v>
      </c>
    </row>
    <row r="17" spans="2:15" x14ac:dyDescent="0.25">
      <c r="M17" t="s">
        <v>86</v>
      </c>
      <c r="O17" s="7">
        <v>48304</v>
      </c>
    </row>
    <row r="18" spans="2:15" x14ac:dyDescent="0.25">
      <c r="B18" t="s">
        <v>63</v>
      </c>
      <c r="C18" s="30">
        <v>0.11600000000000001</v>
      </c>
      <c r="D18" s="30"/>
      <c r="E18" s="30">
        <v>0.11</v>
      </c>
      <c r="F18" s="30"/>
      <c r="G18" s="30">
        <v>9.6000000000000002E-2</v>
      </c>
      <c r="H18" s="30"/>
      <c r="I18" s="30">
        <v>0.02</v>
      </c>
      <c r="J18" s="30">
        <v>0.04</v>
      </c>
      <c r="K18" s="30">
        <v>0.06</v>
      </c>
      <c r="M18" t="s">
        <v>87</v>
      </c>
      <c r="O18" s="7">
        <v>110087</v>
      </c>
    </row>
    <row r="19" spans="2:15" x14ac:dyDescent="0.25">
      <c r="B19" t="s">
        <v>64</v>
      </c>
      <c r="C19" s="30">
        <v>0.25700000000000001</v>
      </c>
      <c r="D19" s="30"/>
      <c r="E19" s="30">
        <v>0.23400000000000001</v>
      </c>
      <c r="F19" s="30"/>
      <c r="G19" s="30">
        <v>0.22800000000000001</v>
      </c>
      <c r="H19" s="30"/>
      <c r="I19" s="30">
        <v>0.2</v>
      </c>
      <c r="J19" s="30">
        <v>0.22</v>
      </c>
      <c r="K19" s="30">
        <v>0.24</v>
      </c>
      <c r="M19" t="s">
        <v>88</v>
      </c>
      <c r="O19" s="7">
        <v>2135512.6813420933</v>
      </c>
    </row>
    <row r="20" spans="2:15" x14ac:dyDescent="0.25">
      <c r="B20" t="s">
        <v>65</v>
      </c>
      <c r="C20" s="30">
        <v>0.27800000000000002</v>
      </c>
      <c r="D20" s="30"/>
      <c r="E20" s="30">
        <v>0.25700000000000001</v>
      </c>
      <c r="F20" s="30"/>
      <c r="G20" s="30">
        <v>0.25800000000000001</v>
      </c>
      <c r="H20" s="30"/>
      <c r="I20" s="30">
        <v>0.22</v>
      </c>
      <c r="J20" s="30">
        <v>0.24</v>
      </c>
      <c r="K20" s="30">
        <v>0.26</v>
      </c>
      <c r="M20" t="s">
        <v>89</v>
      </c>
      <c r="O20" s="7">
        <v>16118</v>
      </c>
    </row>
    <row r="21" spans="2:15" x14ac:dyDescent="0.25">
      <c r="B21" t="s">
        <v>70</v>
      </c>
      <c r="C21" s="1">
        <v>23.52</v>
      </c>
      <c r="E21" s="1">
        <v>0</v>
      </c>
      <c r="F21" s="1">
        <v>0</v>
      </c>
      <c r="G21" s="1">
        <v>0</v>
      </c>
      <c r="I21" s="5">
        <v>14</v>
      </c>
      <c r="J21" s="5">
        <v>15</v>
      </c>
      <c r="K21" s="5">
        <v>16</v>
      </c>
      <c r="M21" t="s">
        <v>90</v>
      </c>
      <c r="O21" s="7">
        <v>132.49241105236959</v>
      </c>
    </row>
    <row r="22" spans="2:15" x14ac:dyDescent="0.25">
      <c r="B22" t="s">
        <v>71</v>
      </c>
      <c r="C22" s="1">
        <v>21.79</v>
      </c>
      <c r="E22" s="1">
        <v>0</v>
      </c>
      <c r="F22" s="1"/>
      <c r="G22" s="1">
        <v>0</v>
      </c>
      <c r="I22" s="5">
        <v>14</v>
      </c>
      <c r="J22" s="5">
        <v>15</v>
      </c>
      <c r="K22" s="5">
        <v>16</v>
      </c>
      <c r="M22" t="s">
        <v>93</v>
      </c>
      <c r="O22" s="7">
        <v>145.35</v>
      </c>
    </row>
    <row r="23" spans="2:15" x14ac:dyDescent="0.25">
      <c r="B23" t="s">
        <v>72</v>
      </c>
      <c r="I23" s="30">
        <v>0.12</v>
      </c>
      <c r="J23" s="30">
        <v>0.13500000000000001</v>
      </c>
      <c r="K23" s="30">
        <v>0.15</v>
      </c>
      <c r="M23" t="s">
        <v>91</v>
      </c>
      <c r="O23" s="7">
        <v>-8.8459504283662893E-2</v>
      </c>
    </row>
    <row r="24" spans="2:15" x14ac:dyDescent="0.25">
      <c r="M24" t="s">
        <v>92</v>
      </c>
      <c r="O24" s="7" t="s">
        <v>94</v>
      </c>
    </row>
    <row r="25" spans="2:15" x14ac:dyDescent="0.25">
      <c r="B25" s="4"/>
    </row>
    <row r="26" spans="2:15" x14ac:dyDescent="0.25">
      <c r="B26" s="4"/>
    </row>
  </sheetData>
  <mergeCells count="1">
    <mergeCell ref="I15:K15"/>
  </mergeCells>
  <conditionalFormatting sqref="G1:G1048576">
    <cfRule type="containsText" dxfId="31" priority="1" operator="containsText" text="No">
      <formula>NOT(ISERROR(SEARCH("No",G1)))</formula>
    </cfRule>
    <cfRule type="containsText" dxfId="30" priority="2" operator="containsText" text="Yes">
      <formula>NOT(ISERROR(SEARCH("Yes",G1)))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4DA7-48A7-461A-ADAE-BB0193DF04D6}">
  <dimension ref="B1:H21"/>
  <sheetViews>
    <sheetView workbookViewId="0">
      <selection activeCell="E26" sqref="E26"/>
    </sheetView>
  </sheetViews>
  <sheetFormatPr defaultRowHeight="15" x14ac:dyDescent="0.25"/>
  <cols>
    <col min="2" max="2" width="20.7109375" bestFit="1" customWidth="1"/>
    <col min="3" max="3" width="10.5703125" bestFit="1" customWidth="1"/>
    <col min="4" max="4" width="13.5703125" bestFit="1" customWidth="1"/>
    <col min="5" max="7" width="11.5703125" bestFit="1" customWidth="1"/>
    <col min="8" max="8" width="13.28515625" bestFit="1" customWidth="1"/>
  </cols>
  <sheetData>
    <row r="1" spans="2:8" ht="15.75" thickBot="1" x14ac:dyDescent="0.3"/>
    <row r="2" spans="2:8" x14ac:dyDescent="0.25">
      <c r="B2" s="35" t="s">
        <v>74</v>
      </c>
      <c r="C2" s="38" t="s">
        <v>81</v>
      </c>
    </row>
    <row r="3" spans="2:8" x14ac:dyDescent="0.25">
      <c r="B3" s="21" t="s">
        <v>75</v>
      </c>
      <c r="C3" s="37">
        <v>0.23519999999999999</v>
      </c>
      <c r="D3" t="s">
        <v>82</v>
      </c>
    </row>
    <row r="4" spans="2:8" x14ac:dyDescent="0.25">
      <c r="B4" s="21" t="s">
        <v>76</v>
      </c>
      <c r="C4" s="37">
        <v>2.5000000000000001E-2</v>
      </c>
    </row>
    <row r="5" spans="2:8" ht="15.75" thickBot="1" x14ac:dyDescent="0.3">
      <c r="B5" s="36" t="s">
        <v>77</v>
      </c>
      <c r="C5" s="39">
        <f>'Stock Valution'!I23</f>
        <v>0.12</v>
      </c>
      <c r="D5" t="s">
        <v>83</v>
      </c>
    </row>
    <row r="6" spans="2:8" ht="15.75" thickBot="1" x14ac:dyDescent="0.3"/>
    <row r="7" spans="2:8" x14ac:dyDescent="0.25">
      <c r="B7" s="40" t="s">
        <v>78</v>
      </c>
      <c r="C7" s="41">
        <v>2022</v>
      </c>
      <c r="D7" s="42">
        <f>C7+1</f>
        <v>2023</v>
      </c>
      <c r="E7" s="42">
        <f t="shared" ref="E7:H7" si="0">D7+1</f>
        <v>2024</v>
      </c>
      <c r="F7" s="42">
        <f t="shared" si="0"/>
        <v>2025</v>
      </c>
      <c r="G7" s="42">
        <f t="shared" si="0"/>
        <v>2026</v>
      </c>
      <c r="H7" s="43">
        <f t="shared" si="0"/>
        <v>2027</v>
      </c>
    </row>
    <row r="8" spans="2:8" x14ac:dyDescent="0.25">
      <c r="B8" s="44" t="s">
        <v>79</v>
      </c>
      <c r="C8" s="45">
        <f>'Q4 22'' Analysis'!C16</f>
        <v>90146</v>
      </c>
      <c r="D8" s="46">
        <f>C8*(1+$C$3)</f>
        <v>111348.3392</v>
      </c>
      <c r="E8" s="46">
        <f t="shared" ref="E8:H8" si="1">D8*(1+$C$3)</f>
        <v>137537.46857984</v>
      </c>
      <c r="F8" s="46">
        <f t="shared" si="1"/>
        <v>169886.28118981837</v>
      </c>
      <c r="G8" s="46">
        <f t="shared" si="1"/>
        <v>209843.53452566368</v>
      </c>
      <c r="H8" s="47">
        <f t="shared" si="1"/>
        <v>259198.73384609979</v>
      </c>
    </row>
    <row r="9" spans="2:8" x14ac:dyDescent="0.25">
      <c r="B9" s="44" t="s">
        <v>80</v>
      </c>
      <c r="C9" s="48"/>
      <c r="D9" s="48"/>
      <c r="E9" s="48"/>
      <c r="F9" s="48"/>
      <c r="G9" s="48"/>
      <c r="H9" s="47">
        <f>H8*(1+C4)/(C5-C4)</f>
        <v>2796617.9178131819</v>
      </c>
    </row>
    <row r="10" spans="2:8" ht="15.75" thickBot="1" x14ac:dyDescent="0.3">
      <c r="B10" s="49" t="s">
        <v>73</v>
      </c>
      <c r="C10" s="50"/>
      <c r="D10" s="51">
        <f>D8</f>
        <v>111348.3392</v>
      </c>
      <c r="E10" s="51">
        <f t="shared" ref="E10:G10" si="2">E8</f>
        <v>137537.46857984</v>
      </c>
      <c r="F10" s="51">
        <f t="shared" si="2"/>
        <v>169886.28118981837</v>
      </c>
      <c r="G10" s="51">
        <f t="shared" si="2"/>
        <v>209843.53452566368</v>
      </c>
      <c r="H10" s="52">
        <f>SUM(H8:H9)</f>
        <v>3055816.6516592815</v>
      </c>
    </row>
    <row r="11" spans="2:8" ht="15.75" thickBot="1" x14ac:dyDescent="0.3"/>
    <row r="12" spans="2:8" x14ac:dyDescent="0.25">
      <c r="B12" s="55" t="s">
        <v>84</v>
      </c>
      <c r="C12" s="56"/>
      <c r="D12" s="57"/>
    </row>
    <row r="13" spans="2:8" x14ac:dyDescent="0.25">
      <c r="B13" s="44" t="s">
        <v>85</v>
      </c>
      <c r="C13" s="48"/>
      <c r="D13" s="58">
        <f>NPV(C5,D10:H10)</f>
        <v>2197295.6813420933</v>
      </c>
    </row>
    <row r="14" spans="2:8" x14ac:dyDescent="0.25">
      <c r="B14" s="59" t="s">
        <v>86</v>
      </c>
      <c r="C14" s="53"/>
      <c r="D14" s="60">
        <v>48304</v>
      </c>
    </row>
    <row r="15" spans="2:8" x14ac:dyDescent="0.25">
      <c r="B15" s="59" t="s">
        <v>87</v>
      </c>
      <c r="C15" s="53"/>
      <c r="D15" s="60">
        <v>110087</v>
      </c>
    </row>
    <row r="16" spans="2:8" x14ac:dyDescent="0.25">
      <c r="B16" s="61" t="s">
        <v>88</v>
      </c>
      <c r="C16" s="48"/>
      <c r="D16" s="58">
        <f>D13+D14-D15</f>
        <v>2135512.6813420933</v>
      </c>
    </row>
    <row r="17" spans="2:4" x14ac:dyDescent="0.25">
      <c r="B17" s="59" t="s">
        <v>89</v>
      </c>
      <c r="C17" s="53"/>
      <c r="D17" s="62">
        <v>16118</v>
      </c>
    </row>
    <row r="18" spans="2:4" ht="15.75" thickBot="1" x14ac:dyDescent="0.3">
      <c r="B18" s="63" t="s">
        <v>90</v>
      </c>
      <c r="C18" s="64"/>
      <c r="D18" s="65">
        <f>D16/D17</f>
        <v>132.49241105236959</v>
      </c>
    </row>
    <row r="19" spans="2:4" x14ac:dyDescent="0.25">
      <c r="B19" s="68" t="s">
        <v>93</v>
      </c>
      <c r="C19" s="69"/>
      <c r="D19" s="70">
        <v>145.35</v>
      </c>
    </row>
    <row r="20" spans="2:4" x14ac:dyDescent="0.25">
      <c r="B20" s="61" t="s">
        <v>91</v>
      </c>
      <c r="C20" s="54"/>
      <c r="D20" s="66">
        <f>D18/D19-1</f>
        <v>-8.8459504283662893E-2</v>
      </c>
    </row>
    <row r="21" spans="2:4" ht="15.75" thickBot="1" x14ac:dyDescent="0.3">
      <c r="B21" s="63" t="s">
        <v>92</v>
      </c>
      <c r="C21" s="64"/>
      <c r="D21" s="67" t="str">
        <f>IF(D18&gt;D19,"BUY","SELL")</f>
        <v>SELL</v>
      </c>
    </row>
  </sheetData>
  <mergeCells count="1">
    <mergeCell ref="B12:C12"/>
  </mergeCells>
  <conditionalFormatting sqref="D20">
    <cfRule type="cellIs" dxfId="26" priority="4" operator="greaterThan">
      <formula>0</formula>
    </cfRule>
    <cfRule type="cellIs" dxfId="25" priority="3" operator="lessThan">
      <formula>0</formula>
    </cfRule>
  </conditionalFormatting>
  <conditionalFormatting sqref="D21">
    <cfRule type="containsText" dxfId="20" priority="2" operator="containsText" text="SELL">
      <formula>NOT(ISERROR(SEARCH("SELL",D21)))</formula>
    </cfRule>
    <cfRule type="containsText" dxfId="21" priority="1" operator="containsText" text="BUY">
      <formula>NOT(ISERROR(SEARCH("BUY",D21)))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Q4 22' Analysis</vt:lpstr>
      <vt:lpstr>Stock Valution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Morton</dc:creator>
  <cp:lastModifiedBy>Josh Morton</cp:lastModifiedBy>
  <dcterms:created xsi:type="dcterms:W3CDTF">2022-10-27T22:27:35Z</dcterms:created>
  <dcterms:modified xsi:type="dcterms:W3CDTF">2022-10-28T01:07:54Z</dcterms:modified>
</cp:coreProperties>
</file>