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GitHub Models\"/>
    </mc:Choice>
  </mc:AlternateContent>
  <xr:revisionPtr revIDLastSave="0" documentId="13_ncr:1_{76152260-60A5-4711-AE80-A5754C4FDF8B}" xr6:coauthVersionLast="47" xr6:coauthVersionMax="47" xr10:uidLastSave="{00000000-0000-0000-0000-000000000000}"/>
  <bookViews>
    <workbookView xWindow="-28920" yWindow="-120" windowWidth="29040" windowHeight="15720" activeTab="1" xr2:uid="{B855E2DD-AE62-48AB-89EA-C967299CFAF6}"/>
  </bookViews>
  <sheets>
    <sheet name="Main" sheetId="1" r:id="rId1"/>
    <sheet name="Model" sheetId="2" r:id="rId2"/>
    <sheet name="Supporting Docs -&gt;" sheetId="3" r:id="rId3"/>
    <sheet name="INCOME_STATEMENT_HISTORIC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M3" i="2"/>
  <c r="L3" i="2"/>
  <c r="K3" i="2"/>
  <c r="J3" i="2"/>
  <c r="Q39" i="2"/>
  <c r="Q37" i="2"/>
  <c r="Q36" i="2"/>
  <c r="C4" i="1"/>
  <c r="C5" i="1" s="1"/>
  <c r="C7" i="1"/>
  <c r="C6" i="1"/>
  <c r="L28" i="2"/>
  <c r="M28" i="2" s="1"/>
  <c r="N28" i="2" s="1"/>
  <c r="L27" i="2"/>
  <c r="M27" i="2" s="1"/>
  <c r="N27" i="2" s="1"/>
  <c r="K28" i="2"/>
  <c r="K27" i="2"/>
  <c r="J28" i="2"/>
  <c r="J27" i="2"/>
  <c r="H35" i="2"/>
  <c r="G35" i="2"/>
  <c r="F35" i="2"/>
  <c r="E35" i="2"/>
  <c r="D35" i="2"/>
  <c r="C35" i="2"/>
  <c r="B35" i="2"/>
  <c r="J20" i="2"/>
  <c r="K20" i="2" s="1"/>
  <c r="L20" i="2" s="1"/>
  <c r="M20" i="2" s="1"/>
  <c r="N20" i="2" s="1"/>
  <c r="L18" i="2"/>
  <c r="M18" i="2" s="1"/>
  <c r="N18" i="2" s="1"/>
  <c r="K18" i="2"/>
  <c r="J18" i="2"/>
  <c r="K13" i="2"/>
  <c r="L13" i="2" s="1"/>
  <c r="M13" i="2" s="1"/>
  <c r="N13" i="2" s="1"/>
  <c r="M16" i="2"/>
  <c r="N16" i="2" s="1"/>
  <c r="L16" i="2"/>
  <c r="K16" i="2"/>
  <c r="J16" i="2"/>
  <c r="J14" i="2"/>
  <c r="K14" i="2" s="1"/>
  <c r="L14" i="2" s="1"/>
  <c r="M14" i="2" s="1"/>
  <c r="N14" i="2" s="1"/>
  <c r="J13" i="2"/>
  <c r="J12" i="2"/>
  <c r="K12" i="2" s="1"/>
  <c r="L12" i="2" s="1"/>
  <c r="M12" i="2" s="1"/>
  <c r="N12" i="2" s="1"/>
  <c r="J11" i="2"/>
  <c r="K11" i="2" s="1"/>
  <c r="L11" i="2" s="1"/>
  <c r="M11" i="2" s="1"/>
  <c r="N11" i="2" s="1"/>
  <c r="B33" i="2"/>
  <c r="D31" i="2"/>
  <c r="J10" i="2"/>
  <c r="K10" i="2" s="1"/>
  <c r="L10" i="2" s="1"/>
  <c r="M10" i="2" s="1"/>
  <c r="N10" i="2" s="1"/>
  <c r="H3" i="2"/>
  <c r="J4" i="2"/>
  <c r="E20" i="2"/>
  <c r="G10" i="2"/>
  <c r="G33" i="2" s="1"/>
  <c r="F10" i="2"/>
  <c r="F33" i="2" s="1"/>
  <c r="D10" i="2"/>
  <c r="C10" i="2"/>
  <c r="B10" i="2"/>
  <c r="E10" i="2"/>
  <c r="E33" i="2" s="1"/>
  <c r="B5" i="2"/>
  <c r="G5" i="2"/>
  <c r="G31" i="2" s="1"/>
  <c r="F5" i="2"/>
  <c r="D5" i="2"/>
  <c r="D33" i="2" s="1"/>
  <c r="C5" i="2"/>
  <c r="C31" i="2" s="1"/>
  <c r="E5" i="2"/>
  <c r="E15" i="2" s="1"/>
  <c r="E17" i="2" s="1"/>
  <c r="E19" i="2" s="1"/>
  <c r="E21" i="2" s="1"/>
  <c r="C2" i="2"/>
  <c r="D2" i="2" s="1"/>
  <c r="E2" i="2" s="1"/>
  <c r="F2" i="2" s="1"/>
  <c r="G2" i="2" s="1"/>
  <c r="H2" i="2" s="1"/>
  <c r="J2" i="2" s="1"/>
  <c r="K2" i="2" s="1"/>
  <c r="L2" i="2" s="1"/>
  <c r="M2" i="2" s="1"/>
  <c r="N2" i="2" s="1"/>
  <c r="R38" i="2"/>
  <c r="R37" i="2"/>
  <c r="R36" i="2"/>
  <c r="R41" i="2"/>
  <c r="R35" i="2"/>
  <c r="R40" i="2"/>
  <c r="R34" i="2"/>
  <c r="R39" i="2"/>
  <c r="R33" i="2"/>
  <c r="F31" i="2" l="1"/>
  <c r="E31" i="2"/>
  <c r="E32" i="2"/>
  <c r="C33" i="2"/>
  <c r="H5" i="2"/>
  <c r="J5" i="2"/>
  <c r="K4" i="2"/>
  <c r="E24" i="2"/>
  <c r="E25" i="2"/>
  <c r="B15" i="2"/>
  <c r="C15" i="2"/>
  <c r="D15" i="2"/>
  <c r="G15" i="2"/>
  <c r="F15" i="2"/>
  <c r="G17" i="2" l="1"/>
  <c r="G19" i="2" s="1"/>
  <c r="G32" i="2"/>
  <c r="D17" i="2"/>
  <c r="D19" i="2" s="1"/>
  <c r="D32" i="2"/>
  <c r="C17" i="2"/>
  <c r="C19" i="2" s="1"/>
  <c r="C32" i="2"/>
  <c r="H15" i="2"/>
  <c r="H33" i="2"/>
  <c r="H31" i="2"/>
  <c r="B17" i="2"/>
  <c r="B19" i="2" s="1"/>
  <c r="B32" i="2"/>
  <c r="F17" i="2"/>
  <c r="F19" i="2" s="1"/>
  <c r="F21" i="2" s="1"/>
  <c r="F32" i="2"/>
  <c r="J15" i="2"/>
  <c r="J33" i="2"/>
  <c r="K5" i="2"/>
  <c r="L4" i="2"/>
  <c r="G21" i="2"/>
  <c r="G25" i="2"/>
  <c r="G24" i="2"/>
  <c r="D21" i="2"/>
  <c r="D24" i="2"/>
  <c r="D25" i="2"/>
  <c r="C21" i="2"/>
  <c r="C24" i="2"/>
  <c r="C25" i="2"/>
  <c r="B21" i="2"/>
  <c r="B24" i="2"/>
  <c r="B25" i="2"/>
  <c r="J17" i="2" l="1"/>
  <c r="J19" i="2" s="1"/>
  <c r="J35" i="2"/>
  <c r="F25" i="2"/>
  <c r="F24" i="2"/>
  <c r="H17" i="2"/>
  <c r="H19" i="2" s="1"/>
  <c r="H32" i="2"/>
  <c r="J32" i="2"/>
  <c r="K15" i="2"/>
  <c r="K31" i="2"/>
  <c r="K33" i="2"/>
  <c r="M4" i="2"/>
  <c r="L5" i="2"/>
  <c r="J25" i="2" l="1"/>
  <c r="J24" i="2"/>
  <c r="J21" i="2"/>
  <c r="K32" i="2"/>
  <c r="K35" i="2"/>
  <c r="H25" i="2"/>
  <c r="H21" i="2"/>
  <c r="H24" i="2"/>
  <c r="K17" i="2"/>
  <c r="K19" i="2" s="1"/>
  <c r="K24" i="2" s="1"/>
  <c r="L15" i="2"/>
  <c r="L33" i="2"/>
  <c r="L31" i="2"/>
  <c r="N4" i="2"/>
  <c r="N5" i="2" s="1"/>
  <c r="M5" i="2"/>
  <c r="L17" i="2" l="1"/>
  <c r="L19" i="2" s="1"/>
  <c r="L25" i="2" s="1"/>
  <c r="L35" i="2"/>
  <c r="K21" i="2"/>
  <c r="N15" i="2"/>
  <c r="N33" i="2"/>
  <c r="N31" i="2"/>
  <c r="L32" i="2"/>
  <c r="K25" i="2"/>
  <c r="M15" i="2"/>
  <c r="M31" i="2"/>
  <c r="M33" i="2"/>
  <c r="L24" i="2" l="1"/>
  <c r="N17" i="2"/>
  <c r="N19" i="2" s="1"/>
  <c r="N24" i="2" s="1"/>
  <c r="N35" i="2"/>
  <c r="M17" i="2"/>
  <c r="M19" i="2" s="1"/>
  <c r="M24" i="2" s="1"/>
  <c r="M35" i="2"/>
  <c r="L21" i="2"/>
  <c r="M32" i="2"/>
  <c r="N32" i="2"/>
  <c r="N21" i="2"/>
  <c r="M21" i="2"/>
  <c r="M25" i="2" l="1"/>
  <c r="N25" i="2"/>
  <c r="Q33" i="2"/>
  <c r="Q34" i="2" s="1"/>
  <c r="Q35" i="2" s="1"/>
  <c r="Q38" i="2" s="1"/>
  <c r="Q40" i="2" s="1"/>
  <c r="Q4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H3" authorId="0" shapeId="0" xr:uid="{138E2524-55F1-412E-A986-5B083E6FDF86}">
      <text>
        <r>
          <rPr>
            <b/>
            <sz val="9"/>
            <color indexed="81"/>
            <rFont val="Tahoma"/>
            <charset val="1"/>
          </rPr>
          <t>Josh Morton:</t>
        </r>
        <r>
          <rPr>
            <sz val="9"/>
            <color indexed="81"/>
            <rFont val="Tahoma"/>
            <charset val="1"/>
          </rPr>
          <t xml:space="preserve">
THE 1,023 IS CONTENT LICENSE EARLY TERMINATION FEE PER PAGE 2 OF FY Q4 REPORT</t>
        </r>
      </text>
    </comment>
    <comment ref="N27" authorId="0" shapeId="0" xr:uid="{C7B10BFB-557D-42FC-A9F7-07520D4BD9F7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share assumptions held constant</t>
        </r>
      </text>
    </comment>
  </commentList>
</comments>
</file>

<file path=xl/sharedStrings.xml><?xml version="1.0" encoding="utf-8"?>
<sst xmlns="http://schemas.openxmlformats.org/spreadsheetml/2006/main" count="46" uniqueCount="44">
  <si>
    <t>Price</t>
  </si>
  <si>
    <t>Shares</t>
  </si>
  <si>
    <t>Market Cap</t>
  </si>
  <si>
    <t>Cash</t>
  </si>
  <si>
    <t>Debt</t>
  </si>
  <si>
    <t>Services</t>
  </si>
  <si>
    <t>Products</t>
  </si>
  <si>
    <t>Total Revenue</t>
  </si>
  <si>
    <t>COS</t>
  </si>
  <si>
    <t>COP</t>
  </si>
  <si>
    <t>Selling, gen, admin</t>
  </si>
  <si>
    <t>Depreciation &amp; amortization</t>
  </si>
  <si>
    <t>Total costs &amp; expenses</t>
  </si>
  <si>
    <t>Restruction &amp; impairment charges</t>
  </si>
  <si>
    <t>Other income, net</t>
  </si>
  <si>
    <t>Interest expense, net</t>
  </si>
  <si>
    <t>Equity in the income (loss) of investees</t>
  </si>
  <si>
    <t>Income from cont. operations before income tax</t>
  </si>
  <si>
    <t>Income tax on cont. operations</t>
  </si>
  <si>
    <t>Net income (loss) from discontinued operations</t>
  </si>
  <si>
    <t>Net income (loss) from continued operations</t>
  </si>
  <si>
    <t>Net income</t>
  </si>
  <si>
    <t xml:space="preserve">Other </t>
  </si>
  <si>
    <t>Net income attributable to Walt Disney Company (Disney)</t>
  </si>
  <si>
    <t>EPS</t>
  </si>
  <si>
    <t>Number of shares</t>
  </si>
  <si>
    <t>Diluted</t>
  </si>
  <si>
    <t>Basic</t>
  </si>
  <si>
    <t>Main</t>
  </si>
  <si>
    <t>FY Q4</t>
  </si>
  <si>
    <t>Gross Margin</t>
  </si>
  <si>
    <t>Operating Margin</t>
  </si>
  <si>
    <t>Income Tax Rate</t>
  </si>
  <si>
    <t>Revenue y/y</t>
  </si>
  <si>
    <t>Terminal Value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</si>
  <si>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</si>
  <si>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</si>
  <si>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</si>
  <si>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</si>
  <si>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</si>
  <si>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</si>
  <si>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Upside</t>
  </si>
  <si>
    <t>Stock</t>
  </si>
  <si>
    <t>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</si>
</sst>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 vertical="center" indent="2"/>
    </xf>
    <xf numFmtId="0" fontId="0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3" applyNumberFormat="1" applyFont="1"/>
    <xf numFmtId="0" fontId="0" fillId="2" borderId="0" xfId="0" applyFill="1"/>
    <xf numFmtId="0" fontId="9" fillId="0" borderId="1" xfId="0" applyFont="1" applyBorder="1"/>
    <xf numFmtId="0" fontId="9" fillId="0" borderId="2" xfId="0" applyFont="1" applyBorder="1"/>
    <xf numFmtId="43" fontId="0" fillId="0" borderId="0" xfId="1" applyFont="1"/>
    <xf numFmtId="0" fontId="2" fillId="0" borderId="3" xfId="0" applyFont="1" applyBorder="1"/>
    <xf numFmtId="0" fontId="2" fillId="0" borderId="1" xfId="0" applyFont="1" applyBorder="1"/>
    <xf numFmtId="44" fontId="0" fillId="0" borderId="4" xfId="2" applyFont="1" applyBorder="1"/>
    <xf numFmtId="44" fontId="0" fillId="0" borderId="5" xfId="2" applyFont="1" applyBorder="1"/>
    <xf numFmtId="10" fontId="0" fillId="0" borderId="6" xfId="3" applyNumberFormat="1" applyFont="1" applyBorder="1"/>
    <xf numFmtId="0" fontId="10" fillId="0" borderId="0" xfId="4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19050</xdr:rowOff>
    </xdr:from>
    <xdr:to>
      <xdr:col>8</xdr:col>
      <xdr:colOff>123825</xdr:colOff>
      <xdr:row>39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52E352-AEB7-E64E-26A4-06D672865988}"/>
            </a:ext>
          </a:extLst>
        </xdr:cNvPr>
        <xdr:cNvCxnSpPr/>
      </xdr:nvCxnSpPr>
      <xdr:spPr>
        <a:xfrm>
          <a:off x="7953375" y="19050"/>
          <a:ext cx="9525" cy="7572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29</xdr:row>
      <xdr:rowOff>66675</xdr:rowOff>
    </xdr:from>
    <xdr:to>
      <xdr:col>30</xdr:col>
      <xdr:colOff>476250</xdr:colOff>
      <xdr:row>29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49A1B7F-5345-5C2C-65EB-A8B8783748F0}"/>
            </a:ext>
          </a:extLst>
        </xdr:cNvPr>
        <xdr:cNvCxnSpPr/>
      </xdr:nvCxnSpPr>
      <xdr:spPr>
        <a:xfrm flipV="1">
          <a:off x="19050" y="5591175"/>
          <a:ext cx="214122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14</xdr:col>
      <xdr:colOff>77147</xdr:colOff>
      <xdr:row>44</xdr:row>
      <xdr:rowOff>39195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637AB-750C-03C2-9355-D8994324D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6782747" cy="784969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36</xdr:col>
      <xdr:colOff>516209</xdr:colOff>
      <xdr:row>46</xdr:row>
      <xdr:rowOff>124986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BF5322-C51B-10B8-FEB5-415D4E821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71500"/>
          <a:ext cx="13317809" cy="8316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0198-8633-4775-950D-29AA23FC33E3}">
  <dimension ref="B2:D7"/>
  <sheetViews>
    <sheetView workbookViewId="0">
      <selection activeCell="G11" sqref="G11"/>
    </sheetView>
  </sheetViews>
  <sheetFormatPr defaultRowHeight="15" x14ac:dyDescent="0.25"/>
  <cols>
    <col min="2" max="2" width="11" bestFit="1" customWidth="1"/>
    <col min="3" max="3" width="11.5703125" bestFit="1" customWidth="1"/>
    <col min="4" max="4" width="10.7109375" bestFit="1" customWidth="1"/>
  </cols>
  <sheetData>
    <row r="2" spans="2:4" x14ac:dyDescent="0.25">
      <c r="B2" t="s">
        <v>42</v>
      </c>
      <c r="C2" s="7" t="s">
        <v>43</v>
      </c>
    </row>
    <row r="3" spans="2:4" x14ac:dyDescent="0.25">
      <c r="B3" t="s">
        <v>0</v>
      </c>
      <c r="C3" s="12">
        <v>95.4</v>
      </c>
      <c r="D3" s="1">
        <v>44877</v>
      </c>
    </row>
    <row r="4" spans="2:4" x14ac:dyDescent="0.25">
      <c r="B4" t="s">
        <v>1</v>
      </c>
      <c r="C4" s="12">
        <f>Model!H27</f>
        <v>1827</v>
      </c>
    </row>
    <row r="5" spans="2:4" x14ac:dyDescent="0.25">
      <c r="B5" t="s">
        <v>2</v>
      </c>
      <c r="C5" s="12">
        <f>C3*C4</f>
        <v>174295.80000000002</v>
      </c>
    </row>
    <row r="6" spans="2:4" x14ac:dyDescent="0.25">
      <c r="B6" t="s">
        <v>3</v>
      </c>
      <c r="C6" s="12">
        <f>11615+12652</f>
        <v>24267</v>
      </c>
    </row>
    <row r="7" spans="2:4" x14ac:dyDescent="0.25">
      <c r="B7" t="s">
        <v>4</v>
      </c>
      <c r="C7" s="12">
        <f>3070+12518</f>
        <v>15588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D58-7047-43F2-8262-DEEB54D46C60}">
  <sheetPr>
    <tabColor theme="5" tint="0.39997558519241921"/>
  </sheetPr>
  <dimension ref="A1:R41"/>
  <sheetViews>
    <sheetView tabSelected="1" topLeftCell="A10" workbookViewId="0">
      <selection activeCell="M41" sqref="M41"/>
    </sheetView>
  </sheetViews>
  <sheetFormatPr defaultRowHeight="15" x14ac:dyDescent="0.25"/>
  <cols>
    <col min="1" max="1" width="53.5703125" bestFit="1" customWidth="1"/>
    <col min="9" max="9" width="4.7109375" customWidth="1"/>
    <col min="16" max="16" width="30.5703125" bestFit="1" customWidth="1"/>
    <col min="17" max="17" width="12.5703125" bestFit="1" customWidth="1"/>
  </cols>
  <sheetData>
    <row r="1" spans="1:14" x14ac:dyDescent="0.25">
      <c r="A1" s="18" t="s">
        <v>28</v>
      </c>
      <c r="H1" s="7" t="s">
        <v>29</v>
      </c>
      <c r="I1" s="7"/>
    </row>
    <row r="2" spans="1:14" s="5" customFormat="1" x14ac:dyDescent="0.25">
      <c r="B2" s="5">
        <v>2016</v>
      </c>
      <c r="C2" s="5">
        <f>B2+1</f>
        <v>2017</v>
      </c>
      <c r="D2" s="5">
        <f t="shared" ref="D2:M2" si="0">C2+1</f>
        <v>2018</v>
      </c>
      <c r="E2" s="5">
        <f t="shared" si="0"/>
        <v>2019</v>
      </c>
      <c r="F2" s="5">
        <f t="shared" si="0"/>
        <v>2020</v>
      </c>
      <c r="G2" s="5">
        <f t="shared" si="0"/>
        <v>2021</v>
      </c>
      <c r="H2" s="5">
        <f t="shared" si="0"/>
        <v>2022</v>
      </c>
      <c r="J2" s="5">
        <f>H2+1</f>
        <v>2023</v>
      </c>
      <c r="K2" s="5">
        <f t="shared" si="0"/>
        <v>2024</v>
      </c>
      <c r="L2" s="5">
        <f t="shared" si="0"/>
        <v>2025</v>
      </c>
      <c r="M2" s="5">
        <f t="shared" si="0"/>
        <v>2026</v>
      </c>
      <c r="N2" s="5">
        <f t="shared" ref="N2" si="1">M2+1</f>
        <v>2027</v>
      </c>
    </row>
    <row r="3" spans="1:14" x14ac:dyDescent="0.25">
      <c r="A3" t="s">
        <v>5</v>
      </c>
      <c r="B3" s="2">
        <v>47130</v>
      </c>
      <c r="C3">
        <v>46843</v>
      </c>
      <c r="D3">
        <v>50869</v>
      </c>
      <c r="E3">
        <v>60579</v>
      </c>
      <c r="F3">
        <v>59265</v>
      </c>
      <c r="G3">
        <v>61768</v>
      </c>
      <c r="H3">
        <f>55040-1023</f>
        <v>54017</v>
      </c>
      <c r="J3">
        <f>H3*1.15</f>
        <v>62119.549999999996</v>
      </c>
      <c r="K3">
        <f>J3*1.2</f>
        <v>74543.459999999992</v>
      </c>
      <c r="L3">
        <f>K3*1.2</f>
        <v>89452.151999999987</v>
      </c>
      <c r="M3">
        <f>L3*1.2</f>
        <v>107342.58239999998</v>
      </c>
      <c r="N3">
        <f>M3*1.2</f>
        <v>128811.09887999998</v>
      </c>
    </row>
    <row r="4" spans="1:14" x14ac:dyDescent="0.25">
      <c r="A4" t="s">
        <v>6</v>
      </c>
      <c r="B4" s="2">
        <v>8502</v>
      </c>
      <c r="C4">
        <v>8294</v>
      </c>
      <c r="D4">
        <v>8565</v>
      </c>
      <c r="E4">
        <v>9028</v>
      </c>
      <c r="F4">
        <v>6123</v>
      </c>
      <c r="G4">
        <v>5650</v>
      </c>
      <c r="H4">
        <v>28705</v>
      </c>
      <c r="J4">
        <f>H4-(H4*0.05)</f>
        <v>27269.75</v>
      </c>
      <c r="K4">
        <f>J4-(J4*0.05)</f>
        <v>25906.262500000001</v>
      </c>
      <c r="L4">
        <f t="shared" ref="L4:M4" si="2">K4-(K4*0.05)</f>
        <v>24610.949375</v>
      </c>
      <c r="M4">
        <f t="shared" si="2"/>
        <v>23380.401906250001</v>
      </c>
      <c r="N4">
        <f t="shared" ref="N4" si="3">M4-(M4*0.05)</f>
        <v>22211.381810937502</v>
      </c>
    </row>
    <row r="5" spans="1:14" s="6" customFormat="1" x14ac:dyDescent="0.25">
      <c r="A5" s="6" t="s">
        <v>7</v>
      </c>
      <c r="B5" s="6">
        <f>SUM(B3:B4)</f>
        <v>55632</v>
      </c>
      <c r="C5" s="6">
        <f t="shared" ref="C5:D5" si="4">SUM(C3:C4)</f>
        <v>55137</v>
      </c>
      <c r="D5" s="6">
        <f t="shared" si="4"/>
        <v>59434</v>
      </c>
      <c r="E5" s="6">
        <f>SUM(E3:E4)</f>
        <v>69607</v>
      </c>
      <c r="F5" s="6">
        <f t="shared" ref="F5:G5" si="5">SUM(F3:F4)</f>
        <v>65388</v>
      </c>
      <c r="G5" s="6">
        <f t="shared" si="5"/>
        <v>67418</v>
      </c>
      <c r="H5" s="6">
        <f>SUM(H3:H4)</f>
        <v>82722</v>
      </c>
      <c r="J5" s="6">
        <f t="shared" ref="J5" si="6">SUM(J3:J4)</f>
        <v>89389.299999999988</v>
      </c>
      <c r="K5" s="6">
        <f t="shared" ref="K5" si="7">SUM(K3:K4)</f>
        <v>100449.72249999999</v>
      </c>
      <c r="L5" s="6">
        <f t="shared" ref="L5" si="8">SUM(L3:L4)</f>
        <v>114063.10137499998</v>
      </c>
      <c r="M5" s="6">
        <f t="shared" ref="M5:N5" si="9">SUM(M3:M4)</f>
        <v>130722.98430624999</v>
      </c>
      <c r="N5" s="6">
        <f t="shared" si="9"/>
        <v>151022.48069093749</v>
      </c>
    </row>
    <row r="6" spans="1:14" x14ac:dyDescent="0.25">
      <c r="A6" t="s">
        <v>8</v>
      </c>
      <c r="B6" s="3">
        <v>-24653</v>
      </c>
      <c r="C6">
        <v>-25320</v>
      </c>
      <c r="D6">
        <v>-27528</v>
      </c>
      <c r="E6">
        <v>-36493</v>
      </c>
      <c r="F6">
        <v>-39406</v>
      </c>
      <c r="G6">
        <v>-41129</v>
      </c>
      <c r="H6" s="9"/>
      <c r="J6" s="9"/>
      <c r="K6" s="9"/>
      <c r="L6" s="9"/>
      <c r="M6" s="9"/>
      <c r="N6" s="9"/>
    </row>
    <row r="7" spans="1:14" x14ac:dyDescent="0.25">
      <c r="A7" t="s">
        <v>9</v>
      </c>
      <c r="B7" s="2">
        <v>-5340</v>
      </c>
      <c r="C7">
        <v>-4986</v>
      </c>
      <c r="D7">
        <v>-5198</v>
      </c>
      <c r="E7">
        <v>-5568</v>
      </c>
      <c r="F7">
        <v>-4474</v>
      </c>
      <c r="G7">
        <v>-4002</v>
      </c>
      <c r="H7" s="9"/>
      <c r="J7" s="9"/>
      <c r="K7" s="9"/>
      <c r="L7" s="9"/>
      <c r="M7" s="9"/>
      <c r="N7" s="9"/>
    </row>
    <row r="8" spans="1:14" x14ac:dyDescent="0.25">
      <c r="A8" t="s">
        <v>10</v>
      </c>
      <c r="B8" s="2">
        <v>-8754</v>
      </c>
      <c r="C8">
        <v>-8176</v>
      </c>
      <c r="D8">
        <v>-8860</v>
      </c>
      <c r="E8">
        <v>-11549</v>
      </c>
      <c r="F8">
        <v>-12369</v>
      </c>
      <c r="G8">
        <v>-13517</v>
      </c>
      <c r="H8" s="9"/>
      <c r="J8" s="9"/>
      <c r="K8" s="9"/>
      <c r="L8" s="9"/>
      <c r="M8" s="9"/>
      <c r="N8" s="9"/>
    </row>
    <row r="9" spans="1:14" x14ac:dyDescent="0.25">
      <c r="A9" t="s">
        <v>11</v>
      </c>
      <c r="B9" s="2">
        <v>-2527</v>
      </c>
      <c r="C9">
        <v>-2782</v>
      </c>
      <c r="D9">
        <v>-3011</v>
      </c>
      <c r="E9">
        <v>-4167</v>
      </c>
      <c r="F9">
        <v>-5345</v>
      </c>
      <c r="G9">
        <v>-5111</v>
      </c>
      <c r="H9" s="9"/>
      <c r="J9" s="9"/>
      <c r="K9" s="9"/>
      <c r="L9" s="9"/>
      <c r="M9" s="9"/>
      <c r="N9" s="9"/>
    </row>
    <row r="10" spans="1:14" s="6" customFormat="1" x14ac:dyDescent="0.25">
      <c r="A10" s="6" t="s">
        <v>12</v>
      </c>
      <c r="B10" s="6">
        <f t="shared" ref="B10:D10" si="10">SUM(B6:B9)</f>
        <v>-41274</v>
      </c>
      <c r="C10" s="6">
        <f t="shared" si="10"/>
        <v>-41264</v>
      </c>
      <c r="D10" s="6">
        <f t="shared" si="10"/>
        <v>-44597</v>
      </c>
      <c r="E10" s="6">
        <f>SUM(E6:E9)</f>
        <v>-57777</v>
      </c>
      <c r="F10" s="6">
        <f t="shared" ref="F10:G10" si="11">SUM(F6:F9)</f>
        <v>-61594</v>
      </c>
      <c r="G10" s="6">
        <f t="shared" si="11"/>
        <v>-63759</v>
      </c>
      <c r="H10" s="6">
        <v>-75952</v>
      </c>
      <c r="J10" s="6">
        <f>H10*1.09</f>
        <v>-82787.680000000008</v>
      </c>
      <c r="K10" s="6">
        <f>J10*1.09</f>
        <v>-90238.57120000002</v>
      </c>
      <c r="L10" s="6">
        <f t="shared" ref="L10:N10" si="12">K10*1.09</f>
        <v>-98360.042608000032</v>
      </c>
      <c r="M10" s="6">
        <f t="shared" si="12"/>
        <v>-107212.44644272004</v>
      </c>
      <c r="N10" s="6">
        <f t="shared" si="12"/>
        <v>-116861.56662256486</v>
      </c>
    </row>
    <row r="11" spans="1:14" x14ac:dyDescent="0.25">
      <c r="A11" t="s">
        <v>13</v>
      </c>
      <c r="B11" s="2">
        <v>-156</v>
      </c>
      <c r="C11">
        <v>-98</v>
      </c>
      <c r="D11">
        <v>-33</v>
      </c>
      <c r="E11">
        <v>-1183</v>
      </c>
      <c r="F11">
        <v>-5735</v>
      </c>
      <c r="G11">
        <v>-654</v>
      </c>
      <c r="H11">
        <v>-237</v>
      </c>
      <c r="J11">
        <f>H11-(H11*0.07)</f>
        <v>-220.41</v>
      </c>
      <c r="K11">
        <f>J11-(J11*0.1)</f>
        <v>-198.369</v>
      </c>
      <c r="L11">
        <f>K11-(K11*0.15)</f>
        <v>-168.61365000000001</v>
      </c>
      <c r="M11">
        <f>L11-(L11*0.2)</f>
        <v>-134.89091999999999</v>
      </c>
      <c r="N11">
        <f>M11-(M11*0.25)</f>
        <v>-101.16819</v>
      </c>
    </row>
    <row r="12" spans="1:14" x14ac:dyDescent="0.25">
      <c r="A12" t="s">
        <v>14</v>
      </c>
      <c r="B12" s="2">
        <v>0</v>
      </c>
      <c r="C12">
        <v>78</v>
      </c>
      <c r="D12">
        <v>601</v>
      </c>
      <c r="E12">
        <v>4357</v>
      </c>
      <c r="F12">
        <v>1038</v>
      </c>
      <c r="G12">
        <v>201</v>
      </c>
      <c r="H12">
        <v>-667</v>
      </c>
      <c r="J12">
        <f>H12-(H12*0.25)</f>
        <v>-500.25</v>
      </c>
      <c r="K12">
        <f>J12-(J12*0.35)</f>
        <v>-325.16250000000002</v>
      </c>
      <c r="L12">
        <f>K12-(K12*0.5)</f>
        <v>-162.58125000000001</v>
      </c>
      <c r="M12">
        <f>L12-(L12*1.1)</f>
        <v>16.258125000000007</v>
      </c>
      <c r="N12">
        <f>M12*1.2</f>
        <v>19.509750000000007</v>
      </c>
    </row>
    <row r="13" spans="1:14" x14ac:dyDescent="0.25">
      <c r="A13" t="s">
        <v>15</v>
      </c>
      <c r="B13" s="2">
        <v>-260</v>
      </c>
      <c r="C13">
        <v>-385</v>
      </c>
      <c r="D13">
        <v>-574</v>
      </c>
      <c r="E13">
        <v>-978</v>
      </c>
      <c r="F13">
        <v>-1491</v>
      </c>
      <c r="G13">
        <v>-1406</v>
      </c>
      <c r="H13">
        <v>-1397</v>
      </c>
      <c r="J13">
        <f>H13*1.1</f>
        <v>-1536.7</v>
      </c>
      <c r="K13">
        <f>J13*1.03</f>
        <v>-1582.8010000000002</v>
      </c>
      <c r="L13">
        <f t="shared" ref="L13:N13" si="13">K13*1.03</f>
        <v>-1630.2850300000002</v>
      </c>
      <c r="M13">
        <f t="shared" si="13"/>
        <v>-1679.1935809000004</v>
      </c>
      <c r="N13">
        <f t="shared" si="13"/>
        <v>-1729.5693883270005</v>
      </c>
    </row>
    <row r="14" spans="1:14" x14ac:dyDescent="0.25">
      <c r="A14" t="s">
        <v>16</v>
      </c>
      <c r="B14" s="2">
        <v>926</v>
      </c>
      <c r="C14">
        <v>320</v>
      </c>
      <c r="D14">
        <v>-102</v>
      </c>
      <c r="E14">
        <v>-103</v>
      </c>
      <c r="F14">
        <v>651</v>
      </c>
      <c r="G14">
        <v>761</v>
      </c>
      <c r="H14">
        <v>816</v>
      </c>
      <c r="J14" s="4">
        <f>H14*1.07</f>
        <v>873.12</v>
      </c>
      <c r="K14" s="4">
        <f>J14*1.07</f>
        <v>934.23840000000007</v>
      </c>
      <c r="L14" s="4">
        <f t="shared" ref="L14:N14" si="14">K14*1.07</f>
        <v>999.63508800000011</v>
      </c>
      <c r="M14" s="4">
        <f t="shared" si="14"/>
        <v>1069.6095441600003</v>
      </c>
      <c r="N14" s="4">
        <f t="shared" si="14"/>
        <v>1144.4822122512003</v>
      </c>
    </row>
    <row r="15" spans="1:14" s="6" customFormat="1" x14ac:dyDescent="0.25">
      <c r="A15" s="6" t="s">
        <v>17</v>
      </c>
      <c r="B15" s="6">
        <f t="shared" ref="B15:D15" si="15">B5+B10+SUM(B11:B14)</f>
        <v>14868</v>
      </c>
      <c r="C15" s="6">
        <f t="shared" si="15"/>
        <v>13788</v>
      </c>
      <c r="D15" s="6">
        <f t="shared" si="15"/>
        <v>14729</v>
      </c>
      <c r="E15" s="6">
        <f>E5+E10+SUM(E11:E14)</f>
        <v>13923</v>
      </c>
      <c r="F15" s="6">
        <f t="shared" ref="F15:H15" si="16">F5+F10+SUM(F11:F14)</f>
        <v>-1743</v>
      </c>
      <c r="G15" s="6">
        <f t="shared" si="16"/>
        <v>2561</v>
      </c>
      <c r="H15" s="6">
        <f t="shared" si="16"/>
        <v>5285</v>
      </c>
      <c r="J15" s="6">
        <f t="shared" ref="J15" si="17">J5+J10+SUM(J11:J14)</f>
        <v>5217.379999999981</v>
      </c>
      <c r="K15" s="6">
        <f t="shared" ref="K15" si="18">K5+K10+SUM(K11:K14)</f>
        <v>9039.0571999999684</v>
      </c>
      <c r="L15" s="6">
        <f t="shared" ref="L15" si="19">L5+L10+SUM(L11:L14)</f>
        <v>14741.213924999951</v>
      </c>
      <c r="M15" s="6">
        <f t="shared" ref="M15:N15" si="20">M5+M10+SUM(M11:M14)</f>
        <v>22782.321031789943</v>
      </c>
      <c r="N15" s="6">
        <f t="shared" si="20"/>
        <v>33494.168452296828</v>
      </c>
    </row>
    <row r="16" spans="1:14" x14ac:dyDescent="0.25">
      <c r="A16" t="s">
        <v>18</v>
      </c>
      <c r="B16" s="2">
        <v>-5078</v>
      </c>
      <c r="C16">
        <v>-4422</v>
      </c>
      <c r="D16">
        <v>-1663</v>
      </c>
      <c r="E16">
        <v>-3026</v>
      </c>
      <c r="F16">
        <v>-699</v>
      </c>
      <c r="G16">
        <v>-25</v>
      </c>
      <c r="H16">
        <v>-1732</v>
      </c>
      <c r="J16">
        <f>H16*1.05</f>
        <v>-1818.6000000000001</v>
      </c>
      <c r="K16">
        <f>J16*1.03</f>
        <v>-1873.1580000000001</v>
      </c>
      <c r="L16">
        <f>K16*1.02</f>
        <v>-1910.6211600000001</v>
      </c>
      <c r="M16">
        <f>L16*1.02</f>
        <v>-1948.8335832000002</v>
      </c>
      <c r="N16">
        <f>M16*1.02</f>
        <v>-1987.8102548640004</v>
      </c>
    </row>
    <row r="17" spans="1:14" s="6" customFormat="1" x14ac:dyDescent="0.25">
      <c r="A17" s="6" t="s">
        <v>20</v>
      </c>
      <c r="B17" s="6">
        <f t="shared" ref="B17:D17" si="21">SUM(B15:B16)</f>
        <v>9790</v>
      </c>
      <c r="C17" s="6">
        <f t="shared" si="21"/>
        <v>9366</v>
      </c>
      <c r="D17" s="6">
        <f t="shared" si="21"/>
        <v>13066</v>
      </c>
      <c r="E17" s="6">
        <f>SUM(E15:E16)</f>
        <v>10897</v>
      </c>
      <c r="F17" s="6">
        <f t="shared" ref="F17:H17" si="22">SUM(F15:F16)</f>
        <v>-2442</v>
      </c>
      <c r="G17" s="6">
        <f t="shared" si="22"/>
        <v>2536</v>
      </c>
      <c r="H17" s="6">
        <f t="shared" si="22"/>
        <v>3553</v>
      </c>
      <c r="J17" s="6">
        <f t="shared" ref="J17" si="23">SUM(J15:J16)</f>
        <v>3398.7799999999806</v>
      </c>
      <c r="K17" s="6">
        <f t="shared" ref="K17" si="24">SUM(K15:K16)</f>
        <v>7165.899199999968</v>
      </c>
      <c r="L17" s="6">
        <f t="shared" ref="L17" si="25">SUM(L15:L16)</f>
        <v>12830.59276499995</v>
      </c>
      <c r="M17" s="6">
        <f t="shared" ref="M17:N17" si="26">SUM(M15:M16)</f>
        <v>20833.487448589942</v>
      </c>
      <c r="N17" s="6">
        <f t="shared" si="26"/>
        <v>31506.358197432826</v>
      </c>
    </row>
    <row r="18" spans="1:14" x14ac:dyDescent="0.25">
      <c r="A18" t="s">
        <v>19</v>
      </c>
      <c r="B18" s="2">
        <v>-399</v>
      </c>
      <c r="C18">
        <v>-386</v>
      </c>
      <c r="D18">
        <v>-468</v>
      </c>
      <c r="E18">
        <v>687</v>
      </c>
      <c r="F18">
        <v>-32</v>
      </c>
      <c r="G18">
        <v>-29</v>
      </c>
      <c r="H18">
        <v>-48</v>
      </c>
      <c r="J18">
        <f>H18-(H18*0.07)</f>
        <v>-44.64</v>
      </c>
      <c r="K18">
        <f>J18-(J18*0.1)</f>
        <v>-40.176000000000002</v>
      </c>
      <c r="L18">
        <f t="shared" ref="L18:N18" si="27">K18-(K18*0.1)</f>
        <v>-36.1584</v>
      </c>
      <c r="M18">
        <f t="shared" si="27"/>
        <v>-32.542560000000002</v>
      </c>
      <c r="N18">
        <f t="shared" si="27"/>
        <v>-29.288304</v>
      </c>
    </row>
    <row r="19" spans="1:14" s="6" customFormat="1" x14ac:dyDescent="0.25">
      <c r="A19" s="6" t="s">
        <v>21</v>
      </c>
      <c r="B19" s="6">
        <f t="shared" ref="B19:D19" si="28">SUM(B17:B18)</f>
        <v>9391</v>
      </c>
      <c r="C19" s="6">
        <f t="shared" si="28"/>
        <v>8980</v>
      </c>
      <c r="D19" s="6">
        <f t="shared" si="28"/>
        <v>12598</v>
      </c>
      <c r="E19" s="6">
        <f>SUM(E17:E18)</f>
        <v>11584</v>
      </c>
      <c r="F19" s="6">
        <f t="shared" ref="F19:H19" si="29">SUM(F17:F18)</f>
        <v>-2474</v>
      </c>
      <c r="G19" s="6">
        <f t="shared" si="29"/>
        <v>2507</v>
      </c>
      <c r="H19" s="6">
        <f t="shared" si="29"/>
        <v>3505</v>
      </c>
      <c r="J19" s="6">
        <f t="shared" ref="J19" si="30">SUM(J17:J18)</f>
        <v>3354.1399999999808</v>
      </c>
      <c r="K19" s="6">
        <f t="shared" ref="K19" si="31">SUM(K17:K18)</f>
        <v>7125.7231999999676</v>
      </c>
      <c r="L19" s="6">
        <f t="shared" ref="L19" si="32">SUM(L17:L18)</f>
        <v>12794.43436499995</v>
      </c>
      <c r="M19" s="6">
        <f t="shared" ref="M19:N19" si="33">SUM(M17:M18)</f>
        <v>20800.94488858994</v>
      </c>
      <c r="N19" s="6">
        <f t="shared" si="33"/>
        <v>31477.069893432825</v>
      </c>
    </row>
    <row r="20" spans="1:14" x14ac:dyDescent="0.25">
      <c r="A20" t="s">
        <v>22</v>
      </c>
      <c r="B20">
        <v>0</v>
      </c>
      <c r="C20">
        <v>0</v>
      </c>
      <c r="D20">
        <v>0</v>
      </c>
      <c r="E20">
        <f>-(472+58)</f>
        <v>-530</v>
      </c>
      <c r="F20">
        <v>-390</v>
      </c>
      <c r="G20">
        <v>-512</v>
      </c>
      <c r="H20">
        <v>-360</v>
      </c>
      <c r="J20">
        <f>H20*1.03</f>
        <v>-370.8</v>
      </c>
      <c r="K20">
        <f>J20*1.02</f>
        <v>-378.21600000000001</v>
      </c>
      <c r="L20">
        <f t="shared" ref="L20:N20" si="34">K20*1.02</f>
        <v>-385.78032000000002</v>
      </c>
      <c r="M20">
        <f t="shared" si="34"/>
        <v>-393.49592640000003</v>
      </c>
      <c r="N20">
        <f t="shared" si="34"/>
        <v>-401.36584492800006</v>
      </c>
    </row>
    <row r="21" spans="1:14" s="6" customFormat="1" x14ac:dyDescent="0.25">
      <c r="A21" s="6" t="s">
        <v>23</v>
      </c>
      <c r="B21" s="6">
        <f t="shared" ref="B21:D21" si="35">SUM(B19:B20)</f>
        <v>9391</v>
      </c>
      <c r="C21" s="6">
        <f t="shared" si="35"/>
        <v>8980</v>
      </c>
      <c r="D21" s="6">
        <f t="shared" si="35"/>
        <v>12598</v>
      </c>
      <c r="E21" s="6">
        <f>SUM(E19:E20)</f>
        <v>11054</v>
      </c>
      <c r="F21" s="6">
        <f t="shared" ref="F21:H21" si="36">SUM(F19:F20)</f>
        <v>-2864</v>
      </c>
      <c r="G21" s="6">
        <f t="shared" si="36"/>
        <v>1995</v>
      </c>
      <c r="H21" s="6">
        <f t="shared" si="36"/>
        <v>3145</v>
      </c>
      <c r="J21" s="6">
        <f t="shared" ref="J21" si="37">SUM(J19:J20)</f>
        <v>2983.3399999999806</v>
      </c>
      <c r="K21" s="6">
        <f t="shared" ref="K21" si="38">SUM(K19:K20)</f>
        <v>6747.5071999999673</v>
      </c>
      <c r="L21" s="6">
        <f t="shared" ref="L21" si="39">SUM(L19:L20)</f>
        <v>12408.65404499995</v>
      </c>
      <c r="M21" s="6">
        <f t="shared" ref="M21:N21" si="40">SUM(M19:M20)</f>
        <v>20407.448962189941</v>
      </c>
      <c r="N21" s="6">
        <f t="shared" si="40"/>
        <v>31075.704048504824</v>
      </c>
    </row>
    <row r="23" spans="1:14" x14ac:dyDescent="0.25">
      <c r="A23" s="6" t="s">
        <v>24</v>
      </c>
    </row>
    <row r="24" spans="1:14" x14ac:dyDescent="0.25">
      <c r="A24" s="6" t="s">
        <v>26</v>
      </c>
      <c r="B24">
        <f t="shared" ref="B24:D24" si="41">B19/B27</f>
        <v>5.7297132397803541</v>
      </c>
      <c r="C24">
        <f t="shared" si="41"/>
        <v>5.6907477820025347</v>
      </c>
      <c r="D24">
        <f t="shared" si="41"/>
        <v>8.3596549435965493</v>
      </c>
      <c r="E24">
        <f>E19/E27</f>
        <v>6.9531812725090036</v>
      </c>
      <c r="F24">
        <f t="shared" ref="F24:G24" si="42">F19/F27</f>
        <v>-1.3683628318584071</v>
      </c>
      <c r="G24">
        <f t="shared" si="42"/>
        <v>1.3714442013129102</v>
      </c>
      <c r="H24">
        <f t="shared" ref="H24" si="43">H19/H27</f>
        <v>1.9184455391351942</v>
      </c>
      <c r="J24">
        <f t="shared" ref="J24:M24" si="44">J19/J27</f>
        <v>1.8358730158730054</v>
      </c>
      <c r="K24">
        <f t="shared" si="44"/>
        <v>3.9002316365626535</v>
      </c>
      <c r="L24">
        <f t="shared" si="44"/>
        <v>7.002974474548413</v>
      </c>
      <c r="M24">
        <f t="shared" si="44"/>
        <v>11.385300978976431</v>
      </c>
      <c r="N24">
        <f t="shared" ref="N24" si="45">N19/N27</f>
        <v>17.228828622568596</v>
      </c>
    </row>
    <row r="25" spans="1:14" x14ac:dyDescent="0.25">
      <c r="A25" s="6" t="s">
        <v>27</v>
      </c>
      <c r="B25">
        <f t="shared" ref="B25:D25" si="46">B19/B28</f>
        <v>5.7648864333947207</v>
      </c>
      <c r="C25">
        <f t="shared" si="46"/>
        <v>5.7270408163265305</v>
      </c>
      <c r="D25">
        <f t="shared" si="46"/>
        <v>8.4042695130086731</v>
      </c>
      <c r="E25">
        <f>E19/E28</f>
        <v>6.9951690821256038</v>
      </c>
      <c r="F25">
        <f t="shared" ref="F25:G25" si="47">F19/F28</f>
        <v>-1.3683628318584071</v>
      </c>
      <c r="G25">
        <f t="shared" si="47"/>
        <v>1.3805066079295154</v>
      </c>
      <c r="H25">
        <f t="shared" ref="H25" si="48">H19/H28</f>
        <v>1.9237102085620197</v>
      </c>
      <c r="J25">
        <f t="shared" ref="J25:M25" si="49">J19/J28</f>
        <v>1.840911086717882</v>
      </c>
      <c r="K25">
        <f t="shared" si="49"/>
        <v>3.9109347969264365</v>
      </c>
      <c r="L25">
        <f t="shared" si="49"/>
        <v>7.022192296926427</v>
      </c>
      <c r="M25">
        <f t="shared" si="49"/>
        <v>11.41654494434135</v>
      </c>
      <c r="N25">
        <f t="shared" ref="N25" si="50">N19/N28</f>
        <v>17.276108613300124</v>
      </c>
    </row>
    <row r="26" spans="1:14" x14ac:dyDescent="0.25">
      <c r="A26" t="s">
        <v>25</v>
      </c>
    </row>
    <row r="27" spans="1:14" x14ac:dyDescent="0.25">
      <c r="A27" t="s">
        <v>26</v>
      </c>
      <c r="B27">
        <v>1639</v>
      </c>
      <c r="C27">
        <v>1578</v>
      </c>
      <c r="D27">
        <v>1507</v>
      </c>
      <c r="E27">
        <v>1666</v>
      </c>
      <c r="F27">
        <v>1808</v>
      </c>
      <c r="G27">
        <v>1828</v>
      </c>
      <c r="H27">
        <v>1827</v>
      </c>
      <c r="J27">
        <f>H27</f>
        <v>1827</v>
      </c>
      <c r="K27">
        <f>J27</f>
        <v>1827</v>
      </c>
      <c r="L27">
        <f t="shared" ref="L27:N27" si="51">K27</f>
        <v>1827</v>
      </c>
      <c r="M27">
        <f t="shared" si="51"/>
        <v>1827</v>
      </c>
      <c r="N27">
        <f t="shared" si="51"/>
        <v>1827</v>
      </c>
    </row>
    <row r="28" spans="1:14" x14ac:dyDescent="0.25">
      <c r="A28" t="s">
        <v>27</v>
      </c>
      <c r="B28">
        <v>1629</v>
      </c>
      <c r="C28">
        <v>1568</v>
      </c>
      <c r="D28">
        <v>1499</v>
      </c>
      <c r="E28">
        <v>1656</v>
      </c>
      <c r="F28">
        <v>1808</v>
      </c>
      <c r="G28">
        <v>1816</v>
      </c>
      <c r="H28">
        <v>1822</v>
      </c>
      <c r="J28">
        <f>H28</f>
        <v>1822</v>
      </c>
      <c r="K28">
        <f>J28</f>
        <v>1822</v>
      </c>
      <c r="L28">
        <f t="shared" ref="L28:N28" si="52">K28</f>
        <v>1822</v>
      </c>
      <c r="M28">
        <f t="shared" si="52"/>
        <v>1822</v>
      </c>
      <c r="N28">
        <f t="shared" si="52"/>
        <v>1822</v>
      </c>
    </row>
    <row r="31" spans="1:14" x14ac:dyDescent="0.25">
      <c r="A31" t="s">
        <v>33</v>
      </c>
      <c r="B31" s="8"/>
      <c r="C31" s="8">
        <f>C5/B5-1</f>
        <v>-8.8977566867989299E-3</v>
      </c>
      <c r="D31" s="8">
        <f t="shared" ref="D31:H31" si="53">D5/C5-1</f>
        <v>7.7933148339590419E-2</v>
      </c>
      <c r="E31" s="8">
        <f t="shared" si="53"/>
        <v>0.1711646532287916</v>
      </c>
      <c r="F31" s="8">
        <f t="shared" si="53"/>
        <v>-6.0611720085623544E-2</v>
      </c>
      <c r="G31" s="8">
        <f t="shared" si="53"/>
        <v>3.1045451764849741E-2</v>
      </c>
      <c r="H31" s="8">
        <f t="shared" si="53"/>
        <v>0.22700169094307165</v>
      </c>
      <c r="J31" s="8"/>
      <c r="K31" s="8">
        <f t="shared" ref="K31:N31" si="54">K5/J5-1</f>
        <v>0.12373318171190517</v>
      </c>
      <c r="L31" s="8">
        <f t="shared" si="54"/>
        <v>0.13552430545539829</v>
      </c>
      <c r="M31" s="8">
        <f t="shared" si="54"/>
        <v>0.14605847754812551</v>
      </c>
      <c r="N31" s="8">
        <f t="shared" si="54"/>
        <v>0.155286359873265</v>
      </c>
    </row>
    <row r="32" spans="1:14" ht="15.75" thickBot="1" x14ac:dyDescent="0.3">
      <c r="A32" t="s">
        <v>30</v>
      </c>
      <c r="B32" s="8">
        <f>B15/B5</f>
        <v>0.2672562553925798</v>
      </c>
      <c r="C32" s="8">
        <f t="shared" ref="C32:H32" si="55">C15/C5</f>
        <v>0.25006801240546278</v>
      </c>
      <c r="D32" s="8">
        <f t="shared" si="55"/>
        <v>0.24782111249453176</v>
      </c>
      <c r="E32" s="8">
        <f t="shared" si="55"/>
        <v>0.20002298619391728</v>
      </c>
      <c r="F32" s="8">
        <f t="shared" si="55"/>
        <v>-2.6656267204991743E-2</v>
      </c>
      <c r="G32" s="8">
        <f t="shared" si="55"/>
        <v>3.7986887774778252E-2</v>
      </c>
      <c r="H32" s="8">
        <f t="shared" si="55"/>
        <v>6.3888687410845968E-2</v>
      </c>
      <c r="J32" s="8">
        <f t="shared" ref="J32:N32" si="56">J15/J5</f>
        <v>5.8366941009717961E-2</v>
      </c>
      <c r="K32" s="8">
        <f t="shared" si="56"/>
        <v>8.9985885227308313E-2</v>
      </c>
      <c r="L32" s="8">
        <f t="shared" si="56"/>
        <v>0.12923735850856749</v>
      </c>
      <c r="M32" s="8">
        <f t="shared" si="56"/>
        <v>0.17427938286978581</v>
      </c>
      <c r="N32" s="8">
        <f t="shared" si="56"/>
        <v>0.2217826663888639</v>
      </c>
    </row>
    <row r="33" spans="1:18" x14ac:dyDescent="0.25">
      <c r="A33" t="s">
        <v>31</v>
      </c>
      <c r="B33" s="8">
        <f>B10/B5</f>
        <v>-0.74191113028472822</v>
      </c>
      <c r="C33" s="8">
        <f t="shared" ref="C33:H33" si="57">C10/C5</f>
        <v>-0.74839037307071477</v>
      </c>
      <c r="D33" s="8">
        <f t="shared" si="57"/>
        <v>-0.75036174580206616</v>
      </c>
      <c r="E33" s="8">
        <f t="shared" si="57"/>
        <v>-0.83004582872412258</v>
      </c>
      <c r="F33" s="8">
        <f t="shared" si="57"/>
        <v>-0.9419771211843152</v>
      </c>
      <c r="G33" s="8">
        <f t="shared" si="57"/>
        <v>-0.94572666053576193</v>
      </c>
      <c r="H33" s="8">
        <f t="shared" si="57"/>
        <v>-0.9181596189647252</v>
      </c>
      <c r="J33" s="8">
        <f t="shared" ref="J33:N33" si="58">J10/J5</f>
        <v>-0.92614753667385263</v>
      </c>
      <c r="K33" s="8">
        <f t="shared" si="58"/>
        <v>-0.89834564948648843</v>
      </c>
      <c r="L33" s="8">
        <f t="shared" si="58"/>
        <v>-0.86233007363727787</v>
      </c>
      <c r="M33" s="8">
        <f t="shared" si="58"/>
        <v>-0.82014993011136539</v>
      </c>
      <c r="N33" s="8">
        <f t="shared" si="58"/>
        <v>-0.77380245701113992</v>
      </c>
      <c r="P33" s="13" t="s">
        <v>34</v>
      </c>
      <c r="Q33" s="15">
        <f>N19*(1+0.025)/(0.12-0.025)</f>
        <v>339621.01727124886</v>
      </c>
      <c r="R33" t="str">
        <f ca="1">_xlfn.FORMULATEXT(Q33)</f>
        <v>=N19*(1+0.025)/(0.12-0.025)</v>
      </c>
    </row>
    <row r="34" spans="1:18" x14ac:dyDescent="0.25">
      <c r="P34" s="14"/>
      <c r="Q34" s="16">
        <f>SUM(Q33,J19:N19)</f>
        <v>415173.3296182715</v>
      </c>
      <c r="R34" t="str">
        <f t="shared" ref="R34:R41" ca="1" si="59">_xlfn.FORMULATEXT(Q34)</f>
        <v>=SUM(Q33,J19:N19)</v>
      </c>
    </row>
    <row r="35" spans="1:18" x14ac:dyDescent="0.25">
      <c r="A35" t="s">
        <v>32</v>
      </c>
      <c r="B35" s="8">
        <f>-(B16/B15)</f>
        <v>0.34153887543718053</v>
      </c>
      <c r="C35" s="8">
        <f t="shared" ref="C35:N35" si="60">-(C16/C15)</f>
        <v>0.32071366405570062</v>
      </c>
      <c r="D35" s="8">
        <f t="shared" si="60"/>
        <v>0.1129065109647634</v>
      </c>
      <c r="E35" s="8">
        <f t="shared" si="60"/>
        <v>0.21733821733821734</v>
      </c>
      <c r="F35" s="8">
        <f t="shared" si="60"/>
        <v>-0.40103270223752152</v>
      </c>
      <c r="G35" s="8">
        <f t="shared" si="60"/>
        <v>9.7618117922686452E-3</v>
      </c>
      <c r="H35" s="8">
        <f t="shared" si="60"/>
        <v>0.32771996215704824</v>
      </c>
      <c r="I35" s="8"/>
      <c r="J35" s="8">
        <f t="shared" si="60"/>
        <v>0.3485657552258043</v>
      </c>
      <c r="K35" s="8">
        <f t="shared" si="60"/>
        <v>0.20722935573413637</v>
      </c>
      <c r="L35" s="8">
        <f t="shared" si="60"/>
        <v>0.12961084275154133</v>
      </c>
      <c r="M35" s="8">
        <f t="shared" si="60"/>
        <v>8.5541485456229041E-2</v>
      </c>
      <c r="N35" s="8">
        <f t="shared" si="60"/>
        <v>5.9347950605045947E-2</v>
      </c>
      <c r="P35" s="14" t="s">
        <v>35</v>
      </c>
      <c r="Q35" s="16">
        <f>NPV(0.12,H19:M19,Q34)</f>
        <v>241149.15174676513</v>
      </c>
      <c r="R35" t="str">
        <f t="shared" ca="1" si="59"/>
        <v>=NPV(0.12,H19:M19,Q34)</v>
      </c>
    </row>
    <row r="36" spans="1:18" x14ac:dyDescent="0.25">
      <c r="P36" s="10" t="s">
        <v>36</v>
      </c>
      <c r="Q36" s="16">
        <f>Main!C6</f>
        <v>24267</v>
      </c>
      <c r="R36" t="str">
        <f t="shared" ca="1" si="59"/>
        <v>=Main!C6</v>
      </c>
    </row>
    <row r="37" spans="1:18" x14ac:dyDescent="0.25">
      <c r="P37" s="10" t="s">
        <v>37</v>
      </c>
      <c r="Q37" s="16">
        <f>Main!C7</f>
        <v>15588</v>
      </c>
      <c r="R37" t="str">
        <f t="shared" ca="1" si="59"/>
        <v>=Main!C7</v>
      </c>
    </row>
    <row r="38" spans="1:18" x14ac:dyDescent="0.25">
      <c r="P38" s="10" t="s">
        <v>38</v>
      </c>
      <c r="Q38" s="16">
        <f>Q35+Q36-Q37</f>
        <v>249828.15174676513</v>
      </c>
      <c r="R38" t="str">
        <f t="shared" ca="1" si="59"/>
        <v>=Q35+Q36-Q37</v>
      </c>
    </row>
    <row r="39" spans="1:18" x14ac:dyDescent="0.25">
      <c r="P39" s="10" t="s">
        <v>39</v>
      </c>
      <c r="Q39" s="16">
        <f>N27</f>
        <v>1827</v>
      </c>
      <c r="R39" t="str">
        <f t="shared" ca="1" si="59"/>
        <v>=N27</v>
      </c>
    </row>
    <row r="40" spans="1:18" x14ac:dyDescent="0.25">
      <c r="P40" s="10" t="s">
        <v>40</v>
      </c>
      <c r="Q40" s="16">
        <f>Q38/Q39</f>
        <v>136.74228338629729</v>
      </c>
      <c r="R40" t="str">
        <f t="shared" ca="1" si="59"/>
        <v>=Q38/Q39</v>
      </c>
    </row>
    <row r="41" spans="1:18" ht="15.75" thickBot="1" x14ac:dyDescent="0.3">
      <c r="P41" s="11" t="s">
        <v>41</v>
      </c>
      <c r="Q41" s="17">
        <f>Q40/Main!C3-1</f>
        <v>0.43335726820018117</v>
      </c>
      <c r="R41" t="str">
        <f t="shared" ca="1" si="59"/>
        <v>=Q40/Main!C3-1</v>
      </c>
    </row>
  </sheetData>
  <hyperlinks>
    <hyperlink ref="A1" location="Main!A1" display="Main" xr:uid="{6BD641EF-475E-498E-830C-F731C71C7315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9920-10D4-4C4C-94E7-BD05B86E03E4}">
  <sheetPr>
    <tabColor theme="1"/>
  </sheetPr>
  <dimension ref="A1"/>
  <sheetViews>
    <sheetView workbookViewId="0">
      <selection activeCell="G35" sqref="G3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C9CD-20AA-4C97-8BF5-495D359E9811}">
  <sheetPr>
    <tabColor theme="7" tint="0.79998168889431442"/>
  </sheetPr>
  <dimension ref="A1"/>
  <sheetViews>
    <sheetView zoomScale="75" zoomScaleNormal="75" workbookViewId="0">
      <selection activeCell="P2" sqref="P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Supporting Docs -&gt;</vt:lpstr>
      <vt:lpstr>INCOME_STATEMENT_HISTORICAL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2022-11-12T14:47:05Z</dcterms:created>
  <dcterms:modified xsi:type="dcterms:W3CDTF">2022-11-12T20:59:18Z</dcterms:modified>
</cp:coreProperties>
</file>