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4b76a65d58f2796f/Desktop/Personal Finance Plan/"/>
    </mc:Choice>
  </mc:AlternateContent>
  <xr:revisionPtr revIDLastSave="382" documentId="8_{3C9DBC85-02E6-4BA6-8716-E18A58EEDD3A}" xr6:coauthVersionLast="47" xr6:coauthVersionMax="47" xr10:uidLastSave="{8E63746F-E6B8-42D7-ABAD-A55D029A2776}"/>
  <bookViews>
    <workbookView xWindow="-120" yWindow="-120" windowWidth="29040" windowHeight="15720" activeTab="1" xr2:uid="{F42A0623-BFB9-421D-AA92-02AA3132C796}"/>
  </bookViews>
  <sheets>
    <sheet name="Main" sheetId="3" r:id="rId1"/>
    <sheet name="Income Statement" sheetId="1" r:id="rId2"/>
    <sheet name="Balance Shee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7" i="1" l="1"/>
  <c r="H47" i="1" s="1"/>
  <c r="D46" i="1"/>
  <c r="H46" i="1" s="1"/>
  <c r="K22" i="1"/>
  <c r="L22" i="1" s="1"/>
  <c r="M22" i="1" s="1"/>
  <c r="N22" i="1" s="1"/>
  <c r="O22" i="1" s="1"/>
  <c r="P22" i="1" s="1"/>
  <c r="Q22" i="1" s="1"/>
  <c r="R22" i="1" s="1"/>
  <c r="S22" i="1" s="1"/>
  <c r="T22" i="1" s="1"/>
  <c r="H16" i="1"/>
  <c r="G38" i="1"/>
  <c r="F38" i="1"/>
  <c r="E38" i="1"/>
  <c r="D38" i="1"/>
  <c r="H38" i="1" s="1"/>
  <c r="I38" i="1" s="1"/>
  <c r="K18" i="1" s="1"/>
  <c r="L18" i="1" s="1"/>
  <c r="M18" i="1" s="1"/>
  <c r="N18" i="1" s="1"/>
  <c r="O18" i="1" s="1"/>
  <c r="P18" i="1" s="1"/>
  <c r="Q18" i="1" s="1"/>
  <c r="R18" i="1" s="1"/>
  <c r="S18" i="1" s="1"/>
  <c r="T18" i="1" s="1"/>
  <c r="C38" i="1"/>
  <c r="G37" i="1"/>
  <c r="F37" i="1"/>
  <c r="E37" i="1"/>
  <c r="D37" i="1"/>
  <c r="C37" i="1"/>
  <c r="H37" i="1" s="1"/>
  <c r="I37" i="1" s="1"/>
  <c r="K9" i="1" s="1"/>
  <c r="L9" i="1" s="1"/>
  <c r="M9" i="1" s="1"/>
  <c r="N9" i="1" s="1"/>
  <c r="O9" i="1" s="1"/>
  <c r="P9" i="1" s="1"/>
  <c r="Q9" i="1" s="1"/>
  <c r="R9" i="1" s="1"/>
  <c r="S9" i="1" s="1"/>
  <c r="T9" i="1" s="1"/>
  <c r="I35" i="1"/>
  <c r="D7" i="3"/>
  <c r="D6" i="3"/>
  <c r="D4" i="3"/>
  <c r="D5" i="3" s="1"/>
  <c r="D9" i="3" a="1"/>
  <c r="D9" i="3" s="1"/>
  <c r="G36" i="1"/>
  <c r="F36" i="1"/>
  <c r="E36" i="1"/>
  <c r="D36" i="1"/>
  <c r="C36" i="1"/>
  <c r="G35" i="1"/>
  <c r="F35" i="1"/>
  <c r="E35" i="1"/>
  <c r="D35" i="1"/>
  <c r="C35" i="1"/>
  <c r="H35" i="1" s="1"/>
  <c r="G34" i="1"/>
  <c r="F34" i="1"/>
  <c r="E34" i="1"/>
  <c r="D34" i="1"/>
  <c r="C34" i="1"/>
  <c r="H34" i="1" s="1"/>
  <c r="I34" i="1" s="1"/>
  <c r="K6" i="1" s="1"/>
  <c r="L6" i="1" s="1"/>
  <c r="M6" i="1" s="1"/>
  <c r="N6" i="1" s="1"/>
  <c r="O6" i="1" s="1"/>
  <c r="P6" i="1" s="1"/>
  <c r="P7" i="1" s="1"/>
  <c r="G33" i="1"/>
  <c r="F33" i="1"/>
  <c r="E33" i="1"/>
  <c r="D33" i="1"/>
  <c r="C33" i="1"/>
  <c r="H33" i="1" s="1"/>
  <c r="I33" i="1" s="1"/>
  <c r="K5" i="1" s="1"/>
  <c r="L5" i="1" s="1"/>
  <c r="M5" i="1" s="1"/>
  <c r="N5" i="1" s="1"/>
  <c r="O5" i="1" s="1"/>
  <c r="P5" i="1" s="1"/>
  <c r="Q5" i="1" s="1"/>
  <c r="D49" i="1" l="1"/>
  <c r="H49" i="1" s="1"/>
  <c r="H36" i="1"/>
  <c r="I36" i="1" s="1"/>
  <c r="R5" i="1"/>
  <c r="Q6" i="1"/>
  <c r="R6" i="1" s="1"/>
  <c r="S6" i="1" s="1"/>
  <c r="T6" i="1" s="1"/>
  <c r="K10" i="1"/>
  <c r="L10" i="1" s="1"/>
  <c r="M10" i="1" s="1"/>
  <c r="N10" i="1" s="1"/>
  <c r="O10" i="1" s="1"/>
  <c r="P10" i="1" s="1"/>
  <c r="Q10" i="1" s="1"/>
  <c r="R10" i="1" s="1"/>
  <c r="S10" i="1" s="1"/>
  <c r="T10" i="1" s="1"/>
  <c r="K16" i="1"/>
  <c r="K17" i="1"/>
  <c r="L17" i="1" s="1"/>
  <c r="M17" i="1" s="1"/>
  <c r="N17" i="1" s="1"/>
  <c r="O17" i="1" s="1"/>
  <c r="P17" i="1" s="1"/>
  <c r="Q17" i="1" s="1"/>
  <c r="R17" i="1" s="1"/>
  <c r="S17" i="1" s="1"/>
  <c r="T17" i="1" s="1"/>
  <c r="K19" i="1"/>
  <c r="L19" i="1" s="1"/>
  <c r="M19" i="1" s="1"/>
  <c r="N19" i="1" s="1"/>
  <c r="O19" i="1" s="1"/>
  <c r="P19" i="1" s="1"/>
  <c r="Q19" i="1" s="1"/>
  <c r="R19" i="1" s="1"/>
  <c r="S19" i="1" s="1"/>
  <c r="T19" i="1" s="1"/>
  <c r="K11" i="1"/>
  <c r="L11" i="1" s="1"/>
  <c r="M11" i="1" s="1"/>
  <c r="N11" i="1" s="1"/>
  <c r="O11" i="1" s="1"/>
  <c r="P11" i="1" s="1"/>
  <c r="Q11" i="1" s="1"/>
  <c r="R11" i="1" s="1"/>
  <c r="S11" i="1" s="1"/>
  <c r="T11" i="1" s="1"/>
  <c r="K12" i="1"/>
  <c r="L12" i="1" s="1"/>
  <c r="M12" i="1" s="1"/>
  <c r="N12" i="1" s="1"/>
  <c r="O12" i="1" s="1"/>
  <c r="P12" i="1" s="1"/>
  <c r="Q12" i="1" s="1"/>
  <c r="R12" i="1" s="1"/>
  <c r="S12" i="1" s="1"/>
  <c r="T12" i="1" s="1"/>
  <c r="K7" i="1"/>
  <c r="Q7" i="1" l="1"/>
  <c r="S5" i="1"/>
  <c r="R7" i="1"/>
  <c r="L16" i="1"/>
  <c r="K20" i="1"/>
  <c r="K13" i="1"/>
  <c r="L13" i="1" s="1"/>
  <c r="L7" i="1"/>
  <c r="T5" i="1" l="1"/>
  <c r="T7" i="1" s="1"/>
  <c r="S7" i="1"/>
  <c r="L14" i="1"/>
  <c r="M13" i="1"/>
  <c r="L20" i="1"/>
  <c r="M16" i="1"/>
  <c r="K14" i="1"/>
  <c r="K21" i="1" s="1"/>
  <c r="K23" i="1" s="1"/>
  <c r="M7" i="1"/>
  <c r="M20" i="1" l="1"/>
  <c r="N16" i="1"/>
  <c r="M14" i="1"/>
  <c r="M21" i="1" s="1"/>
  <c r="M23" i="1" s="1"/>
  <c r="N13" i="1"/>
  <c r="O13" i="1" s="1"/>
  <c r="P13" i="1" s="1"/>
  <c r="L21" i="1"/>
  <c r="L23" i="1" s="1"/>
  <c r="O7" i="1"/>
  <c r="N7" i="1"/>
  <c r="N14" i="1" s="1"/>
  <c r="Q13" i="1" l="1"/>
  <c r="P14" i="1"/>
  <c r="N20" i="1"/>
  <c r="O16" i="1"/>
  <c r="N21" i="1"/>
  <c r="N23" i="1" s="1"/>
  <c r="O14" i="1"/>
  <c r="O20" i="1" l="1"/>
  <c r="P16" i="1"/>
  <c r="R13" i="1"/>
  <c r="Q14" i="1"/>
  <c r="O21" i="1"/>
  <c r="O23" i="1" s="1"/>
  <c r="D42" i="1" s="1"/>
  <c r="D43" i="1" s="1"/>
  <c r="D45" i="1" s="1"/>
  <c r="D48" i="1" s="1"/>
  <c r="D50" i="1" s="1"/>
  <c r="D51" i="1" s="1"/>
  <c r="S13" i="1" l="1"/>
  <c r="R14" i="1"/>
  <c r="Q16" i="1"/>
  <c r="P20" i="1"/>
  <c r="P21" i="1" s="1"/>
  <c r="P23" i="1" s="1"/>
  <c r="R16" i="1" l="1"/>
  <c r="Q20" i="1"/>
  <c r="Q21" i="1" s="1"/>
  <c r="Q23" i="1" s="1"/>
  <c r="T13" i="1"/>
  <c r="T14" i="1" s="1"/>
  <c r="S14" i="1"/>
  <c r="S16" i="1" l="1"/>
  <c r="R20" i="1"/>
  <c r="R21" i="1" s="1"/>
  <c r="R23" i="1" s="1"/>
  <c r="T16" i="1" l="1"/>
  <c r="T20" i="1" s="1"/>
  <c r="T21" i="1" s="1"/>
  <c r="T23" i="1" s="1"/>
  <c r="S20" i="1"/>
  <c r="S21" i="1" s="1"/>
  <c r="S23" i="1" s="1"/>
  <c r="H42" i="1" l="1"/>
  <c r="H43" i="1"/>
  <c r="H45" i="1" s="1"/>
  <c r="H48" i="1" s="1"/>
  <c r="H50" i="1" s="1"/>
  <c r="H5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Joshua Morton</author>
  </authors>
  <commentList>
    <comment ref="I32" authorId="0" shapeId="0" xr:uid="{8121D890-EBAA-4EAD-8569-EC0E75F0A6D8}">
      <text>
        <r>
          <rPr>
            <b/>
            <sz val="9"/>
            <color indexed="81"/>
            <rFont val="Tahoma"/>
            <family val="2"/>
          </rPr>
          <t>Joshua Morton:</t>
        </r>
        <r>
          <rPr>
            <sz val="9"/>
            <color indexed="81"/>
            <rFont val="Tahoma"/>
            <family val="2"/>
          </rPr>
          <t xml:space="preserve">
over 5 years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<sst xmlns="http://schemas.openxmlformats.org/spreadsheetml/2006/main" count="145" uniqueCount="110">
  <si>
    <t>Main</t>
  </si>
  <si>
    <t>Total operating expenses</t>
  </si>
  <si>
    <t>Income from operations</t>
  </si>
  <si>
    <t>Other income (expense), net</t>
  </si>
  <si>
    <t>Interest income</t>
  </si>
  <si>
    <t>Interest expense</t>
  </si>
  <si>
    <t>Loss on partial settlement of convertible notes</t>
  </si>
  <si>
    <t>Total other income (expense), net</t>
  </si>
  <si>
    <t>Income before income taxes</t>
  </si>
  <si>
    <t>Income tax benefit (provision)</t>
  </si>
  <si>
    <t>Net income</t>
  </si>
  <si>
    <t>Net income per share:</t>
  </si>
  <si>
    <t>Diluted</t>
  </si>
  <si>
    <t>CONDENSED CONSOLIDATED BALANCE SHEETS - USD ($) $ in Thousands</t>
  </si>
  <si>
    <t>Dec. 31, 2023</t>
  </si>
  <si>
    <t>Dec. 31, 2022</t>
  </si>
  <si>
    <t>Current assets:</t>
  </si>
  <si>
    <t> </t>
  </si>
  <si>
    <t>Cash and cash equivalents</t>
  </si>
  <si>
    <t>Marketable securities</t>
  </si>
  <si>
    <t>Accounts receivable, net of allowances of $2,502 and $979 at December 31, 2023 and December 31, 2022, respectively</t>
  </si>
  <si>
    <t>Inventory</t>
  </si>
  <si>
    <t>Prepaid expenses and other assets</t>
  </si>
  <si>
    <t>Total current assets</t>
  </si>
  <si>
    <t>Property and equipment, net</t>
  </si>
  <si>
    <t>Operating lease, right of use asset, net</t>
  </si>
  <si>
    <t>Intangible assets, net</t>
  </si>
  <si>
    <t>Goodwill</t>
  </si>
  <si>
    <t>Other assets</t>
  </si>
  <si>
    <t>Deferred tax assets, net</t>
  </si>
  <si>
    <t>Total assets</t>
  </si>
  <si>
    <t>Current liabilities:</t>
  </si>
  <si>
    <t>Accounts payable</t>
  </si>
  <si>
    <t>Accrued liabilities</t>
  </si>
  <si>
    <t>Deferred revenues, current</t>
  </si>
  <si>
    <t>Warranty obligations, current</t>
  </si>
  <si>
    <t>Debt, current</t>
  </si>
  <si>
    <t>Total current liabilities</t>
  </si>
  <si>
    <t>Long-term liabilities:</t>
  </si>
  <si>
    <t>Deferred revenues, non-current</t>
  </si>
  <si>
    <t>Warranty obligations, non-current</t>
  </si>
  <si>
    <t>Other liabilities</t>
  </si>
  <si>
    <t>Debt, non-current</t>
  </si>
  <si>
    <t>Total liabilities</t>
  </si>
  <si>
    <t>Commitments and contingencies (Note 14)</t>
  </si>
  <si>
    <t xml:space="preserve"> </t>
  </si>
  <si>
    <t>Stockholders’ equity:</t>
  </si>
  <si>
    <t>Common stock, $0.00001 par value, 300,000 shares authorized; and 135,722 shares and 136,441 shares issued and outstanding at December 31, 2023 and December 31, 2022, respectively</t>
  </si>
  <si>
    <t>Additional paid-in capital</t>
  </si>
  <si>
    <t>Accumulated earnings</t>
  </si>
  <si>
    <t>Accumulated other comprehensive loss</t>
  </si>
  <si>
    <t>Total stockholders’ equity</t>
  </si>
  <si>
    <t>Total liabilities and stockholders’ equity</t>
  </si>
  <si>
    <t>CONDENSED CONSOLIDATED STATEMENTS OF OPERATIONS - USD ($) shares in Thousands, $ in Thousands</t>
  </si>
  <si>
    <t>12 Months Ended</t>
  </si>
  <si>
    <t>Dec. 31, 2021</t>
  </si>
  <si>
    <t>Income Statement [Abstract]</t>
  </si>
  <si>
    <t>Net revenues</t>
  </si>
  <si>
    <t>Cost of revenues</t>
  </si>
  <si>
    <t>Gross profit</t>
  </si>
  <si>
    <t>Operating expenses:</t>
  </si>
  <si>
    <t>Research and development</t>
  </si>
  <si>
    <t>Sales and marketing</t>
  </si>
  <si>
    <t>General and administrative</t>
  </si>
  <si>
    <t>Restructuring and asset impairment charges</t>
  </si>
  <si>
    <t>Basic (in USD per share)</t>
  </si>
  <si>
    <t>Diluted (in USD per share)</t>
  </si>
  <si>
    <t>Shares used in per share calculation:</t>
  </si>
  <si>
    <t>Basic (in shares)</t>
  </si>
  <si>
    <t>Diluted (in shares)</t>
  </si>
  <si>
    <t>Dec. 31, 2020</t>
  </si>
  <si>
    <t>Dec. 31, 2019</t>
  </si>
  <si>
    <t>Dec. 31, 2018</t>
  </si>
  <si>
    <t>YoY Revenue Growth</t>
  </si>
  <si>
    <t>YoY Cost of Revenue</t>
  </si>
  <si>
    <t>YoY Gross Profit</t>
  </si>
  <si>
    <t>YoY Net (Loss)</t>
  </si>
  <si>
    <t>Price</t>
  </si>
  <si>
    <t>Shares</t>
  </si>
  <si>
    <t>Market Cap</t>
  </si>
  <si>
    <t>Cash</t>
  </si>
  <si>
    <t>Debt</t>
  </si>
  <si>
    <t>As of 2.12.24</t>
  </si>
  <si>
    <t>ENPH</t>
  </si>
  <si>
    <t>Estimates</t>
  </si>
  <si>
    <t>Dec. 31, 2024</t>
  </si>
  <si>
    <t>Dec. 31, 2025</t>
  </si>
  <si>
    <t>Dec. 31, 2026</t>
  </si>
  <si>
    <t>Dec. 31, 2027</t>
  </si>
  <si>
    <t>Dec. 31, 2028</t>
  </si>
  <si>
    <t>Average</t>
  </si>
  <si>
    <t>Annualized</t>
  </si>
  <si>
    <t>Factor</t>
  </si>
  <si>
    <t>YoY Operating Expenses</t>
  </si>
  <si>
    <t>YoY Total other income (expense, net)</t>
  </si>
  <si>
    <t>Enterprise value</t>
  </si>
  <si>
    <t>Terminal value</t>
  </si>
  <si>
    <t>Cash &amp; Marketable Securities</t>
  </si>
  <si>
    <t>Equity value</t>
  </si>
  <si>
    <t>Shares outstanding</t>
  </si>
  <si>
    <t>Intrinsic value</t>
  </si>
  <si>
    <t>Upside</t>
  </si>
  <si>
    <t>Dec. 31, 2029</t>
  </si>
  <si>
    <t>Dec. 31, 2030</t>
  </si>
  <si>
    <t>Dec. 31, 2031</t>
  </si>
  <si>
    <t>Dec. 31, 2032</t>
  </si>
  <si>
    <t>Dec. 31, 2033</t>
  </si>
  <si>
    <t>5 Years with 15% preferred return using annualized estimates</t>
  </si>
  <si>
    <t>10 Years with 15% preferred return using annualized estimates</t>
  </si>
  <si>
    <t>Starting to build position at $110 or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</si>
</sst>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3" formatCode="_(* #,##0.00_);_(* \(#,##0.00\);_(* &quot;-&quot;??_);_(@_)"/>
    <numFmt numFmtId="164" formatCode="_(* #,##0_);_(* \(#,##0\);_(* &quot;-&quot;??_);_(@_)"/>
    <numFmt numFmtId="166" formatCode="_(&quot;$ &quot;#,##0_);_(&quot;$ &quot;\(#,##0\)"/>
    <numFmt numFmtId="168" formatCode="_(&quot;$ &quot;#,##0.00_);_(&quot;$ &quot;\(#,##0.00\)"/>
    <numFmt numFmtId="177" formatCode="_([$$-409]* #,##0.00_);_([$$-409]* \(#,##0.00\);_([$$-409]* &quot;-&quot;??_);_(@_)"/>
  </numFmts>
  <fonts count="11">
    <font>
      <sz val="11"/>
      <color theme="1"/>
      <name val="Calibri"/>
      <family val="2"/>
      <scheme val="minor"/>
    </font>
    <font>
      <sz val="11"/>
      <color theme="1"/>
      <name val="Calibri"/>
      <family val="2"/>
      <scheme val="minor"/>
    </font>
    <font>
      <b/>
      <sz val="11"/>
      <color theme="1"/>
      <name val="Calibri"/>
      <family val="2"/>
      <scheme val="minor"/>
    </font>
    <font>
      <b/>
      <sz val="11"/>
      <name val="Calibri"/>
    </font>
    <font>
      <sz val="11"/>
      <name val="Calibri"/>
    </font>
    <font>
      <u/>
      <sz val="11"/>
      <color theme="10"/>
      <name val="Calibri"/>
      <family val="2"/>
      <scheme val="minor"/>
    </font>
    <font>
      <b/>
      <sz val="11"/>
      <name val="Calibri"/>
      <family val="2"/>
    </font>
    <font>
      <b/>
      <u/>
      <sz val="11"/>
      <color theme="10"/>
      <name val="Calibri"/>
      <family val="2"/>
      <scheme val="minor"/>
    </font>
    <font>
      <sz val="11"/>
      <name val="Calibri"/>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s>
  <borders count="12">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2">
    <xf numFmtId="0" fontId="0" fillId="0" borderId="0" xfId="0"/>
    <xf numFmtId="164" fontId="0" fillId="0" borderId="0" xfId="1" applyNumberFormat="1" applyFont="1"/>
    <xf numFmtId="164" fontId="0" fillId="0" borderId="0" xfId="0" applyNumberFormat="1"/>
    <xf numFmtId="0" fontId="3" fillId="0" borderId="0" xfId="0" applyFont="1" applyAlignment="1">
      <alignment horizontal="center" vertical="center" wrapText="1"/>
    </xf>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37" fontId="4" fillId="0" borderId="0" xfId="0" applyNumberFormat="1" applyFont="1" applyAlignment="1">
      <alignment horizontal="right" vertical="top"/>
    </xf>
    <xf numFmtId="166" fontId="4" fillId="0" borderId="0" xfId="0" applyNumberFormat="1" applyFont="1" applyAlignment="1">
      <alignment horizontal="right" vertical="top"/>
    </xf>
    <xf numFmtId="0" fontId="0" fillId="0" borderId="0" xfId="0"/>
    <xf numFmtId="0" fontId="4" fillId="0" borderId="0" xfId="0" applyFont="1" applyAlignment="1">
      <alignment horizontal="center" vertical="center" wrapText="1"/>
    </xf>
    <xf numFmtId="0" fontId="3" fillId="0" borderId="0" xfId="0" applyFont="1" applyAlignment="1">
      <alignment vertical="top" wrapText="1"/>
    </xf>
    <xf numFmtId="0" fontId="4" fillId="0" borderId="0" xfId="0" applyFont="1" applyAlignment="1">
      <alignment vertical="top" wrapText="1"/>
    </xf>
    <xf numFmtId="37" fontId="4" fillId="0" borderId="0" xfId="0" applyNumberFormat="1" applyFont="1" applyAlignment="1">
      <alignment horizontal="right" vertical="top"/>
    </xf>
    <xf numFmtId="166" fontId="4" fillId="0" borderId="0" xfId="0" applyNumberFormat="1" applyFont="1" applyAlignment="1">
      <alignment horizontal="right" vertical="top"/>
    </xf>
    <xf numFmtId="168" fontId="4" fillId="0" borderId="0" xfId="0" applyNumberFormat="1" applyFont="1" applyAlignment="1">
      <alignment horizontal="right" vertical="top"/>
    </xf>
    <xf numFmtId="0" fontId="0" fillId="0" borderId="0" xfId="0"/>
    <xf numFmtId="0" fontId="0" fillId="0" borderId="0" xfId="0"/>
    <xf numFmtId="0" fontId="4" fillId="0" borderId="0" xfId="0" applyFont="1" applyAlignment="1">
      <alignment horizontal="center" vertical="center" wrapText="1"/>
    </xf>
    <xf numFmtId="166" fontId="4" fillId="0" borderId="0" xfId="0" applyNumberFormat="1" applyFont="1" applyAlignment="1">
      <alignment horizontal="right" vertical="top"/>
    </xf>
    <xf numFmtId="37" fontId="4" fillId="0" borderId="0" xfId="0" applyNumberFormat="1" applyFont="1" applyAlignment="1">
      <alignment horizontal="right" vertical="top"/>
    </xf>
    <xf numFmtId="168" fontId="4" fillId="0" borderId="0" xfId="0" applyNumberFormat="1" applyFont="1" applyAlignment="1">
      <alignment horizontal="right" vertical="top"/>
    </xf>
    <xf numFmtId="0" fontId="0" fillId="0" borderId="0" xfId="0" applyAlignment="1">
      <alignment horizontal="center"/>
    </xf>
    <xf numFmtId="0" fontId="6" fillId="0" borderId="0" xfId="0" applyFont="1" applyAlignment="1">
      <alignment horizontal="center" vertical="center" wrapText="1"/>
    </xf>
    <xf numFmtId="0" fontId="2" fillId="0" borderId="0" xfId="0" applyFont="1"/>
    <xf numFmtId="10" fontId="0" fillId="0" borderId="0" xfId="2" applyNumberFormat="1" applyFont="1"/>
    <xf numFmtId="177" fontId="0" fillId="0" borderId="0" xfId="0" applyNumberFormat="1"/>
    <xf numFmtId="2" fontId="0" fillId="0" borderId="0" xfId="0" applyNumberFormat="1"/>
    <xf numFmtId="37" fontId="0" fillId="0" borderId="0" xfId="0" applyNumberFormat="1"/>
    <xf numFmtId="0" fontId="7" fillId="2" borderId="0" xfId="3" applyFont="1" applyFill="1"/>
    <xf numFmtId="0" fontId="0" fillId="3" borderId="0" xfId="0" applyFill="1"/>
    <xf numFmtId="0" fontId="2" fillId="0" borderId="0" xfId="0" applyFont="1" applyAlignment="1">
      <alignment horizontal="center"/>
    </xf>
    <xf numFmtId="0" fontId="8" fillId="0" borderId="0" xfId="0" applyFont="1" applyAlignment="1">
      <alignment horizontal="center" vertical="center" wrapText="1"/>
    </xf>
    <xf numFmtId="10" fontId="0" fillId="0" borderId="1" xfId="0" applyNumberFormat="1" applyBorder="1"/>
    <xf numFmtId="10" fontId="0" fillId="0" borderId="2" xfId="0" applyNumberFormat="1" applyBorder="1"/>
    <xf numFmtId="0" fontId="4" fillId="0" borderId="3" xfId="0" applyFont="1" applyBorder="1" applyAlignment="1">
      <alignment vertical="top" wrapText="1"/>
    </xf>
    <xf numFmtId="37" fontId="4" fillId="0" borderId="3" xfId="0" applyNumberFormat="1" applyFont="1" applyBorder="1" applyAlignment="1">
      <alignment horizontal="right" vertical="top"/>
    </xf>
    <xf numFmtId="166" fontId="0" fillId="0" borderId="3" xfId="0" applyNumberFormat="1" applyBorder="1"/>
    <xf numFmtId="0" fontId="0" fillId="0" borderId="3" xfId="0" applyBorder="1"/>
    <xf numFmtId="10" fontId="0" fillId="0" borderId="0" xfId="0" applyNumberFormat="1" applyBorder="1"/>
    <xf numFmtId="10" fontId="0" fillId="0" borderId="3" xfId="0" applyNumberFormat="1" applyBorder="1"/>
    <xf numFmtId="43" fontId="0" fillId="2" borderId="3" xfId="1" applyFont="1" applyFill="1" applyBorder="1"/>
    <xf numFmtId="164" fontId="0" fillId="0" borderId="3" xfId="1" applyNumberFormat="1" applyFont="1" applyBorder="1"/>
    <xf numFmtId="164" fontId="0" fillId="0" borderId="0" xfId="1" applyNumberFormat="1" applyFont="1" applyFill="1" applyAlignment="1"/>
    <xf numFmtId="166" fontId="4" fillId="0" borderId="3" xfId="0" applyNumberFormat="1" applyFont="1" applyBorder="1" applyAlignment="1">
      <alignment horizontal="right" vertical="top"/>
    </xf>
    <xf numFmtId="37" fontId="4" fillId="0" borderId="0" xfId="0" applyNumberFormat="1" applyFont="1" applyAlignment="1">
      <alignment vertical="top" wrapText="1"/>
    </xf>
    <xf numFmtId="0" fontId="2" fillId="0" borderId="4" xfId="0" applyFont="1" applyBorder="1"/>
    <xf numFmtId="0" fontId="2" fillId="0" borderId="5" xfId="0" applyFont="1" applyBorder="1"/>
    <xf numFmtId="43" fontId="2" fillId="0" borderId="6" xfId="0" applyNumberFormat="1" applyFont="1" applyBorder="1"/>
    <xf numFmtId="0" fontId="2" fillId="0" borderId="7" xfId="0" applyFont="1" applyBorder="1"/>
    <xf numFmtId="0" fontId="2" fillId="0" borderId="0" xfId="0" applyFont="1" applyBorder="1"/>
    <xf numFmtId="164" fontId="2" fillId="0" borderId="8" xfId="0" applyNumberFormat="1" applyFont="1" applyBorder="1"/>
    <xf numFmtId="0" fontId="2" fillId="0" borderId="8" xfId="0" applyFont="1" applyBorder="1"/>
    <xf numFmtId="8" fontId="2" fillId="0" borderId="8" xfId="0" applyNumberFormat="1" applyFont="1" applyBorder="1"/>
    <xf numFmtId="37" fontId="2" fillId="0" borderId="8" xfId="0" applyNumberFormat="1" applyFont="1" applyBorder="1"/>
    <xf numFmtId="0" fontId="2" fillId="0" borderId="9" xfId="0" applyFont="1" applyBorder="1"/>
    <xf numFmtId="0" fontId="2" fillId="0" borderId="10" xfId="0" applyFont="1" applyBorder="1"/>
    <xf numFmtId="10" fontId="2" fillId="0" borderId="11" xfId="2" applyNumberFormat="1" applyFont="1" applyBorder="1"/>
    <xf numFmtId="0" fontId="2" fillId="0" borderId="10" xfId="0" applyFont="1" applyBorder="1" applyAlignment="1">
      <alignment horizontal="center" wrapText="1"/>
    </xf>
    <xf numFmtId="0" fontId="2" fillId="0" borderId="0" xfId="0" applyFont="1" applyFill="1" applyBorder="1"/>
  </cellXfs>
  <cellStyles count="4">
    <cellStyle name="Comma" xfId="1" builtinId="3"/>
    <cellStyle name="Hyperlink" xfId="3" builtinId="8"/>
    <cellStyle name="Normal" xfId="0" builtinId="0"/>
    <cellStyle name="Percent" xfId="2" builtinId="5"/>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en-US</v>
    <v>a1rzh7</v>
    <v>268435456</v>
    <v>1</v>
    <v>Powered by Refinitiv</v>
    <v>0</v>
    <v>ENPHASE ENERGY, INC. (XNAS:ENPH)</v>
    <v>2</v>
    <v>3</v>
    <v>Finance</v>
    <v>4</v>
    <v>231.42</v>
    <v>73.489999999999995</v>
    <v>1.4617</v>
    <v>6.43</v>
    <v>8.1460000000000005E-3</v>
    <v>5.2503000000000001E-2</v>
    <v>1.05</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132.88</v>
    <v>Renewable Energy</v>
    <v>Stock</v>
    <v>45335.041564212501</v>
    <v>0</v>
    <v>122.8</v>
    <v>17601449680</v>
    <v>ENPHASE ENERGY, INC.</v>
    <v>ENPHASE ENERGY, INC.</v>
    <v>123.5</v>
    <v>40.376600000000003</v>
    <v>122.47</v>
    <v>128.9</v>
    <v>129.94999999999999</v>
    <v>136551200</v>
    <v>ENPH</v>
    <v>ENPHASE ENERGY, INC. (XNAS:ENPH)</v>
    <v>6861850</v>
    <v>4946165</v>
    <v>2006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7EBA4-3FAF-44B3-A01A-0AC0D71C63B9}">
  <dimension ref="C3:E9"/>
  <sheetViews>
    <sheetView workbookViewId="0"/>
  </sheetViews>
  <sheetFormatPr defaultRowHeight="15"/>
  <cols>
    <col min="4" max="4" width="9.85546875" bestFit="1" customWidth="1"/>
  </cols>
  <sheetData>
    <row r="3" spans="3:5">
      <c r="C3" s="19" t="s">
        <v>77</v>
      </c>
      <c r="D3" s="29">
        <v>128.9</v>
      </c>
      <c r="E3" t="s">
        <v>82</v>
      </c>
    </row>
    <row r="4" spans="3:5">
      <c r="C4" s="19" t="s">
        <v>78</v>
      </c>
      <c r="D4" s="30">
        <f>'Income Statement'!B28</f>
        <v>136376</v>
      </c>
    </row>
    <row r="5" spans="3:5">
      <c r="C5" s="19" t="s">
        <v>79</v>
      </c>
      <c r="D5">
        <f>D4*D3</f>
        <v>17578866.400000002</v>
      </c>
    </row>
    <row r="6" spans="3:5">
      <c r="C6" s="19" t="s">
        <v>80</v>
      </c>
      <c r="D6" s="30">
        <f>'Balance Sheet'!B3+'Balance Sheet'!B4</f>
        <v>1695034</v>
      </c>
    </row>
    <row r="7" spans="3:5">
      <c r="C7" s="19" t="s">
        <v>81</v>
      </c>
      <c r="D7" s="30">
        <f>'Balance Sheet'!C27+'Balance Sheet'!C25</f>
        <v>1295355</v>
      </c>
    </row>
    <row r="9" spans="3:5">
      <c r="C9" t="e" vm="1">
        <v>#VALUE!</v>
      </c>
      <c r="D9" s="28" cm="1">
        <f t="array" ref="D9">_FV(C9,"Price")</f>
        <v>128.9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053F9-CE10-430C-B2FE-995D9F2DAE96}">
  <dimension ref="A1:T53"/>
  <sheetViews>
    <sheetView tabSelected="1" topLeftCell="A24" workbookViewId="0">
      <selection activeCell="B57" sqref="B56:B57"/>
    </sheetView>
  </sheetViews>
  <sheetFormatPr defaultRowHeight="15"/>
  <cols>
    <col min="1" max="1" width="80" style="11" customWidth="1"/>
    <col min="2" max="2" width="16" style="11" customWidth="1"/>
    <col min="3" max="3" width="14" style="11" customWidth="1"/>
    <col min="4" max="4" width="14.5703125" style="11" bestFit="1" customWidth="1"/>
    <col min="5" max="5" width="14.140625" style="11" customWidth="1"/>
    <col min="6" max="6" width="13.7109375" style="11" customWidth="1"/>
    <col min="7" max="7" width="13.28515625" style="11" customWidth="1"/>
    <col min="8" max="8" width="15.5703125" style="11" customWidth="1"/>
    <col min="9" max="10" width="15.5703125" style="19" customWidth="1"/>
    <col min="11" max="15" width="13.7109375" style="11" customWidth="1"/>
    <col min="16" max="17" width="10.5703125" style="11" bestFit="1" customWidth="1"/>
    <col min="18" max="18" width="11.28515625" style="11" bestFit="1" customWidth="1"/>
    <col min="19" max="20" width="11.5703125" style="11" bestFit="1" customWidth="1"/>
    <col min="21" max="16384" width="9.140625" style="11"/>
  </cols>
  <sheetData>
    <row r="1" spans="1:20" s="19" customFormat="1">
      <c r="A1" s="31" t="s">
        <v>0</v>
      </c>
    </row>
    <row r="2" spans="1:20" ht="15" customHeight="1">
      <c r="A2" s="3" t="s">
        <v>53</v>
      </c>
      <c r="B2" s="25" t="s">
        <v>54</v>
      </c>
      <c r="C2" s="25"/>
      <c r="D2" s="25"/>
      <c r="E2" s="25"/>
      <c r="F2" s="25"/>
      <c r="G2" s="25"/>
      <c r="K2" s="33" t="s">
        <v>84</v>
      </c>
      <c r="L2" s="33"/>
      <c r="M2" s="33"/>
      <c r="N2" s="33"/>
      <c r="O2" s="33"/>
    </row>
    <row r="3" spans="1:20" ht="30">
      <c r="A3" s="18"/>
      <c r="B3" s="12" t="s">
        <v>14</v>
      </c>
      <c r="C3" s="12" t="s">
        <v>15</v>
      </c>
      <c r="D3" s="12" t="s">
        <v>55</v>
      </c>
      <c r="E3" s="20" t="s">
        <v>70</v>
      </c>
      <c r="F3" s="20" t="s">
        <v>71</v>
      </c>
      <c r="G3" s="20" t="s">
        <v>72</v>
      </c>
      <c r="K3" s="34" t="s">
        <v>85</v>
      </c>
      <c r="L3" s="34" t="s">
        <v>86</v>
      </c>
      <c r="M3" s="34" t="s">
        <v>87</v>
      </c>
      <c r="N3" s="34" t="s">
        <v>88</v>
      </c>
      <c r="O3" s="34" t="s">
        <v>89</v>
      </c>
      <c r="P3" s="34" t="s">
        <v>102</v>
      </c>
      <c r="Q3" s="34" t="s">
        <v>103</v>
      </c>
      <c r="R3" s="34" t="s">
        <v>104</v>
      </c>
      <c r="S3" s="34" t="s">
        <v>105</v>
      </c>
      <c r="T3" s="34" t="s">
        <v>106</v>
      </c>
    </row>
    <row r="4" spans="1:20">
      <c r="A4" s="13" t="s">
        <v>56</v>
      </c>
      <c r="B4" s="14" t="s">
        <v>17</v>
      </c>
      <c r="C4" s="14" t="s">
        <v>17</v>
      </c>
      <c r="D4" s="14" t="s">
        <v>17</v>
      </c>
      <c r="E4" s="19"/>
      <c r="F4" s="19"/>
      <c r="G4" s="19"/>
    </row>
    <row r="5" spans="1:20">
      <c r="A5" s="14" t="s">
        <v>57</v>
      </c>
      <c r="B5" s="16">
        <v>2290786</v>
      </c>
      <c r="C5" s="16">
        <v>2330853</v>
      </c>
      <c r="D5" s="16">
        <v>1382049</v>
      </c>
      <c r="E5" s="21">
        <v>774425</v>
      </c>
      <c r="F5" s="21">
        <v>624333</v>
      </c>
      <c r="G5" s="21">
        <v>316159</v>
      </c>
      <c r="K5" s="1">
        <f>ROUND(B5*(1+$I$33),)</f>
        <v>2535359</v>
      </c>
      <c r="L5" s="2">
        <f>ROUND(K5*(1+$I$33),)</f>
        <v>2806043</v>
      </c>
      <c r="M5" s="2">
        <f t="shared" ref="M5:O5" si="0">ROUND(L5*(1+$I$33),)</f>
        <v>3105626</v>
      </c>
      <c r="N5" s="2">
        <f t="shared" si="0"/>
        <v>3437194</v>
      </c>
      <c r="O5" s="2">
        <f t="shared" si="0"/>
        <v>3804161</v>
      </c>
      <c r="P5" s="2">
        <f t="shared" ref="P5:T5" si="1">ROUND(O5*(1+$I$33),)</f>
        <v>4210307</v>
      </c>
      <c r="Q5" s="2">
        <f t="shared" si="1"/>
        <v>4659815</v>
      </c>
      <c r="R5" s="2">
        <f t="shared" si="1"/>
        <v>5157314</v>
      </c>
      <c r="S5" s="2">
        <f t="shared" si="1"/>
        <v>5707928</v>
      </c>
      <c r="T5" s="2">
        <f t="shared" si="1"/>
        <v>6317327</v>
      </c>
    </row>
    <row r="6" spans="1:20">
      <c r="A6" s="14" t="s">
        <v>58</v>
      </c>
      <c r="B6" s="15">
        <v>1232398</v>
      </c>
      <c r="C6" s="15">
        <v>1356258</v>
      </c>
      <c r="D6" s="15">
        <v>827627</v>
      </c>
      <c r="E6" s="22">
        <v>428444</v>
      </c>
      <c r="F6" s="22">
        <v>403088</v>
      </c>
      <c r="G6" s="22">
        <v>221714</v>
      </c>
      <c r="K6" s="1">
        <f>ROUND(B6*(1+$I$34),)</f>
        <v>1348740</v>
      </c>
      <c r="L6" s="2">
        <f>ROUND(K6*(1+$I$34),)</f>
        <v>1476065</v>
      </c>
      <c r="M6" s="2">
        <f t="shared" ref="M6:O6" si="2">ROUND(L6*(1+$I$34),)</f>
        <v>1615410</v>
      </c>
      <c r="N6" s="2">
        <f t="shared" si="2"/>
        <v>1767909</v>
      </c>
      <c r="O6" s="2">
        <f t="shared" si="2"/>
        <v>1934804</v>
      </c>
      <c r="P6" s="2">
        <f t="shared" ref="P6:T6" si="3">ROUND(O6*(1+$I$34),)</f>
        <v>2117455</v>
      </c>
      <c r="Q6" s="2">
        <f t="shared" si="3"/>
        <v>2317349</v>
      </c>
      <c r="R6" s="2">
        <f t="shared" si="3"/>
        <v>2536113</v>
      </c>
      <c r="S6" s="2">
        <f t="shared" si="3"/>
        <v>2775529</v>
      </c>
      <c r="T6" s="2">
        <f t="shared" si="3"/>
        <v>3037547</v>
      </c>
    </row>
    <row r="7" spans="1:20" s="40" customFormat="1">
      <c r="A7" s="37" t="s">
        <v>59</v>
      </c>
      <c r="B7" s="38">
        <v>1058388</v>
      </c>
      <c r="C7" s="38">
        <v>974595</v>
      </c>
      <c r="D7" s="38">
        <v>554422</v>
      </c>
      <c r="E7" s="38">
        <v>345981</v>
      </c>
      <c r="F7" s="38">
        <v>221245</v>
      </c>
      <c r="G7" s="38">
        <v>94445</v>
      </c>
      <c r="H7" s="39"/>
      <c r="I7" s="39"/>
      <c r="J7" s="39"/>
      <c r="K7" s="44">
        <f>+K5-K6</f>
        <v>1186619</v>
      </c>
      <c r="L7" s="44">
        <f t="shared" ref="L7:O7" si="4">+L5-L6</f>
        <v>1329978</v>
      </c>
      <c r="M7" s="44">
        <f t="shared" si="4"/>
        <v>1490216</v>
      </c>
      <c r="N7" s="44">
        <f t="shared" si="4"/>
        <v>1669285</v>
      </c>
      <c r="O7" s="44">
        <f t="shared" si="4"/>
        <v>1869357</v>
      </c>
      <c r="P7" s="44">
        <f t="shared" ref="P7" si="5">+P5-P6</f>
        <v>2092852</v>
      </c>
      <c r="Q7" s="44">
        <f t="shared" ref="Q7" si="6">+Q5-Q6</f>
        <v>2342466</v>
      </c>
      <c r="R7" s="44">
        <f t="shared" ref="R7" si="7">+R5-R6</f>
        <v>2621201</v>
      </c>
      <c r="S7" s="44">
        <f t="shared" ref="S7" si="8">+S5-S6</f>
        <v>2932399</v>
      </c>
      <c r="T7" s="44">
        <f t="shared" ref="T7" si="9">+T5-T6</f>
        <v>3279780</v>
      </c>
    </row>
    <row r="8" spans="1:20">
      <c r="A8" s="13" t="s">
        <v>60</v>
      </c>
      <c r="B8" s="14" t="s">
        <v>17</v>
      </c>
      <c r="C8" s="14" t="s">
        <v>17</v>
      </c>
      <c r="D8" s="14" t="s">
        <v>17</v>
      </c>
      <c r="E8" s="19"/>
      <c r="F8" s="19"/>
      <c r="G8" s="19"/>
      <c r="K8" s="2"/>
      <c r="L8" s="2"/>
      <c r="M8" s="2"/>
      <c r="N8" s="2"/>
      <c r="O8" s="2"/>
      <c r="P8" s="2"/>
      <c r="Q8" s="2"/>
      <c r="R8" s="2"/>
      <c r="S8" s="2"/>
      <c r="T8" s="2"/>
    </row>
    <row r="9" spans="1:20">
      <c r="A9" s="14" t="s">
        <v>61</v>
      </c>
      <c r="B9" s="15">
        <v>227336</v>
      </c>
      <c r="C9" s="15">
        <v>168846</v>
      </c>
      <c r="D9" s="15">
        <v>105526</v>
      </c>
      <c r="E9" s="22">
        <v>55921</v>
      </c>
      <c r="F9" s="22">
        <v>40381</v>
      </c>
      <c r="G9" s="22">
        <v>32587</v>
      </c>
      <c r="K9" s="45">
        <f>ROUND(B9*(1+$I$37),)</f>
        <v>249736</v>
      </c>
      <c r="L9" s="45">
        <f>ROUND(K9*(1+0.05),)</f>
        <v>262223</v>
      </c>
      <c r="M9" s="45">
        <f t="shared" ref="M9:O9" si="10">ROUND(L9*(1+0.05),)</f>
        <v>275334</v>
      </c>
      <c r="N9" s="45">
        <f t="shared" si="10"/>
        <v>289101</v>
      </c>
      <c r="O9" s="45">
        <f t="shared" si="10"/>
        <v>303556</v>
      </c>
      <c r="P9" s="45">
        <f t="shared" ref="P9:T9" si="11">ROUND(O9*(1+0.05),)</f>
        <v>318734</v>
      </c>
      <c r="Q9" s="45">
        <f t="shared" si="11"/>
        <v>334671</v>
      </c>
      <c r="R9" s="45">
        <f t="shared" si="11"/>
        <v>351405</v>
      </c>
      <c r="S9" s="45">
        <f t="shared" si="11"/>
        <v>368975</v>
      </c>
      <c r="T9" s="45">
        <f t="shared" si="11"/>
        <v>387424</v>
      </c>
    </row>
    <row r="10" spans="1:20">
      <c r="A10" s="14" t="s">
        <v>62</v>
      </c>
      <c r="B10" s="15">
        <v>231792</v>
      </c>
      <c r="C10" s="15">
        <v>215102</v>
      </c>
      <c r="D10" s="15">
        <v>128974</v>
      </c>
      <c r="E10" s="22">
        <v>52927</v>
      </c>
      <c r="F10" s="22">
        <v>36728</v>
      </c>
      <c r="G10" s="22">
        <v>27047</v>
      </c>
      <c r="K10" s="45">
        <f t="shared" ref="K10:K12" si="12">ROUND(B10*(1+$I$37),)</f>
        <v>254631</v>
      </c>
      <c r="L10" s="45">
        <f t="shared" ref="L10:O12" si="13">ROUND(K10*(1+0.05),)</f>
        <v>267363</v>
      </c>
      <c r="M10" s="45">
        <f t="shared" si="13"/>
        <v>280731</v>
      </c>
      <c r="N10" s="45">
        <f t="shared" si="13"/>
        <v>294768</v>
      </c>
      <c r="O10" s="45">
        <f t="shared" si="13"/>
        <v>309506</v>
      </c>
      <c r="P10" s="45">
        <f t="shared" ref="P10:T10" si="14">ROUND(O10*(1+0.05),)</f>
        <v>324981</v>
      </c>
      <c r="Q10" s="45">
        <f t="shared" si="14"/>
        <v>341230</v>
      </c>
      <c r="R10" s="45">
        <f t="shared" si="14"/>
        <v>358292</v>
      </c>
      <c r="S10" s="45">
        <f t="shared" si="14"/>
        <v>376207</v>
      </c>
      <c r="T10" s="45">
        <f t="shared" si="14"/>
        <v>395017</v>
      </c>
    </row>
    <row r="11" spans="1:20">
      <c r="A11" s="14" t="s">
        <v>63</v>
      </c>
      <c r="B11" s="15">
        <v>137835</v>
      </c>
      <c r="C11" s="15">
        <v>140002</v>
      </c>
      <c r="D11" s="15">
        <v>104090</v>
      </c>
      <c r="E11" s="22">
        <v>50694</v>
      </c>
      <c r="F11" s="22">
        <v>38808</v>
      </c>
      <c r="G11" s="22">
        <v>29086</v>
      </c>
      <c r="K11" s="45">
        <f t="shared" si="12"/>
        <v>151416</v>
      </c>
      <c r="L11" s="45">
        <f t="shared" si="13"/>
        <v>158987</v>
      </c>
      <c r="M11" s="45">
        <f t="shared" si="13"/>
        <v>166936</v>
      </c>
      <c r="N11" s="45">
        <f t="shared" si="13"/>
        <v>175283</v>
      </c>
      <c r="O11" s="45">
        <f t="shared" si="13"/>
        <v>184047</v>
      </c>
      <c r="P11" s="45">
        <f t="shared" ref="P11:T11" si="15">ROUND(O11*(1+0.05),)</f>
        <v>193249</v>
      </c>
      <c r="Q11" s="45">
        <f t="shared" si="15"/>
        <v>202911</v>
      </c>
      <c r="R11" s="45">
        <f t="shared" si="15"/>
        <v>213057</v>
      </c>
      <c r="S11" s="45">
        <f t="shared" si="15"/>
        <v>223710</v>
      </c>
      <c r="T11" s="45">
        <f t="shared" si="15"/>
        <v>234896</v>
      </c>
    </row>
    <row r="12" spans="1:20">
      <c r="A12" s="14" t="s">
        <v>64</v>
      </c>
      <c r="B12" s="15">
        <v>15684</v>
      </c>
      <c r="C12" s="15">
        <v>2384</v>
      </c>
      <c r="D12" s="15">
        <v>0</v>
      </c>
      <c r="E12" s="22">
        <v>0</v>
      </c>
      <c r="F12" s="22">
        <v>2599</v>
      </c>
      <c r="G12" s="22">
        <v>4129</v>
      </c>
      <c r="K12" s="45">
        <f t="shared" si="12"/>
        <v>17229</v>
      </c>
      <c r="L12" s="45">
        <f t="shared" si="13"/>
        <v>18090</v>
      </c>
      <c r="M12" s="45">
        <f t="shared" si="13"/>
        <v>18995</v>
      </c>
      <c r="N12" s="45">
        <f t="shared" si="13"/>
        <v>19945</v>
      </c>
      <c r="O12" s="45">
        <f t="shared" si="13"/>
        <v>20942</v>
      </c>
      <c r="P12" s="45">
        <f t="shared" ref="P12:T12" si="16">ROUND(O12*(1+0.05),)</f>
        <v>21989</v>
      </c>
      <c r="Q12" s="45">
        <f t="shared" si="16"/>
        <v>23088</v>
      </c>
      <c r="R12" s="45">
        <f t="shared" si="16"/>
        <v>24242</v>
      </c>
      <c r="S12" s="45">
        <f t="shared" si="16"/>
        <v>25454</v>
      </c>
      <c r="T12" s="45">
        <f t="shared" si="16"/>
        <v>26727</v>
      </c>
    </row>
    <row r="13" spans="1:20" s="40" customFormat="1">
      <c r="A13" s="37" t="s">
        <v>1</v>
      </c>
      <c r="B13" s="38">
        <v>612647</v>
      </c>
      <c r="C13" s="38">
        <v>526334</v>
      </c>
      <c r="D13" s="38">
        <v>338590</v>
      </c>
      <c r="E13" s="38">
        <v>159542</v>
      </c>
      <c r="F13" s="38">
        <v>118516</v>
      </c>
      <c r="G13" s="38">
        <v>92849</v>
      </c>
      <c r="K13" s="44">
        <f>SUM(K9:K12)</f>
        <v>673012</v>
      </c>
      <c r="L13" s="44">
        <f>ROUND(K13*(1+$I$37),)</f>
        <v>739326</v>
      </c>
      <c r="M13" s="44">
        <f t="shared" ref="M13:O13" si="17">ROUND(L13*(1+$I$37),)</f>
        <v>812174</v>
      </c>
      <c r="N13" s="44">
        <f t="shared" si="17"/>
        <v>892200</v>
      </c>
      <c r="O13" s="44">
        <f t="shared" si="17"/>
        <v>980112</v>
      </c>
      <c r="P13" s="44">
        <f t="shared" ref="P13:T13" si="18">ROUND(O13*(1+$I$37),)</f>
        <v>1076686</v>
      </c>
      <c r="Q13" s="44">
        <f t="shared" si="18"/>
        <v>1182776</v>
      </c>
      <c r="R13" s="44">
        <f t="shared" si="18"/>
        <v>1299319</v>
      </c>
      <c r="S13" s="44">
        <f t="shared" si="18"/>
        <v>1427346</v>
      </c>
      <c r="T13" s="44">
        <f t="shared" si="18"/>
        <v>1567988</v>
      </c>
    </row>
    <row r="14" spans="1:20">
      <c r="A14" s="14" t="s">
        <v>2</v>
      </c>
      <c r="B14" s="15">
        <v>445741</v>
      </c>
      <c r="C14" s="15">
        <v>448261</v>
      </c>
      <c r="D14" s="15">
        <v>215832</v>
      </c>
      <c r="E14" s="22">
        <v>186439</v>
      </c>
      <c r="F14" s="22">
        <v>102729</v>
      </c>
      <c r="G14" s="22">
        <v>1596</v>
      </c>
      <c r="H14" s="30"/>
      <c r="K14" s="1">
        <f>+K7-K13</f>
        <v>513607</v>
      </c>
      <c r="L14" s="1">
        <f t="shared" ref="L14:O14" si="19">+L7-L13</f>
        <v>590652</v>
      </c>
      <c r="M14" s="1">
        <f t="shared" si="19"/>
        <v>678042</v>
      </c>
      <c r="N14" s="1">
        <f t="shared" si="19"/>
        <v>777085</v>
      </c>
      <c r="O14" s="1">
        <f t="shared" si="19"/>
        <v>889245</v>
      </c>
      <c r="P14" s="1">
        <f t="shared" ref="P14" si="20">+P7-P13</f>
        <v>1016166</v>
      </c>
      <c r="Q14" s="1">
        <f t="shared" ref="Q14" si="21">+Q7-Q13</f>
        <v>1159690</v>
      </c>
      <c r="R14" s="1">
        <f t="shared" ref="R14" si="22">+R7-R13</f>
        <v>1321882</v>
      </c>
      <c r="S14" s="1">
        <f t="shared" ref="S14" si="23">+S7-S13</f>
        <v>1505053</v>
      </c>
      <c r="T14" s="1">
        <f t="shared" ref="T14" si="24">+T7-T13</f>
        <v>1711792</v>
      </c>
    </row>
    <row r="15" spans="1:20">
      <c r="A15" s="13" t="s">
        <v>3</v>
      </c>
      <c r="B15" s="47"/>
      <c r="C15" s="14" t="s">
        <v>17</v>
      </c>
      <c r="D15" s="14" t="s">
        <v>17</v>
      </c>
      <c r="E15" s="19"/>
      <c r="F15" s="19"/>
      <c r="G15" s="19"/>
      <c r="P15" s="19"/>
      <c r="Q15" s="19"/>
      <c r="R15" s="19"/>
      <c r="S15" s="19"/>
      <c r="T15" s="19"/>
    </row>
    <row r="16" spans="1:20">
      <c r="A16" s="14" t="s">
        <v>4</v>
      </c>
      <c r="B16" s="15">
        <v>69728</v>
      </c>
      <c r="C16" s="15">
        <v>13656</v>
      </c>
      <c r="D16" s="15">
        <v>695</v>
      </c>
      <c r="E16" s="22">
        <v>2156</v>
      </c>
      <c r="F16" s="22">
        <v>2513</v>
      </c>
      <c r="G16" s="22">
        <v>1058</v>
      </c>
      <c r="H16" s="30">
        <f>B14+B20</f>
        <v>513139</v>
      </c>
      <c r="K16" s="1">
        <f>ROUND(B16*(1+$I$38),)</f>
        <v>127054</v>
      </c>
      <c r="L16" s="1">
        <f>ROUND(K16*(1+$I$38),)</f>
        <v>231510</v>
      </c>
      <c r="M16" s="1">
        <f t="shared" ref="M16:O16" si="25">ROUND(L16*(1+$I$38),)</f>
        <v>421843</v>
      </c>
      <c r="N16" s="1">
        <f t="shared" si="25"/>
        <v>768655</v>
      </c>
      <c r="O16" s="1">
        <f t="shared" si="25"/>
        <v>1400594</v>
      </c>
      <c r="P16" s="1">
        <f t="shared" ref="P16:T16" si="26">ROUND(O16*(1+$I$38),)</f>
        <v>2552073</v>
      </c>
      <c r="Q16" s="1">
        <f t="shared" si="26"/>
        <v>4650225</v>
      </c>
      <c r="R16" s="1">
        <f t="shared" si="26"/>
        <v>8473344</v>
      </c>
      <c r="S16" s="1">
        <f t="shared" si="26"/>
        <v>15439587</v>
      </c>
      <c r="T16" s="1">
        <f t="shared" si="26"/>
        <v>28133031</v>
      </c>
    </row>
    <row r="17" spans="1:20">
      <c r="A17" s="14" t="s">
        <v>5</v>
      </c>
      <c r="B17" s="15">
        <v>-8839</v>
      </c>
      <c r="C17" s="15">
        <v>-9438</v>
      </c>
      <c r="D17" s="15">
        <v>-45152</v>
      </c>
      <c r="E17" s="22">
        <v>-21001</v>
      </c>
      <c r="F17" s="22">
        <v>-9691</v>
      </c>
      <c r="G17" s="22">
        <v>-10693</v>
      </c>
      <c r="K17" s="1">
        <f t="shared" ref="K17:K19" si="27">ROUND(B17*(1+$I$38),)</f>
        <v>-16106</v>
      </c>
      <c r="L17" s="1">
        <f t="shared" ref="L17:O19" si="28">ROUND(K17*(1+$I$38),)</f>
        <v>-29347</v>
      </c>
      <c r="M17" s="1">
        <f t="shared" si="28"/>
        <v>-53474</v>
      </c>
      <c r="N17" s="1">
        <f t="shared" si="28"/>
        <v>-97437</v>
      </c>
      <c r="O17" s="1">
        <f t="shared" si="28"/>
        <v>-177543</v>
      </c>
      <c r="P17" s="1">
        <f t="shared" ref="P17:T17" si="29">ROUND(O17*(1+$I$38),)</f>
        <v>-323508</v>
      </c>
      <c r="Q17" s="1">
        <f t="shared" si="29"/>
        <v>-589476</v>
      </c>
      <c r="R17" s="1">
        <f t="shared" si="29"/>
        <v>-1074106</v>
      </c>
      <c r="S17" s="1">
        <f t="shared" si="29"/>
        <v>-1957167</v>
      </c>
      <c r="T17" s="1">
        <f t="shared" si="29"/>
        <v>-3566225</v>
      </c>
    </row>
    <row r="18" spans="1:20">
      <c r="A18" s="14" t="s">
        <v>3</v>
      </c>
      <c r="B18" s="15">
        <v>6509</v>
      </c>
      <c r="C18" s="15">
        <v>-431</v>
      </c>
      <c r="D18" s="15">
        <v>6050</v>
      </c>
      <c r="E18" s="22">
        <v>-3836</v>
      </c>
      <c r="F18" s="22">
        <v>-5437</v>
      </c>
      <c r="G18" s="22">
        <v>-2190</v>
      </c>
      <c r="K18" s="1">
        <f t="shared" si="27"/>
        <v>11860</v>
      </c>
      <c r="L18" s="1">
        <f t="shared" si="28"/>
        <v>21611</v>
      </c>
      <c r="M18" s="1">
        <f t="shared" si="28"/>
        <v>39378</v>
      </c>
      <c r="N18" s="1">
        <f t="shared" si="28"/>
        <v>71752</v>
      </c>
      <c r="O18" s="1">
        <f t="shared" si="28"/>
        <v>130742</v>
      </c>
      <c r="P18" s="1">
        <f t="shared" ref="P18:T18" si="30">ROUND(O18*(1+$I$38),)</f>
        <v>238230</v>
      </c>
      <c r="Q18" s="1">
        <f t="shared" si="30"/>
        <v>434088</v>
      </c>
      <c r="R18" s="1">
        <f t="shared" si="30"/>
        <v>790967</v>
      </c>
      <c r="S18" s="1">
        <f t="shared" si="30"/>
        <v>1441250</v>
      </c>
      <c r="T18" s="1">
        <f t="shared" si="30"/>
        <v>2626154</v>
      </c>
    </row>
    <row r="19" spans="1:20">
      <c r="A19" s="14" t="s">
        <v>6</v>
      </c>
      <c r="B19" s="15">
        <v>0</v>
      </c>
      <c r="C19" s="15">
        <v>0</v>
      </c>
      <c r="D19" s="15">
        <v>-56497</v>
      </c>
      <c r="E19" s="22">
        <v>-44348</v>
      </c>
      <c r="F19" s="22">
        <v>0</v>
      </c>
      <c r="G19" s="22">
        <v>0</v>
      </c>
      <c r="K19" s="1">
        <f t="shared" si="27"/>
        <v>0</v>
      </c>
      <c r="L19" s="1">
        <f t="shared" si="28"/>
        <v>0</v>
      </c>
      <c r="M19" s="1">
        <f t="shared" si="28"/>
        <v>0</v>
      </c>
      <c r="N19" s="1">
        <f t="shared" si="28"/>
        <v>0</v>
      </c>
      <c r="O19" s="1">
        <f t="shared" si="28"/>
        <v>0</v>
      </c>
      <c r="P19" s="1">
        <f t="shared" ref="P19:T19" si="31">ROUND(O19*(1+$I$38),)</f>
        <v>0</v>
      </c>
      <c r="Q19" s="1">
        <f t="shared" si="31"/>
        <v>0</v>
      </c>
      <c r="R19" s="1">
        <f t="shared" si="31"/>
        <v>0</v>
      </c>
      <c r="S19" s="1">
        <f t="shared" si="31"/>
        <v>0</v>
      </c>
      <c r="T19" s="1">
        <f t="shared" si="31"/>
        <v>0</v>
      </c>
    </row>
    <row r="20" spans="1:20" s="40" customFormat="1">
      <c r="A20" s="37" t="s">
        <v>7</v>
      </c>
      <c r="B20" s="38">
        <v>67398</v>
      </c>
      <c r="C20" s="38">
        <v>3787</v>
      </c>
      <c r="D20" s="38">
        <v>-94904</v>
      </c>
      <c r="E20" s="38">
        <v>-67029</v>
      </c>
      <c r="F20" s="38">
        <v>-12615</v>
      </c>
      <c r="G20" s="38">
        <v>-11825</v>
      </c>
      <c r="K20" s="44">
        <f>SUM(K16:K19)</f>
        <v>122808</v>
      </c>
      <c r="L20" s="44">
        <f t="shared" ref="L20:O20" si="32">SUM(L16:L19)</f>
        <v>223774</v>
      </c>
      <c r="M20" s="44">
        <f t="shared" si="32"/>
        <v>407747</v>
      </c>
      <c r="N20" s="44">
        <f t="shared" si="32"/>
        <v>742970</v>
      </c>
      <c r="O20" s="44">
        <f t="shared" si="32"/>
        <v>1353793</v>
      </c>
      <c r="P20" s="44">
        <f t="shared" ref="P20" si="33">SUM(P16:P19)</f>
        <v>2466795</v>
      </c>
      <c r="Q20" s="44">
        <f t="shared" ref="Q20" si="34">SUM(Q16:Q19)</f>
        <v>4494837</v>
      </c>
      <c r="R20" s="44">
        <f t="shared" ref="R20" si="35">SUM(R16:R19)</f>
        <v>8190205</v>
      </c>
      <c r="S20" s="44">
        <f t="shared" ref="S20" si="36">SUM(S16:S19)</f>
        <v>14923670</v>
      </c>
      <c r="T20" s="44">
        <f t="shared" ref="T20" si="37">SUM(T16:T19)</f>
        <v>27192960</v>
      </c>
    </row>
    <row r="21" spans="1:20">
      <c r="A21" s="14" t="s">
        <v>8</v>
      </c>
      <c r="B21" s="15">
        <v>513139</v>
      </c>
      <c r="C21" s="15">
        <v>452048</v>
      </c>
      <c r="D21" s="15">
        <v>120928</v>
      </c>
      <c r="E21" s="22">
        <v>119410</v>
      </c>
      <c r="F21" s="22">
        <v>90114</v>
      </c>
      <c r="G21" s="22">
        <v>-10229</v>
      </c>
      <c r="H21" s="30"/>
      <c r="K21" s="1">
        <f>+K14+K20</f>
        <v>636415</v>
      </c>
      <c r="L21" s="1">
        <f t="shared" ref="L21:O21" si="38">+L14+L20</f>
        <v>814426</v>
      </c>
      <c r="M21" s="1">
        <f t="shared" si="38"/>
        <v>1085789</v>
      </c>
      <c r="N21" s="1">
        <f t="shared" si="38"/>
        <v>1520055</v>
      </c>
      <c r="O21" s="1">
        <f t="shared" si="38"/>
        <v>2243038</v>
      </c>
      <c r="P21" s="1">
        <f t="shared" ref="P21" si="39">+P14+P20</f>
        <v>3482961</v>
      </c>
      <c r="Q21" s="1">
        <f t="shared" ref="Q21" si="40">+Q14+Q20</f>
        <v>5654527</v>
      </c>
      <c r="R21" s="1">
        <f t="shared" ref="R21" si="41">+R14+R20</f>
        <v>9512087</v>
      </c>
      <c r="S21" s="1">
        <f t="shared" ref="S21" si="42">+S14+S20</f>
        <v>16428723</v>
      </c>
      <c r="T21" s="1">
        <f t="shared" ref="T21" si="43">+T14+T20</f>
        <v>28904752</v>
      </c>
    </row>
    <row r="22" spans="1:20">
      <c r="A22" s="14" t="s">
        <v>9</v>
      </c>
      <c r="B22" s="15">
        <v>-74203</v>
      </c>
      <c r="C22" s="15">
        <v>-54686</v>
      </c>
      <c r="D22" s="15">
        <v>24521</v>
      </c>
      <c r="E22" s="22">
        <v>14585</v>
      </c>
      <c r="F22" s="22">
        <v>71034</v>
      </c>
      <c r="G22" s="22">
        <v>-1398</v>
      </c>
      <c r="K22" s="1">
        <f>B22*1.1</f>
        <v>-81623.3</v>
      </c>
      <c r="L22" s="1">
        <f>K22*1.1</f>
        <v>-89785.63</v>
      </c>
      <c r="M22" s="1">
        <f t="shared" ref="M22:O22" si="44">L22*1.1</f>
        <v>-98764.193000000014</v>
      </c>
      <c r="N22" s="1">
        <f t="shared" si="44"/>
        <v>-108640.61230000002</v>
      </c>
      <c r="O22" s="1">
        <f t="shared" si="44"/>
        <v>-119504.67353000003</v>
      </c>
      <c r="P22" s="1">
        <f t="shared" ref="P22:T22" si="45">O22*1.1</f>
        <v>-131455.14088300004</v>
      </c>
      <c r="Q22" s="1">
        <f t="shared" si="45"/>
        <v>-144600.65497130007</v>
      </c>
      <c r="R22" s="1">
        <f t="shared" si="45"/>
        <v>-159060.72046843008</v>
      </c>
      <c r="S22" s="1">
        <f t="shared" si="45"/>
        <v>-174966.79251527309</v>
      </c>
      <c r="T22" s="1">
        <f t="shared" si="45"/>
        <v>-192463.47176680042</v>
      </c>
    </row>
    <row r="23" spans="1:20" s="40" customFormat="1">
      <c r="A23" s="37" t="s">
        <v>10</v>
      </c>
      <c r="B23" s="46">
        <v>438936</v>
      </c>
      <c r="C23" s="46">
        <v>397362</v>
      </c>
      <c r="D23" s="46">
        <v>145449</v>
      </c>
      <c r="E23" s="46">
        <v>133995</v>
      </c>
      <c r="F23" s="46">
        <v>161148</v>
      </c>
      <c r="G23" s="46">
        <v>-11627</v>
      </c>
      <c r="K23" s="44">
        <f>SUM(K21:K22)</f>
        <v>554791.69999999995</v>
      </c>
      <c r="L23" s="44">
        <f t="shared" ref="L23:O23" si="46">SUM(L21:L22)</f>
        <v>724640.37</v>
      </c>
      <c r="M23" s="44">
        <f t="shared" si="46"/>
        <v>987024.80700000003</v>
      </c>
      <c r="N23" s="44">
        <f t="shared" si="46"/>
        <v>1411414.3877000001</v>
      </c>
      <c r="O23" s="44">
        <f t="shared" si="46"/>
        <v>2123533.3264699997</v>
      </c>
      <c r="P23" s="44">
        <f t="shared" ref="P23" si="47">SUM(P21:P22)</f>
        <v>3351505.8591169999</v>
      </c>
      <c r="Q23" s="44">
        <f t="shared" ref="Q23" si="48">SUM(Q21:Q22)</f>
        <v>5509926.3450287003</v>
      </c>
      <c r="R23" s="44">
        <f t="shared" ref="R23" si="49">SUM(R21:R22)</f>
        <v>9353026.2795315702</v>
      </c>
      <c r="S23" s="44">
        <f t="shared" ref="S23" si="50">SUM(S21:S22)</f>
        <v>16253756.207484728</v>
      </c>
      <c r="T23" s="44">
        <f t="shared" ref="T23" si="51">SUM(T21:T22)</f>
        <v>28712288.5282332</v>
      </c>
    </row>
    <row r="24" spans="1:20">
      <c r="A24" s="13" t="s">
        <v>11</v>
      </c>
      <c r="B24" s="14" t="s">
        <v>17</v>
      </c>
      <c r="C24" s="14" t="s">
        <v>17</v>
      </c>
      <c r="D24" s="14" t="s">
        <v>17</v>
      </c>
      <c r="E24" s="19"/>
      <c r="F24" s="19"/>
      <c r="G24" s="19"/>
    </row>
    <row r="25" spans="1:20">
      <c r="A25" s="14" t="s">
        <v>65</v>
      </c>
      <c r="B25" s="17">
        <v>3.22</v>
      </c>
      <c r="C25" s="17">
        <v>2.94</v>
      </c>
      <c r="D25" s="17">
        <v>1.0900000000000001</v>
      </c>
      <c r="E25" s="23">
        <v>1.07</v>
      </c>
      <c r="F25" s="23">
        <v>1.38</v>
      </c>
      <c r="G25" s="23">
        <v>-0.12</v>
      </c>
    </row>
    <row r="26" spans="1:20">
      <c r="A26" s="14" t="s">
        <v>66</v>
      </c>
      <c r="B26" s="17">
        <v>3.08</v>
      </c>
      <c r="C26" s="17">
        <v>2.77</v>
      </c>
      <c r="D26" s="17">
        <v>1.02</v>
      </c>
      <c r="E26" s="23">
        <v>0.95</v>
      </c>
      <c r="F26" s="23">
        <v>1.23</v>
      </c>
      <c r="G26" s="23">
        <v>-0.12</v>
      </c>
    </row>
    <row r="27" spans="1:20">
      <c r="A27" s="13" t="s">
        <v>67</v>
      </c>
      <c r="B27" s="14" t="s">
        <v>17</v>
      </c>
      <c r="C27" s="14" t="s">
        <v>17</v>
      </c>
      <c r="D27" s="14" t="s">
        <v>17</v>
      </c>
      <c r="E27" s="19"/>
      <c r="F27" s="19"/>
      <c r="G27" s="19"/>
    </row>
    <row r="28" spans="1:20">
      <c r="A28" s="14" t="s">
        <v>68</v>
      </c>
      <c r="B28" s="15">
        <v>136376</v>
      </c>
      <c r="C28" s="15">
        <v>135349</v>
      </c>
      <c r="D28" s="15">
        <v>134025</v>
      </c>
      <c r="E28" s="22">
        <v>125561</v>
      </c>
      <c r="F28" s="22">
        <v>116713</v>
      </c>
      <c r="G28" s="22">
        <v>99619</v>
      </c>
    </row>
    <row r="29" spans="1:20">
      <c r="A29" s="14" t="s">
        <v>69</v>
      </c>
      <c r="B29" s="15">
        <v>143290</v>
      </c>
      <c r="C29" s="15">
        <v>144390</v>
      </c>
      <c r="D29" s="15">
        <v>142878</v>
      </c>
      <c r="E29" s="22">
        <v>141918</v>
      </c>
      <c r="F29" s="22">
        <v>131644</v>
      </c>
      <c r="G29" s="22">
        <v>99619</v>
      </c>
    </row>
    <row r="30" spans="1:20">
      <c r="B30" s="11" t="s">
        <v>12</v>
      </c>
    </row>
    <row r="32" spans="1:20">
      <c r="A32" s="19"/>
      <c r="H32" s="24" t="s">
        <v>90</v>
      </c>
      <c r="I32" s="24" t="s">
        <v>91</v>
      </c>
      <c r="J32" s="24" t="s">
        <v>92</v>
      </c>
    </row>
    <row r="33" spans="1:10">
      <c r="A33" s="26" t="s">
        <v>73</v>
      </c>
      <c r="B33" s="32"/>
      <c r="C33" s="27">
        <f>(B5-C5)/C5</f>
        <v>-1.7189844232991098E-2</v>
      </c>
      <c r="D33" s="27">
        <f t="shared" ref="D33:G33" si="52">(C5-D5)/D5</f>
        <v>0.68651979777851579</v>
      </c>
      <c r="E33" s="27">
        <f t="shared" si="52"/>
        <v>0.7846131000419666</v>
      </c>
      <c r="F33" s="27">
        <f t="shared" si="52"/>
        <v>0.24040375889148899</v>
      </c>
      <c r="G33" s="27">
        <f t="shared" si="52"/>
        <v>0.97474372072280091</v>
      </c>
      <c r="H33" s="36">
        <f>AVERAGE(C33:G33)</f>
        <v>0.53381810664035623</v>
      </c>
      <c r="I33" s="42">
        <f>H33/$J$33</f>
        <v>0.10676362132807124</v>
      </c>
      <c r="J33" s="43">
        <v>5</v>
      </c>
    </row>
    <row r="34" spans="1:10">
      <c r="A34" s="26" t="s">
        <v>74</v>
      </c>
      <c r="B34" s="32"/>
      <c r="C34" s="27">
        <f>(B6-C6)/C6</f>
        <v>-9.1324806932014405E-2</v>
      </c>
      <c r="D34" s="27">
        <f t="shared" ref="D34:G34" si="53">(C6-D6)/D6</f>
        <v>0.63873097421906244</v>
      </c>
      <c r="E34" s="27">
        <f t="shared" si="53"/>
        <v>0.93170402666392804</v>
      </c>
      <c r="F34" s="27">
        <f t="shared" si="53"/>
        <v>6.2904378200293737E-2</v>
      </c>
      <c r="G34" s="27">
        <f t="shared" si="53"/>
        <v>0.81805388924470268</v>
      </c>
      <c r="H34" s="35">
        <f t="shared" ref="H34:H38" si="54">AVERAGE(C34:G34)</f>
        <v>0.47201369227919454</v>
      </c>
      <c r="I34" s="41">
        <f t="shared" ref="I34:I38" si="55">H34/$J$33</f>
        <v>9.4402738455838908E-2</v>
      </c>
      <c r="J34" s="41"/>
    </row>
    <row r="35" spans="1:10">
      <c r="A35" s="26" t="s">
        <v>75</v>
      </c>
      <c r="B35" s="32"/>
      <c r="C35" s="27">
        <f>(B7-C7)/C7</f>
        <v>8.5977252089329409E-2</v>
      </c>
      <c r="D35" s="27">
        <f t="shared" ref="D35:G35" si="56">(C7-D7)/D7</f>
        <v>0.75785773291824643</v>
      </c>
      <c r="E35" s="27">
        <f t="shared" si="56"/>
        <v>0.60246371910596241</v>
      </c>
      <c r="F35" s="27">
        <f t="shared" si="56"/>
        <v>0.56379127211914393</v>
      </c>
      <c r="G35" s="27">
        <f t="shared" si="56"/>
        <v>1.342580337762719</v>
      </c>
      <c r="H35" s="35">
        <f t="shared" si="54"/>
        <v>0.67053406279908023</v>
      </c>
      <c r="I35" s="41">
        <f t="shared" si="55"/>
        <v>0.13410681255981605</v>
      </c>
      <c r="J35" s="41"/>
    </row>
    <row r="36" spans="1:10">
      <c r="A36" s="26" t="s">
        <v>76</v>
      </c>
      <c r="B36" s="32"/>
      <c r="C36" s="27">
        <f>(B23-C23)/C23</f>
        <v>0.10462500188744772</v>
      </c>
      <c r="D36" s="27">
        <f t="shared" ref="D36:F36" si="57">(C23-D23)/D23</f>
        <v>1.7319679062764268</v>
      </c>
      <c r="E36" s="27">
        <f t="shared" si="57"/>
        <v>8.5480801522444874E-2</v>
      </c>
      <c r="F36" s="27">
        <f t="shared" si="57"/>
        <v>-0.16849728200163824</v>
      </c>
      <c r="G36" s="27">
        <f>(F23-G23)/-G23</f>
        <v>14.859809065107079</v>
      </c>
      <c r="H36" s="35">
        <f t="shared" si="54"/>
        <v>3.3226770985583522</v>
      </c>
      <c r="I36" s="41">
        <f t="shared" si="55"/>
        <v>0.66453541971167041</v>
      </c>
      <c r="J36" s="41"/>
    </row>
    <row r="37" spans="1:10">
      <c r="A37" s="26" t="s">
        <v>93</v>
      </c>
      <c r="C37" s="27">
        <f>(B13-C13)/C13</f>
        <v>0.16398902597970111</v>
      </c>
      <c r="D37" s="27">
        <f t="shared" ref="D37:G37" si="58">(C13-D13)/D13</f>
        <v>0.5544877285212203</v>
      </c>
      <c r="E37" s="27">
        <f t="shared" si="58"/>
        <v>1.1222624763385189</v>
      </c>
      <c r="F37" s="27">
        <f t="shared" si="58"/>
        <v>0.34616423098990856</v>
      </c>
      <c r="G37" s="27">
        <f t="shared" si="58"/>
        <v>0.27643808764768601</v>
      </c>
      <c r="H37" s="35">
        <f t="shared" si="54"/>
        <v>0.49266830989540705</v>
      </c>
      <c r="I37" s="41">
        <f t="shared" si="55"/>
        <v>9.8533661979081408E-2</v>
      </c>
    </row>
    <row r="38" spans="1:10">
      <c r="A38" s="26" t="s">
        <v>94</v>
      </c>
      <c r="C38" s="27">
        <f>(B20-C20)/C20</f>
        <v>16.797200950620542</v>
      </c>
      <c r="D38" s="27">
        <f t="shared" ref="D38:G38" si="59">(C20-D20)/D20</f>
        <v>-1.0399034814127961</v>
      </c>
      <c r="E38" s="27">
        <f t="shared" si="59"/>
        <v>0.41586477494815677</v>
      </c>
      <c r="F38" s="27">
        <f t="shared" si="59"/>
        <v>4.3134363852556481</v>
      </c>
      <c r="G38" s="27">
        <f t="shared" si="59"/>
        <v>6.6807610993657507E-2</v>
      </c>
      <c r="H38" s="35">
        <f t="shared" si="54"/>
        <v>4.1106812480810415</v>
      </c>
      <c r="I38" s="41">
        <f t="shared" si="55"/>
        <v>0.82213624961620835</v>
      </c>
    </row>
    <row r="39" spans="1:10">
      <c r="A39" s="26"/>
      <c r="C39" s="27"/>
      <c r="D39" s="27"/>
      <c r="E39" s="27"/>
      <c r="F39" s="27"/>
      <c r="G39" s="27"/>
      <c r="H39" s="35"/>
      <c r="I39" s="41"/>
    </row>
    <row r="40" spans="1:10" s="19" customFormat="1">
      <c r="A40" s="26"/>
      <c r="C40" s="27"/>
      <c r="D40" s="27"/>
      <c r="E40" s="27"/>
      <c r="F40" s="27"/>
      <c r="G40" s="27"/>
      <c r="H40" s="41"/>
      <c r="I40" s="41"/>
    </row>
    <row r="41" spans="1:10" ht="27.75" customHeight="1" thickBot="1">
      <c r="B41" s="60" t="s">
        <v>107</v>
      </c>
      <c r="C41" s="60"/>
      <c r="D41" s="60"/>
      <c r="F41" s="60" t="s">
        <v>108</v>
      </c>
      <c r="G41" s="60"/>
      <c r="H41" s="60"/>
    </row>
    <row r="42" spans="1:10">
      <c r="B42" s="48" t="s">
        <v>83</v>
      </c>
      <c r="C42" s="49"/>
      <c r="D42" s="50">
        <f>O23*(1+0.055)/(0.15-0.055)</f>
        <v>23582396.415008944</v>
      </c>
      <c r="F42" s="48" t="s">
        <v>83</v>
      </c>
      <c r="G42" s="49"/>
      <c r="H42" s="50">
        <f>T23*(1+0.055)/(0.15-0.055)</f>
        <v>318857519.97143185</v>
      </c>
    </row>
    <row r="43" spans="1:10">
      <c r="B43" s="51" t="s">
        <v>96</v>
      </c>
      <c r="C43" s="52"/>
      <c r="D43" s="53">
        <f>SUM(O23,D42)</f>
        <v>25705929.741478942</v>
      </c>
      <c r="F43" s="51" t="s">
        <v>96</v>
      </c>
      <c r="G43" s="52"/>
      <c r="H43" s="53">
        <f>SUM(T23,H42)</f>
        <v>347569808.49966502</v>
      </c>
    </row>
    <row r="44" spans="1:10">
      <c r="B44" s="51"/>
      <c r="C44" s="52"/>
      <c r="D44" s="54"/>
      <c r="F44" s="51"/>
      <c r="G44" s="52"/>
      <c r="H44" s="54"/>
    </row>
    <row r="45" spans="1:10">
      <c r="B45" s="51" t="s">
        <v>95</v>
      </c>
      <c r="C45" s="52"/>
      <c r="D45" s="55">
        <f>NPV(0.15,K23:O23,D43)</f>
        <v>14655479.553876663</v>
      </c>
      <c r="F45" s="51" t="s">
        <v>95</v>
      </c>
      <c r="G45" s="52"/>
      <c r="H45" s="55">
        <f>NPV(0.15,K23:T23,H43)</f>
        <v>96545296.804207206</v>
      </c>
    </row>
    <row r="46" spans="1:10">
      <c r="B46" s="51" t="s">
        <v>97</v>
      </c>
      <c r="C46" s="52"/>
      <c r="D46" s="56">
        <f>Main!D6</f>
        <v>1695034</v>
      </c>
      <c r="F46" s="51" t="s">
        <v>97</v>
      </c>
      <c r="G46" s="52"/>
      <c r="H46" s="56">
        <f>D46</f>
        <v>1695034</v>
      </c>
    </row>
    <row r="47" spans="1:10">
      <c r="B47" s="51" t="s">
        <v>81</v>
      </c>
      <c r="C47" s="52"/>
      <c r="D47" s="56">
        <f>Main!D7</f>
        <v>1295355</v>
      </c>
      <c r="F47" s="51" t="s">
        <v>81</v>
      </c>
      <c r="G47" s="52"/>
      <c r="H47" s="56">
        <f>D47</f>
        <v>1295355</v>
      </c>
    </row>
    <row r="48" spans="1:10">
      <c r="B48" s="51" t="s">
        <v>98</v>
      </c>
      <c r="C48" s="52"/>
      <c r="D48" s="56">
        <f>+D45+D46-D47</f>
        <v>15055158.553876663</v>
      </c>
      <c r="F48" s="51" t="s">
        <v>98</v>
      </c>
      <c r="G48" s="52"/>
      <c r="H48" s="56">
        <f>+H45+H46-H47</f>
        <v>96944975.804207206</v>
      </c>
    </row>
    <row r="49" spans="2:8">
      <c r="B49" s="51" t="s">
        <v>99</v>
      </c>
      <c r="C49" s="52"/>
      <c r="D49" s="56">
        <f>Main!D4</f>
        <v>136376</v>
      </c>
      <c r="F49" s="51" t="s">
        <v>99</v>
      </c>
      <c r="G49" s="52"/>
      <c r="H49" s="56">
        <f>D49</f>
        <v>136376</v>
      </c>
    </row>
    <row r="50" spans="2:8">
      <c r="B50" s="51" t="s">
        <v>100</v>
      </c>
      <c r="C50" s="52"/>
      <c r="D50" s="54">
        <f>D48/D49</f>
        <v>110.39448696161101</v>
      </c>
      <c r="F50" s="51" t="s">
        <v>100</v>
      </c>
      <c r="G50" s="52"/>
      <c r="H50" s="54">
        <f>H48/H49</f>
        <v>710.8653707705696</v>
      </c>
    </row>
    <row r="51" spans="2:8" ht="15.75" thickBot="1">
      <c r="B51" s="57" t="s">
        <v>101</v>
      </c>
      <c r="C51" s="58"/>
      <c r="D51" s="59">
        <f>D50/Main!D3-1</f>
        <v>-0.14356488004956558</v>
      </c>
      <c r="F51" s="57" t="s">
        <v>101</v>
      </c>
      <c r="G51" s="58"/>
      <c r="H51" s="59">
        <f>H50/Main!D3-1</f>
        <v>4.5148593543100821</v>
      </c>
    </row>
    <row r="53" spans="2:8">
      <c r="B53" s="61" t="s">
        <v>109</v>
      </c>
    </row>
  </sheetData>
  <mergeCells count="5">
    <mergeCell ref="B41:D41"/>
    <mergeCell ref="F41:H41"/>
    <mergeCell ref="A2:A3"/>
    <mergeCell ref="B2:G2"/>
    <mergeCell ref="K2:O2"/>
  </mergeCells>
  <conditionalFormatting sqref="D51">
    <cfRule type="cellIs" dxfId="3" priority="3" operator="greaterThan">
      <formula>0</formula>
    </cfRule>
    <cfRule type="cellIs" dxfId="2" priority="4" operator="lessThan">
      <formula>0</formula>
    </cfRule>
  </conditionalFormatting>
  <conditionalFormatting sqref="H51">
    <cfRule type="cellIs" dxfId="1" priority="1" operator="greaterThan">
      <formula>0</formula>
    </cfRule>
    <cfRule type="cellIs" dxfId="0" priority="2" operator="lessThan">
      <formula>0</formula>
    </cfRule>
  </conditionalFormatting>
  <hyperlinks>
    <hyperlink ref="A1" location="Main!A1" display="Main" xr:uid="{C1A25396-C548-4AA9-B8F9-94743BC499EE}"/>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23D57-7027-4D56-B585-AD4A5285644C}">
  <dimension ref="A1:C36"/>
  <sheetViews>
    <sheetView workbookViewId="0">
      <selection activeCell="E17" sqref="E17"/>
    </sheetView>
  </sheetViews>
  <sheetFormatPr defaultRowHeight="15"/>
  <cols>
    <col min="1" max="1" width="80" style="4" customWidth="1"/>
    <col min="2" max="3" width="14" style="4" customWidth="1"/>
    <col min="4" max="16384" width="9.140625" style="4"/>
  </cols>
  <sheetData>
    <row r="1" spans="1:3">
      <c r="A1" s="5" t="s">
        <v>13</v>
      </c>
      <c r="B1" s="6" t="s">
        <v>14</v>
      </c>
      <c r="C1" s="6" t="s">
        <v>15</v>
      </c>
    </row>
    <row r="2" spans="1:3">
      <c r="A2" s="7" t="s">
        <v>16</v>
      </c>
      <c r="B2" s="8" t="s">
        <v>17</v>
      </c>
      <c r="C2" s="8" t="s">
        <v>17</v>
      </c>
    </row>
    <row r="3" spans="1:3">
      <c r="A3" s="8" t="s">
        <v>18</v>
      </c>
      <c r="B3" s="10">
        <v>288748</v>
      </c>
      <c r="C3" s="10">
        <v>473244</v>
      </c>
    </row>
    <row r="4" spans="1:3">
      <c r="A4" s="8" t="s">
        <v>19</v>
      </c>
      <c r="B4" s="9">
        <v>1406286</v>
      </c>
      <c r="C4" s="9">
        <v>1139599</v>
      </c>
    </row>
    <row r="5" spans="1:3" ht="30">
      <c r="A5" s="8" t="s">
        <v>20</v>
      </c>
      <c r="B5" s="9">
        <v>445959</v>
      </c>
      <c r="C5" s="9">
        <v>440896</v>
      </c>
    </row>
    <row r="6" spans="1:3">
      <c r="A6" s="8" t="s">
        <v>21</v>
      </c>
      <c r="B6" s="9">
        <v>213595</v>
      </c>
      <c r="C6" s="9">
        <v>149708</v>
      </c>
    </row>
    <row r="7" spans="1:3">
      <c r="A7" s="8" t="s">
        <v>22</v>
      </c>
      <c r="B7" s="9">
        <v>88930</v>
      </c>
      <c r="C7" s="9">
        <v>60824</v>
      </c>
    </row>
    <row r="8" spans="1:3">
      <c r="A8" s="8" t="s">
        <v>23</v>
      </c>
      <c r="B8" s="9">
        <v>2443518</v>
      </c>
      <c r="C8" s="9">
        <v>2264271</v>
      </c>
    </row>
    <row r="9" spans="1:3">
      <c r="A9" s="8" t="s">
        <v>24</v>
      </c>
      <c r="B9" s="9">
        <v>168244</v>
      </c>
      <c r="C9" s="9">
        <v>111367</v>
      </c>
    </row>
    <row r="10" spans="1:3">
      <c r="A10" s="8" t="s">
        <v>25</v>
      </c>
      <c r="B10" s="9">
        <v>19887</v>
      </c>
      <c r="C10" s="9">
        <v>21379</v>
      </c>
    </row>
    <row r="11" spans="1:3">
      <c r="A11" s="8" t="s">
        <v>26</v>
      </c>
      <c r="B11" s="9">
        <v>68536</v>
      </c>
      <c r="C11" s="9">
        <v>99541</v>
      </c>
    </row>
    <row r="12" spans="1:3">
      <c r="A12" s="8" t="s">
        <v>27</v>
      </c>
      <c r="B12" s="9">
        <v>214562</v>
      </c>
      <c r="C12" s="9">
        <v>213559</v>
      </c>
    </row>
    <row r="13" spans="1:3">
      <c r="A13" s="8" t="s">
        <v>28</v>
      </c>
      <c r="B13" s="9">
        <v>215895</v>
      </c>
      <c r="C13" s="9">
        <v>169291</v>
      </c>
    </row>
    <row r="14" spans="1:3">
      <c r="A14" s="8" t="s">
        <v>29</v>
      </c>
      <c r="B14" s="9">
        <v>252370</v>
      </c>
      <c r="C14" s="9">
        <v>204872</v>
      </c>
    </row>
    <row r="15" spans="1:3">
      <c r="A15" s="8" t="s">
        <v>30</v>
      </c>
      <c r="B15" s="9">
        <v>3383012</v>
      </c>
      <c r="C15" s="9">
        <v>3084280</v>
      </c>
    </row>
    <row r="16" spans="1:3">
      <c r="A16" s="7" t="s">
        <v>31</v>
      </c>
      <c r="B16" s="8" t="s">
        <v>17</v>
      </c>
      <c r="C16" s="8" t="s">
        <v>17</v>
      </c>
    </row>
    <row r="17" spans="1:3">
      <c r="A17" s="8" t="s">
        <v>32</v>
      </c>
      <c r="B17" s="9">
        <v>116164</v>
      </c>
      <c r="C17" s="9">
        <v>125085</v>
      </c>
    </row>
    <row r="18" spans="1:3">
      <c r="A18" s="8" t="s">
        <v>33</v>
      </c>
      <c r="B18" s="9">
        <v>261919</v>
      </c>
      <c r="C18" s="9">
        <v>295939</v>
      </c>
    </row>
    <row r="19" spans="1:3">
      <c r="A19" s="8" t="s">
        <v>34</v>
      </c>
      <c r="B19" s="9">
        <v>118300</v>
      </c>
      <c r="C19" s="9">
        <v>90747</v>
      </c>
    </row>
    <row r="20" spans="1:3">
      <c r="A20" s="8" t="s">
        <v>35</v>
      </c>
      <c r="B20" s="9">
        <v>36066</v>
      </c>
      <c r="C20" s="9">
        <v>35556</v>
      </c>
    </row>
    <row r="21" spans="1:3">
      <c r="A21" s="8" t="s">
        <v>36</v>
      </c>
      <c r="B21" s="9">
        <v>0</v>
      </c>
      <c r="C21" s="9">
        <v>90892</v>
      </c>
    </row>
    <row r="22" spans="1:3">
      <c r="A22" s="8" t="s">
        <v>37</v>
      </c>
      <c r="B22" s="9">
        <v>532449</v>
      </c>
      <c r="C22" s="9">
        <v>638219</v>
      </c>
    </row>
    <row r="23" spans="1:3">
      <c r="A23" s="7" t="s">
        <v>38</v>
      </c>
      <c r="B23" s="8" t="s">
        <v>17</v>
      </c>
      <c r="C23" s="8" t="s">
        <v>17</v>
      </c>
    </row>
    <row r="24" spans="1:3">
      <c r="A24" s="8" t="s">
        <v>39</v>
      </c>
      <c r="B24" s="9">
        <v>369172</v>
      </c>
      <c r="C24" s="9">
        <v>281613</v>
      </c>
    </row>
    <row r="25" spans="1:3">
      <c r="A25" s="8" t="s">
        <v>40</v>
      </c>
      <c r="B25" s="9">
        <v>153021</v>
      </c>
      <c r="C25" s="9">
        <v>95890</v>
      </c>
    </row>
    <row r="26" spans="1:3">
      <c r="A26" s="8" t="s">
        <v>41</v>
      </c>
      <c r="B26" s="9">
        <v>51008</v>
      </c>
      <c r="C26" s="9">
        <v>43520</v>
      </c>
    </row>
    <row r="27" spans="1:3">
      <c r="A27" s="8" t="s">
        <v>42</v>
      </c>
      <c r="B27" s="9">
        <v>1293738</v>
      </c>
      <c r="C27" s="9">
        <v>1199465</v>
      </c>
    </row>
    <row r="28" spans="1:3">
      <c r="A28" s="8" t="s">
        <v>43</v>
      </c>
      <c r="B28" s="9">
        <v>2399388</v>
      </c>
      <c r="C28" s="9">
        <v>2258707</v>
      </c>
    </row>
    <row r="29" spans="1:3">
      <c r="A29" s="8" t="s">
        <v>44</v>
      </c>
      <c r="B29" s="8" t="s">
        <v>45</v>
      </c>
      <c r="C29" s="8" t="s">
        <v>45</v>
      </c>
    </row>
    <row r="30" spans="1:3">
      <c r="A30" s="7" t="s">
        <v>46</v>
      </c>
      <c r="B30" s="8" t="s">
        <v>17</v>
      </c>
      <c r="C30" s="8" t="s">
        <v>17</v>
      </c>
    </row>
    <row r="31" spans="1:3" ht="45">
      <c r="A31" s="8" t="s">
        <v>47</v>
      </c>
      <c r="B31" s="9">
        <v>1</v>
      </c>
      <c r="C31" s="9">
        <v>1</v>
      </c>
    </row>
    <row r="32" spans="1:3">
      <c r="A32" s="8" t="s">
        <v>48</v>
      </c>
      <c r="B32" s="9">
        <v>939338</v>
      </c>
      <c r="C32" s="9">
        <v>819119</v>
      </c>
    </row>
    <row r="33" spans="1:3">
      <c r="A33" s="8" t="s">
        <v>49</v>
      </c>
      <c r="B33" s="9">
        <v>46273</v>
      </c>
      <c r="C33" s="9">
        <v>17335</v>
      </c>
    </row>
    <row r="34" spans="1:3">
      <c r="A34" s="8" t="s">
        <v>50</v>
      </c>
      <c r="B34" s="9">
        <v>-1988</v>
      </c>
      <c r="C34" s="9">
        <v>-10882</v>
      </c>
    </row>
    <row r="35" spans="1:3">
      <c r="A35" s="8" t="s">
        <v>51</v>
      </c>
      <c r="B35" s="9">
        <v>983624</v>
      </c>
      <c r="C35" s="9">
        <v>825573</v>
      </c>
    </row>
    <row r="36" spans="1:3">
      <c r="A36" s="8" t="s">
        <v>52</v>
      </c>
      <c r="B36" s="10">
        <v>3383012</v>
      </c>
      <c r="C36" s="10">
        <v>3084280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Income Statement</vt:lpstr>
      <vt:lpstr>Balance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Morton</dc:creator>
  <cp:lastModifiedBy>Joshua Morton</cp:lastModifiedBy>
  <dcterms:created xsi:type="dcterms:W3CDTF">2024-02-09T23:49:37Z</dcterms:created>
  <dcterms:modified xsi:type="dcterms:W3CDTF">2024-02-13T02:59:58Z</dcterms:modified>
</cp:coreProperties>
</file>