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ort\OneDrive\Documents\GitHub Models\"/>
    </mc:Choice>
  </mc:AlternateContent>
  <xr:revisionPtr revIDLastSave="0" documentId="13_ncr:1_{41C0D0CE-6157-441E-9234-E1419504AD89}" xr6:coauthVersionLast="47" xr6:coauthVersionMax="47" xr10:uidLastSave="{00000000-0000-0000-0000-000000000000}"/>
  <bookViews>
    <workbookView xWindow="-28920" yWindow="-120" windowWidth="29040" windowHeight="15720" activeTab="1" xr2:uid="{DEB47EC6-437F-4FC4-B780-CAD9EE15C5F4}"/>
  </bookViews>
  <sheets>
    <sheet name="Main" sheetId="1" r:id="rId1"/>
    <sheet name="Model" sheetId="2" r:id="rId2"/>
    <sheet name="SUPPORTING DOCS -&gt;" sheetId="3" r:id="rId3"/>
    <sheet name="INCOME_STATEMENT_HISTORICAL" sheetId="4" r:id="rId4"/>
    <sheet name="BALANCE_SHEET_HISTORICA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2" l="1"/>
  <c r="V3" i="2"/>
  <c r="U3" i="2"/>
  <c r="T3" i="2"/>
  <c r="S3" i="2"/>
  <c r="W6" i="2"/>
  <c r="V6" i="2"/>
  <c r="U6" i="2"/>
  <c r="T6" i="2"/>
  <c r="W38" i="2"/>
  <c r="W36" i="2"/>
  <c r="W35" i="2"/>
  <c r="S4" i="2"/>
  <c r="S5" i="2" s="1"/>
  <c r="S6" i="2"/>
  <c r="S25" i="2"/>
  <c r="T25" i="2" s="1"/>
  <c r="U25" i="2" s="1"/>
  <c r="V25" i="2" s="1"/>
  <c r="W25" i="2" s="1"/>
  <c r="S15" i="2"/>
  <c r="T15" i="2" s="1"/>
  <c r="U15" i="2" s="1"/>
  <c r="V15" i="2" s="1"/>
  <c r="S12" i="2"/>
  <c r="T12" i="2" s="1"/>
  <c r="U12" i="2" s="1"/>
  <c r="V12" i="2" s="1"/>
  <c r="W12" i="2" s="1"/>
  <c r="T9" i="2"/>
  <c r="U9" i="2" s="1"/>
  <c r="V9" i="2" s="1"/>
  <c r="W9" i="2" s="1"/>
  <c r="S9" i="2"/>
  <c r="T8" i="2"/>
  <c r="U8" i="2" s="1"/>
  <c r="V8" i="2" s="1"/>
  <c r="W8" i="2" s="1"/>
  <c r="S8" i="2"/>
  <c r="T1" i="2"/>
  <c r="U1" i="2" s="1"/>
  <c r="V1" i="2" s="1"/>
  <c r="W1" i="2" s="1"/>
  <c r="C6" i="1"/>
  <c r="C7" i="1"/>
  <c r="C4" i="1"/>
  <c r="C5" i="1" s="1"/>
  <c r="L30" i="2"/>
  <c r="I30" i="2"/>
  <c r="H30" i="2"/>
  <c r="C30" i="2"/>
  <c r="I29" i="2"/>
  <c r="H29" i="2"/>
  <c r="C29" i="2"/>
  <c r="O4" i="2"/>
  <c r="O3" i="2"/>
  <c r="L21" i="2"/>
  <c r="D22" i="2"/>
  <c r="C21" i="2"/>
  <c r="O26" i="2"/>
  <c r="S26" i="2" s="1"/>
  <c r="T26" i="2" s="1"/>
  <c r="U26" i="2" s="1"/>
  <c r="V26" i="2" s="1"/>
  <c r="W26" i="2" s="1"/>
  <c r="O25" i="2"/>
  <c r="O17" i="2"/>
  <c r="O15" i="2"/>
  <c r="O12" i="2"/>
  <c r="O13" i="2"/>
  <c r="S13" i="2" s="1"/>
  <c r="T13" i="2" s="1"/>
  <c r="U13" i="2" s="1"/>
  <c r="V13" i="2" s="1"/>
  <c r="W13" i="2" s="1"/>
  <c r="Q5" i="2"/>
  <c r="Q7" i="2" s="1"/>
  <c r="Q11" i="2" s="1"/>
  <c r="O9" i="2"/>
  <c r="O8" i="2"/>
  <c r="O6" i="2"/>
  <c r="L5" i="2"/>
  <c r="L7" i="2" s="1"/>
  <c r="L11" i="2" s="1"/>
  <c r="L14" i="2" s="1"/>
  <c r="L16" i="2" s="1"/>
  <c r="L18" i="2" s="1"/>
  <c r="L22" i="2" s="1"/>
  <c r="M5" i="2"/>
  <c r="M7" i="2" s="1"/>
  <c r="M11" i="2" s="1"/>
  <c r="M14" i="2" s="1"/>
  <c r="M16" i="2" s="1"/>
  <c r="M18" i="2" s="1"/>
  <c r="M21" i="2" s="1"/>
  <c r="J5" i="2"/>
  <c r="J7" i="2" s="1"/>
  <c r="J11" i="2" s="1"/>
  <c r="J14" i="2" s="1"/>
  <c r="I5" i="2"/>
  <c r="I7" i="2" s="1"/>
  <c r="I11" i="2" s="1"/>
  <c r="I14" i="2" s="1"/>
  <c r="H5" i="2"/>
  <c r="H7" i="2" s="1"/>
  <c r="H11" i="2" s="1"/>
  <c r="H14" i="2" s="1"/>
  <c r="G5" i="2"/>
  <c r="G7" i="2" s="1"/>
  <c r="G11" i="2" s="1"/>
  <c r="G14" i="2" s="1"/>
  <c r="F5" i="2"/>
  <c r="F7" i="2" s="1"/>
  <c r="F11" i="2" s="1"/>
  <c r="F14" i="2" s="1"/>
  <c r="E5" i="2"/>
  <c r="E7" i="2" s="1"/>
  <c r="E11" i="2" s="1"/>
  <c r="E14" i="2" s="1"/>
  <c r="D5" i="2"/>
  <c r="D29" i="2" s="1"/>
  <c r="C5" i="2"/>
  <c r="B5" i="2"/>
  <c r="D7" i="2"/>
  <c r="D11" i="2" s="1"/>
  <c r="D14" i="2" s="1"/>
  <c r="D16" i="2" s="1"/>
  <c r="D18" i="2" s="1"/>
  <c r="D21" i="2" s="1"/>
  <c r="C7" i="2"/>
  <c r="C11" i="2" s="1"/>
  <c r="C14" i="2" s="1"/>
  <c r="C16" i="2" s="1"/>
  <c r="C18" i="2" s="1"/>
  <c r="C22" i="2" s="1"/>
  <c r="B7" i="2"/>
  <c r="B11" i="2" s="1"/>
  <c r="B14" i="2" s="1"/>
  <c r="B16" i="2" s="1"/>
  <c r="B18" i="2" s="1"/>
  <c r="B22" i="2" s="1"/>
  <c r="C2" i="2"/>
  <c r="D2" i="2" s="1"/>
  <c r="E2" i="2" s="1"/>
  <c r="F2" i="2" s="1"/>
  <c r="G2" i="2" s="1"/>
  <c r="H2" i="2" s="1"/>
  <c r="I2" i="2" s="1"/>
  <c r="J2" i="2" s="1"/>
  <c r="X37" i="2"/>
  <c r="X36" i="2"/>
  <c r="X35" i="2"/>
  <c r="X40" i="2"/>
  <c r="X34" i="2"/>
  <c r="X39" i="2"/>
  <c r="X33" i="2"/>
  <c r="X38" i="2"/>
  <c r="X32" i="2"/>
  <c r="B21" i="2" l="1"/>
  <c r="E29" i="2"/>
  <c r="E30" i="2"/>
  <c r="M22" i="2"/>
  <c r="F29" i="2"/>
  <c r="M29" i="2"/>
  <c r="F30" i="2"/>
  <c r="B30" i="2"/>
  <c r="M30" i="2"/>
  <c r="G29" i="2"/>
  <c r="G30" i="2"/>
  <c r="J29" i="2"/>
  <c r="D30" i="2"/>
  <c r="J30" i="2"/>
  <c r="T4" i="2"/>
  <c r="U4" i="2" s="1"/>
  <c r="V4" i="2" s="1"/>
  <c r="W4" i="2" s="1"/>
  <c r="S7" i="2"/>
  <c r="W15" i="2"/>
  <c r="O5" i="2"/>
  <c r="J16" i="2"/>
  <c r="J18" i="2" s="1"/>
  <c r="I16" i="2"/>
  <c r="I18" i="2" s="1"/>
  <c r="H16" i="2"/>
  <c r="H18" i="2" s="1"/>
  <c r="F16" i="2"/>
  <c r="F18" i="2" s="1"/>
  <c r="G16" i="2"/>
  <c r="G18" i="2" s="1"/>
  <c r="E16" i="2"/>
  <c r="E18" i="2" s="1"/>
  <c r="E21" i="2" l="1"/>
  <c r="E22" i="2"/>
  <c r="G21" i="2"/>
  <c r="G22" i="2"/>
  <c r="F22" i="2"/>
  <c r="F21" i="2"/>
  <c r="S11" i="2"/>
  <c r="S14" i="2" s="1"/>
  <c r="S16" i="2" s="1"/>
  <c r="S18" i="2" s="1"/>
  <c r="S21" i="2" s="1"/>
  <c r="S30" i="2"/>
  <c r="H21" i="2"/>
  <c r="H22" i="2"/>
  <c r="O7" i="2"/>
  <c r="O29" i="2"/>
  <c r="I22" i="2"/>
  <c r="I21" i="2"/>
  <c r="J21" i="2"/>
  <c r="J22" i="2"/>
  <c r="T5" i="2"/>
  <c r="U5" i="2"/>
  <c r="S22" i="2" l="1"/>
  <c r="U7" i="2"/>
  <c r="U29" i="2"/>
  <c r="T7" i="2"/>
  <c r="T29" i="2"/>
  <c r="O11" i="2"/>
  <c r="O14" i="2" s="1"/>
  <c r="O16" i="2" s="1"/>
  <c r="O18" i="2" s="1"/>
  <c r="O30" i="2"/>
  <c r="W5" i="2"/>
  <c r="V5" i="2"/>
  <c r="O22" i="2" l="1"/>
  <c r="O21" i="2"/>
  <c r="W7" i="2"/>
  <c r="W29" i="2"/>
  <c r="V7" i="2"/>
  <c r="V29" i="2"/>
  <c r="T11" i="2"/>
  <c r="T14" i="2" s="1"/>
  <c r="T16" i="2" s="1"/>
  <c r="T18" i="2" s="1"/>
  <c r="T30" i="2"/>
  <c r="U11" i="2"/>
  <c r="U14" i="2" s="1"/>
  <c r="U16" i="2" s="1"/>
  <c r="U18" i="2" s="1"/>
  <c r="U30" i="2"/>
  <c r="V11" i="2" l="1"/>
  <c r="V14" i="2" s="1"/>
  <c r="V16" i="2" s="1"/>
  <c r="V18" i="2" s="1"/>
  <c r="V30" i="2"/>
  <c r="U21" i="2"/>
  <c r="U22" i="2"/>
  <c r="W11" i="2"/>
  <c r="W14" i="2" s="1"/>
  <c r="W16" i="2" s="1"/>
  <c r="W18" i="2" s="1"/>
  <c r="W32" i="2" s="1"/>
  <c r="W30" i="2"/>
  <c r="T22" i="2"/>
  <c r="T21" i="2"/>
  <c r="W33" i="2" l="1"/>
  <c r="W34" i="2" s="1"/>
  <c r="W37" i="2" s="1"/>
  <c r="W39" i="2" s="1"/>
  <c r="W40" i="2" s="1"/>
  <c r="V22" i="2"/>
  <c r="V21" i="2"/>
  <c r="W22" i="2"/>
  <c r="W2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 Morton</author>
  </authors>
  <commentList>
    <comment ref="Q3" authorId="0" shapeId="0" xr:uid="{80896E0A-B9D4-4174-A00C-C22226615EB2}">
      <text>
        <r>
          <rPr>
            <b/>
            <sz val="9"/>
            <color indexed="81"/>
            <rFont val="Tahoma"/>
            <family val="2"/>
          </rPr>
          <t>Josh Morton:</t>
        </r>
        <r>
          <rPr>
            <sz val="9"/>
            <color indexed="81"/>
            <rFont val="Tahoma"/>
            <family val="2"/>
          </rPr>
          <t xml:space="preserve">
Update once released</t>
        </r>
      </text>
    </comment>
  </commentList>
</comments>
</file>

<file path=xl/sharedStrings.xml><?xml version="1.0" encoding="utf-8"?>
<sst xmlns="http://schemas.openxmlformats.org/spreadsheetml/2006/main" count="50" uniqueCount="42">
  <si>
    <t>Stock</t>
  </si>
  <si>
    <t>Price</t>
  </si>
  <si>
    <t>Shares</t>
  </si>
  <si>
    <t>Market Cap</t>
  </si>
  <si>
    <t>Cash</t>
  </si>
  <si>
    <t>Debt</t>
  </si>
  <si>
    <t>TGT</t>
  </si>
  <si>
    <t>Main</t>
  </si>
  <si>
    <t>Sales</t>
  </si>
  <si>
    <t>Cost of sales</t>
  </si>
  <si>
    <t>Gross Margin</t>
  </si>
  <si>
    <t>Selling, general, admin</t>
  </si>
  <si>
    <t>Depreciation &amp; amortization</t>
  </si>
  <si>
    <t>Gain on sale</t>
  </si>
  <si>
    <t>Earnings from cont. operations before interest expense &amp; income taxes</t>
  </si>
  <si>
    <t>Net interest expense</t>
  </si>
  <si>
    <t>Earnings from cont. operations before income taxes</t>
  </si>
  <si>
    <t>Provision for income taxes</t>
  </si>
  <si>
    <t>Net earnings from continuing operations</t>
  </si>
  <si>
    <t>Discontinued operations, net of tax</t>
  </si>
  <si>
    <t>Net income</t>
  </si>
  <si>
    <t>EPS</t>
  </si>
  <si>
    <t>Basic</t>
  </si>
  <si>
    <t>Diluted</t>
  </si>
  <si>
    <t xml:space="preserve">Weighted average common shares outstanding </t>
  </si>
  <si>
    <t>Other revenue</t>
  </si>
  <si>
    <t>Total Revenue</t>
  </si>
  <si>
    <t>Other income, net</t>
  </si>
  <si>
    <t>2022 Q3</t>
  </si>
  <si>
    <t>2022 Q1</t>
  </si>
  <si>
    <t>2022 Q2</t>
  </si>
  <si>
    <t>Estimates</t>
  </si>
  <si>
    <t>Revenue y/y</t>
  </si>
  <si>
    <t>Terminal Value</t>
  </si>
  <si>
    <t>Enterprise Value</t>
  </si>
  <si>
    <t>(+) cash &amp; marketable securities</t>
  </si>
  <si>
    <t>(-) debt</t>
  </si>
  <si>
    <t>Equity Value</t>
  </si>
  <si>
    <t>Shares outstanding</t>
  </si>
  <si>
    <t>Intrinsic Value</t>
  </si>
  <si>
    <t>Upside</t>
  </si>
  <si>
    <t>&lt;- added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</si>
</sst>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Font="1"/>
    <xf numFmtId="0" fontId="2" fillId="2" borderId="0" xfId="0" applyFont="1" applyFill="1"/>
    <xf numFmtId="0" fontId="3" fillId="0" borderId="0" xfId="3" applyFill="1"/>
    <xf numFmtId="43" fontId="0" fillId="0" borderId="0" xfId="1" applyFont="1"/>
    <xf numFmtId="43" fontId="2" fillId="0" borderId="0" xfId="1" applyFont="1"/>
    <xf numFmtId="14" fontId="0" fillId="0" borderId="0" xfId="0" applyNumberFormat="1" applyAlignment="1">
      <alignment horizontal="right"/>
    </xf>
    <xf numFmtId="0" fontId="2" fillId="2" borderId="0" xfId="0" applyFont="1" applyFill="1" applyAlignment="1">
      <alignment horizontal="right"/>
    </xf>
    <xf numFmtId="43" fontId="1" fillId="0" borderId="0" xfId="1" applyFont="1"/>
    <xf numFmtId="43" fontId="0" fillId="0" borderId="0" xfId="0" applyNumberFormat="1"/>
    <xf numFmtId="43" fontId="0" fillId="0" borderId="0" xfId="0" applyNumberFormat="1" applyFont="1"/>
    <xf numFmtId="10" fontId="0" fillId="0" borderId="0" xfId="2" applyNumberFormat="1" applyFont="1"/>
    <xf numFmtId="0" fontId="2" fillId="0" borderId="1" xfId="0" applyFont="1" applyBorder="1"/>
    <xf numFmtId="0" fontId="2" fillId="0" borderId="2" xfId="0" applyFont="1" applyBorder="1"/>
    <xf numFmtId="0" fontId="6" fillId="0" borderId="2" xfId="0" applyFont="1" applyBorder="1"/>
    <xf numFmtId="0" fontId="6" fillId="0" borderId="3" xfId="0" applyFont="1" applyBorder="1"/>
    <xf numFmtId="0" fontId="0" fillId="0" borderId="4" xfId="0" applyBorder="1"/>
    <xf numFmtId="43" fontId="0" fillId="0" borderId="5" xfId="0" applyNumberFormat="1" applyBorder="1"/>
    <xf numFmtId="0" fontId="0" fillId="0" borderId="0" xfId="0" applyBorder="1"/>
    <xf numFmtId="43" fontId="0" fillId="0" borderId="6" xfId="0" applyNumberFormat="1" applyBorder="1"/>
    <xf numFmtId="8" fontId="0" fillId="0" borderId="6" xfId="0" applyNumberFormat="1" applyBorder="1"/>
    <xf numFmtId="0" fontId="0" fillId="0" borderId="6" xfId="0" applyBorder="1"/>
    <xf numFmtId="0" fontId="0" fillId="0" borderId="7" xfId="0" applyBorder="1"/>
    <xf numFmtId="9" fontId="0" fillId="0" borderId="8" xfId="2" applyFont="1" applyBorder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0</xdr:row>
      <xdr:rowOff>19050</xdr:rowOff>
    </xdr:from>
    <xdr:to>
      <xdr:col>13</xdr:col>
      <xdr:colOff>114300</xdr:colOff>
      <xdr:row>32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BD99381-9F4F-6C49-EF70-52A9188121FF}"/>
            </a:ext>
          </a:extLst>
        </xdr:cNvPr>
        <xdr:cNvCxnSpPr/>
      </xdr:nvCxnSpPr>
      <xdr:spPr>
        <a:xfrm>
          <a:off x="13173075" y="19050"/>
          <a:ext cx="19050" cy="7277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26</xdr:row>
      <xdr:rowOff>85725</xdr:rowOff>
    </xdr:from>
    <xdr:to>
      <xdr:col>19</xdr:col>
      <xdr:colOff>19050</xdr:colOff>
      <xdr:row>26</xdr:row>
      <xdr:rowOff>95250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ACD08EF-E704-ED6A-4881-9628F8A62DDD}"/>
            </a:ext>
          </a:extLst>
        </xdr:cNvPr>
        <xdr:cNvCxnSpPr/>
      </xdr:nvCxnSpPr>
      <xdr:spPr>
        <a:xfrm>
          <a:off x="19050" y="6181725"/>
          <a:ext cx="176593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15</xdr:col>
      <xdr:colOff>382244</xdr:colOff>
      <xdr:row>43</xdr:row>
      <xdr:rowOff>58248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ADB89F-6CB7-4512-5A00-E0F46D327E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8916644" cy="7868748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</xdr:row>
      <xdr:rowOff>0</xdr:rowOff>
    </xdr:from>
    <xdr:to>
      <xdr:col>30</xdr:col>
      <xdr:colOff>448929</xdr:colOff>
      <xdr:row>43</xdr:row>
      <xdr:rowOff>115406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583697-899A-DAF9-3339-DADDD643A5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53600" y="381000"/>
          <a:ext cx="8983329" cy="7925906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2</xdr:row>
      <xdr:rowOff>0</xdr:rowOff>
    </xdr:from>
    <xdr:to>
      <xdr:col>45</xdr:col>
      <xdr:colOff>487034</xdr:colOff>
      <xdr:row>44</xdr:row>
      <xdr:rowOff>105906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5A88128-10F2-805C-8CE8-F565571CC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897600" y="381000"/>
          <a:ext cx="9021434" cy="81069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30</xdr:col>
      <xdr:colOff>354942</xdr:colOff>
      <xdr:row>47</xdr:row>
      <xdr:rowOff>1196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316714-6B01-E71F-5DD7-FDB2A03C04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18033342" cy="85736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8A296-F283-42BA-B266-A769110EC4FE}">
  <dimension ref="B2:D7"/>
  <sheetViews>
    <sheetView workbookViewId="0">
      <selection activeCell="C4" sqref="C4"/>
    </sheetView>
  </sheetViews>
  <sheetFormatPr defaultRowHeight="15" x14ac:dyDescent="0.25"/>
  <cols>
    <col min="2" max="2" width="11" bestFit="1" customWidth="1"/>
    <col min="4" max="4" width="10.7109375" bestFit="1" customWidth="1"/>
  </cols>
  <sheetData>
    <row r="2" spans="2:4" x14ac:dyDescent="0.25">
      <c r="B2" t="s">
        <v>0</v>
      </c>
      <c r="C2" t="s">
        <v>6</v>
      </c>
    </row>
    <row r="3" spans="2:4" x14ac:dyDescent="0.25">
      <c r="B3" t="s">
        <v>1</v>
      </c>
      <c r="C3">
        <v>173.05</v>
      </c>
      <c r="D3" s="1">
        <v>44878</v>
      </c>
    </row>
    <row r="4" spans="2:4" x14ac:dyDescent="0.25">
      <c r="B4" t="s">
        <v>2</v>
      </c>
      <c r="C4">
        <f>Model!M26</f>
        <v>463.6</v>
      </c>
    </row>
    <row r="5" spans="2:4" x14ac:dyDescent="0.25">
      <c r="B5" t="s">
        <v>3</v>
      </c>
      <c r="C5">
        <f>C3*C4</f>
        <v>80225.98000000001</v>
      </c>
    </row>
    <row r="6" spans="2:4" x14ac:dyDescent="0.25">
      <c r="B6" t="s">
        <v>4</v>
      </c>
      <c r="C6">
        <f>1117+15320</f>
        <v>16437</v>
      </c>
      <c r="D6" t="s">
        <v>41</v>
      </c>
    </row>
    <row r="7" spans="2:4" x14ac:dyDescent="0.25">
      <c r="B7" t="s">
        <v>5</v>
      </c>
      <c r="C7">
        <f>13453+1649</f>
        <v>15102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BF58F-39EA-49EC-B1AB-A1C9829603F8}">
  <sheetPr>
    <tabColor theme="5" tint="0.59999389629810485"/>
  </sheetPr>
  <dimension ref="A1:X40"/>
  <sheetViews>
    <sheetView tabSelected="1" topLeftCell="A10" workbookViewId="0">
      <pane xSplit="1" topLeftCell="I1" activePane="topRight" state="frozen"/>
      <selection pane="topRight" activeCell="Y29" sqref="Y29"/>
    </sheetView>
  </sheetViews>
  <sheetFormatPr defaultRowHeight="15" x14ac:dyDescent="0.25"/>
  <cols>
    <col min="1" max="1" width="65.7109375" bestFit="1" customWidth="1"/>
    <col min="2" max="9" width="10.5703125" bestFit="1" customWidth="1"/>
    <col min="10" max="10" width="11.5703125" bestFit="1" customWidth="1"/>
    <col min="11" max="11" width="3" customWidth="1"/>
    <col min="12" max="12" width="11.5703125" customWidth="1"/>
    <col min="13" max="13" width="10.5703125" bestFit="1" customWidth="1"/>
    <col min="14" max="14" width="3.140625" customWidth="1"/>
    <col min="15" max="15" width="10.5703125" bestFit="1" customWidth="1"/>
    <col min="16" max="16" width="2.28515625" customWidth="1"/>
    <col min="17" max="17" width="10.7109375" bestFit="1" customWidth="1"/>
    <col min="18" max="18" width="2.5703125" customWidth="1"/>
    <col min="19" max="23" width="11.5703125" bestFit="1" customWidth="1"/>
  </cols>
  <sheetData>
    <row r="1" spans="1:23" x14ac:dyDescent="0.25">
      <c r="A1" s="5" t="s">
        <v>7</v>
      </c>
      <c r="L1" s="1">
        <v>44681</v>
      </c>
      <c r="M1" s="8">
        <v>44772</v>
      </c>
      <c r="O1" s="1">
        <v>44878</v>
      </c>
      <c r="Q1" s="1">
        <v>44881</v>
      </c>
      <c r="S1">
        <v>2022</v>
      </c>
      <c r="T1">
        <f>S1+1</f>
        <v>2023</v>
      </c>
      <c r="U1">
        <f t="shared" ref="U1:W1" si="0">T1+1</f>
        <v>2024</v>
      </c>
      <c r="V1">
        <f t="shared" si="0"/>
        <v>2025</v>
      </c>
      <c r="W1">
        <f t="shared" si="0"/>
        <v>2026</v>
      </c>
    </row>
    <row r="2" spans="1:23" s="4" customFormat="1" x14ac:dyDescent="0.25">
      <c r="B2" s="4">
        <v>2013</v>
      </c>
      <c r="C2" s="4">
        <f>B2+1</f>
        <v>2014</v>
      </c>
      <c r="D2" s="4">
        <f t="shared" ref="D2:J2" si="1">C2+1</f>
        <v>2015</v>
      </c>
      <c r="E2" s="4">
        <f t="shared" si="1"/>
        <v>2016</v>
      </c>
      <c r="F2" s="4">
        <f t="shared" si="1"/>
        <v>2017</v>
      </c>
      <c r="G2" s="4">
        <f t="shared" si="1"/>
        <v>2018</v>
      </c>
      <c r="H2" s="4">
        <f t="shared" si="1"/>
        <v>2019</v>
      </c>
      <c r="I2" s="4">
        <f t="shared" si="1"/>
        <v>2020</v>
      </c>
      <c r="J2" s="4">
        <f t="shared" si="1"/>
        <v>2021</v>
      </c>
      <c r="L2" s="9" t="s">
        <v>29</v>
      </c>
      <c r="M2" s="9" t="s">
        <v>30</v>
      </c>
      <c r="N2" s="9"/>
      <c r="O2" s="4" t="s">
        <v>31</v>
      </c>
      <c r="Q2" s="9" t="s">
        <v>28</v>
      </c>
      <c r="S2" s="4" t="s">
        <v>31</v>
      </c>
      <c r="T2" s="4" t="s">
        <v>31</v>
      </c>
      <c r="U2" s="4" t="s">
        <v>31</v>
      </c>
      <c r="V2" s="4" t="s">
        <v>31</v>
      </c>
      <c r="W2" s="4" t="s">
        <v>31</v>
      </c>
    </row>
    <row r="3" spans="1:23" x14ac:dyDescent="0.25">
      <c r="A3" t="s">
        <v>8</v>
      </c>
      <c r="B3" s="6">
        <v>71279</v>
      </c>
      <c r="C3" s="6">
        <v>72618</v>
      </c>
      <c r="D3" s="6">
        <v>73785</v>
      </c>
      <c r="E3" s="6">
        <v>69414</v>
      </c>
      <c r="F3" s="6">
        <v>71786</v>
      </c>
      <c r="G3" s="6">
        <v>74433</v>
      </c>
      <c r="H3" s="6">
        <v>77130</v>
      </c>
      <c r="I3" s="6">
        <v>92400</v>
      </c>
      <c r="J3" s="6">
        <v>104611</v>
      </c>
      <c r="K3" s="6"/>
      <c r="L3" s="6">
        <v>24830</v>
      </c>
      <c r="M3" s="6">
        <v>25653</v>
      </c>
      <c r="O3" s="11">
        <f>M3*1.07</f>
        <v>27448.710000000003</v>
      </c>
      <c r="S3" s="11">
        <f>J3*1.05</f>
        <v>109841.55</v>
      </c>
      <c r="T3" s="11">
        <f>S3*1.035</f>
        <v>113686.00425</v>
      </c>
      <c r="U3" s="11">
        <f>T3*1.035</f>
        <v>117665.01439874999</v>
      </c>
      <c r="V3" s="11">
        <f>U3*1.035</f>
        <v>121783.28990270624</v>
      </c>
      <c r="W3" s="11">
        <f>V3*1.035</f>
        <v>126045.70504930094</v>
      </c>
    </row>
    <row r="4" spans="1:23" x14ac:dyDescent="0.25">
      <c r="A4" t="s">
        <v>25</v>
      </c>
      <c r="B4" s="6">
        <v>0</v>
      </c>
      <c r="C4" s="6">
        <v>0</v>
      </c>
      <c r="D4" s="6">
        <v>0</v>
      </c>
      <c r="E4" s="6">
        <v>857</v>
      </c>
      <c r="F4" s="6">
        <v>928</v>
      </c>
      <c r="G4" s="6">
        <v>923</v>
      </c>
      <c r="H4" s="6">
        <v>982</v>
      </c>
      <c r="I4" s="6">
        <v>1161</v>
      </c>
      <c r="J4" s="6">
        <v>1394</v>
      </c>
      <c r="K4" s="6"/>
      <c r="L4" s="6">
        <v>340</v>
      </c>
      <c r="M4" s="6">
        <v>384</v>
      </c>
      <c r="O4" s="11">
        <f>M4*1.05</f>
        <v>403.20000000000005</v>
      </c>
      <c r="S4" s="11">
        <f>J4*1.025</f>
        <v>1428.85</v>
      </c>
      <c r="T4" s="11">
        <f>S4*1.025</f>
        <v>1464.5712499999997</v>
      </c>
      <c r="U4" s="11">
        <f>T4*1.025</f>
        <v>1501.1855312499997</v>
      </c>
      <c r="V4" s="11">
        <f>U4*1.025</f>
        <v>1538.7151695312496</v>
      </c>
      <c r="W4" s="11">
        <f>V4*1.025</f>
        <v>1577.1830487695306</v>
      </c>
    </row>
    <row r="5" spans="1:23" s="2" customFormat="1" x14ac:dyDescent="0.25">
      <c r="A5" s="2" t="s">
        <v>26</v>
      </c>
      <c r="B5" s="7">
        <f>SUM(B3:B4)</f>
        <v>71279</v>
      </c>
      <c r="C5" s="7">
        <f t="shared" ref="C5:M5" si="2">SUM(C3:C4)</f>
        <v>72618</v>
      </c>
      <c r="D5" s="7">
        <f t="shared" si="2"/>
        <v>73785</v>
      </c>
      <c r="E5" s="7">
        <f t="shared" si="2"/>
        <v>70271</v>
      </c>
      <c r="F5" s="7">
        <f t="shared" si="2"/>
        <v>72714</v>
      </c>
      <c r="G5" s="7">
        <f t="shared" si="2"/>
        <v>75356</v>
      </c>
      <c r="H5" s="7">
        <f t="shared" si="2"/>
        <v>78112</v>
      </c>
      <c r="I5" s="7">
        <f t="shared" si="2"/>
        <v>93561</v>
      </c>
      <c r="J5" s="7">
        <f t="shared" si="2"/>
        <v>106005</v>
      </c>
      <c r="K5" s="7"/>
      <c r="L5" s="7">
        <f t="shared" ref="L5" si="3">SUM(L3:L4)</f>
        <v>25170</v>
      </c>
      <c r="M5" s="7">
        <f t="shared" si="2"/>
        <v>26037</v>
      </c>
      <c r="O5" s="7">
        <f t="shared" ref="O5" si="4">SUM(O3:O4)</f>
        <v>27851.910000000003</v>
      </c>
      <c r="Q5" s="7">
        <f t="shared" ref="Q5" si="5">SUM(Q3:Q4)</f>
        <v>0</v>
      </c>
      <c r="S5" s="7">
        <f t="shared" ref="S5" si="6">SUM(S3:S4)</f>
        <v>111270.40000000001</v>
      </c>
      <c r="T5" s="7">
        <f t="shared" ref="T5" si="7">SUM(T3:T4)</f>
        <v>115150.57549999999</v>
      </c>
      <c r="U5" s="7">
        <f t="shared" ref="U5" si="8">SUM(U3:U4)</f>
        <v>119166.19992999999</v>
      </c>
      <c r="V5" s="7">
        <f t="shared" ref="V5" si="9">SUM(V3:V4)</f>
        <v>123322.00507223749</v>
      </c>
      <c r="W5" s="7">
        <f t="shared" ref="W5" si="10">SUM(W3:W4)</f>
        <v>127622.88809807047</v>
      </c>
    </row>
    <row r="6" spans="1:23" x14ac:dyDescent="0.25">
      <c r="A6" t="s">
        <v>9</v>
      </c>
      <c r="B6" s="6">
        <v>50039</v>
      </c>
      <c r="C6" s="6">
        <v>51278</v>
      </c>
      <c r="D6" s="6">
        <v>51997</v>
      </c>
      <c r="E6" s="6">
        <v>49145</v>
      </c>
      <c r="F6" s="6">
        <v>51125</v>
      </c>
      <c r="G6" s="6">
        <v>53299</v>
      </c>
      <c r="H6" s="6">
        <v>54864</v>
      </c>
      <c r="I6" s="6">
        <v>66177</v>
      </c>
      <c r="J6" s="6">
        <v>74963</v>
      </c>
      <c r="K6" s="6"/>
      <c r="L6" s="6">
        <v>18461</v>
      </c>
      <c r="M6" s="6">
        <v>20142</v>
      </c>
      <c r="O6" s="11">
        <f>M6*1.04</f>
        <v>20947.68</v>
      </c>
      <c r="S6" s="11">
        <f>J6*1.08</f>
        <v>80960.040000000008</v>
      </c>
      <c r="T6" s="11">
        <f>S6*1.05</f>
        <v>85008.042000000016</v>
      </c>
      <c r="U6" s="11">
        <f>T6*1.03</f>
        <v>87558.283260000026</v>
      </c>
      <c r="V6" s="11">
        <f>U6*1.03</f>
        <v>90185.031757800025</v>
      </c>
      <c r="W6" s="11">
        <f>V6*1.03</f>
        <v>92890.582710534029</v>
      </c>
    </row>
    <row r="7" spans="1:23" s="2" customFormat="1" x14ac:dyDescent="0.25">
      <c r="A7" s="2" t="s">
        <v>10</v>
      </c>
      <c r="B7" s="7">
        <f>+B3-B6</f>
        <v>21240</v>
      </c>
      <c r="C7" s="7">
        <f>+C3-C6</f>
        <v>21340</v>
      </c>
      <c r="D7" s="7">
        <f>+D3-D6</f>
        <v>21788</v>
      </c>
      <c r="E7" s="7">
        <f>E5-E6</f>
        <v>21126</v>
      </c>
      <c r="F7" s="7">
        <f t="shared" ref="F7:M7" si="11">F5-F6</f>
        <v>21589</v>
      </c>
      <c r="G7" s="7">
        <f t="shared" si="11"/>
        <v>22057</v>
      </c>
      <c r="H7" s="7">
        <f t="shared" si="11"/>
        <v>23248</v>
      </c>
      <c r="I7" s="7">
        <f t="shared" si="11"/>
        <v>27384</v>
      </c>
      <c r="J7" s="7">
        <f t="shared" si="11"/>
        <v>31042</v>
      </c>
      <c r="K7" s="7"/>
      <c r="L7" s="7">
        <f t="shared" ref="L7" si="12">L5-L6</f>
        <v>6709</v>
      </c>
      <c r="M7" s="7">
        <f t="shared" si="11"/>
        <v>5895</v>
      </c>
      <c r="O7" s="7">
        <f t="shared" ref="O7:Q7" si="13">O5-O6</f>
        <v>6904.2300000000032</v>
      </c>
      <c r="Q7" s="7">
        <f t="shared" si="13"/>
        <v>0</v>
      </c>
      <c r="S7" s="7">
        <f t="shared" ref="S7" si="14">S5-S6</f>
        <v>30310.36</v>
      </c>
      <c r="T7" s="7">
        <f t="shared" ref="T7" si="15">T5-T6</f>
        <v>30142.533499999976</v>
      </c>
      <c r="U7" s="7">
        <f t="shared" ref="U7" si="16">U5-U6</f>
        <v>31607.916669999962</v>
      </c>
      <c r="V7" s="7">
        <f t="shared" ref="V7" si="17">V5-V6</f>
        <v>33136.973314437462</v>
      </c>
      <c r="W7" s="7">
        <f t="shared" ref="W7" si="18">W5-W6</f>
        <v>34732.305387536442</v>
      </c>
    </row>
    <row r="8" spans="1:23" x14ac:dyDescent="0.25">
      <c r="A8" t="s">
        <v>11</v>
      </c>
      <c r="B8" s="6">
        <v>14465</v>
      </c>
      <c r="C8" s="6">
        <v>14676</v>
      </c>
      <c r="D8" s="6">
        <v>14665</v>
      </c>
      <c r="E8" s="6">
        <v>14217</v>
      </c>
      <c r="F8" s="6">
        <v>15140</v>
      </c>
      <c r="G8" s="6">
        <v>15723</v>
      </c>
      <c r="H8" s="6">
        <v>16233</v>
      </c>
      <c r="I8" s="6">
        <v>18615</v>
      </c>
      <c r="J8" s="6">
        <v>19752</v>
      </c>
      <c r="K8" s="6"/>
      <c r="L8" s="6">
        <v>4762</v>
      </c>
      <c r="M8" s="6">
        <v>5002</v>
      </c>
      <c r="O8" s="11">
        <f>M8*1.05</f>
        <v>5252.1</v>
      </c>
      <c r="S8" s="11">
        <f>J8*1.03</f>
        <v>20344.560000000001</v>
      </c>
      <c r="T8" s="11">
        <f>S8*1.03</f>
        <v>20954.896800000002</v>
      </c>
      <c r="U8" s="11">
        <f t="shared" ref="U8:W8" si="19">T8*1.03</f>
        <v>21583.543704000003</v>
      </c>
      <c r="V8" s="11">
        <f t="shared" si="19"/>
        <v>22231.050015120003</v>
      </c>
      <c r="W8" s="11">
        <f t="shared" si="19"/>
        <v>22897.981515573603</v>
      </c>
    </row>
    <row r="9" spans="1:23" s="3" customFormat="1" x14ac:dyDescent="0.25">
      <c r="A9" s="3" t="s">
        <v>12</v>
      </c>
      <c r="B9" s="6">
        <v>1996</v>
      </c>
      <c r="C9" s="6">
        <v>2129</v>
      </c>
      <c r="D9" s="6">
        <v>2213</v>
      </c>
      <c r="E9" s="6">
        <v>2045</v>
      </c>
      <c r="F9" s="6">
        <v>2225</v>
      </c>
      <c r="G9" s="6">
        <v>2224</v>
      </c>
      <c r="H9" s="6">
        <v>2357</v>
      </c>
      <c r="I9" s="6">
        <v>2230</v>
      </c>
      <c r="J9" s="10">
        <v>2344</v>
      </c>
      <c r="K9" s="10"/>
      <c r="L9" s="10">
        <v>601</v>
      </c>
      <c r="M9" s="10">
        <v>572</v>
      </c>
      <c r="O9" s="12">
        <f>M9*1.02</f>
        <v>583.44000000000005</v>
      </c>
      <c r="S9" s="12">
        <f>J9*1.025</f>
        <v>2402.6</v>
      </c>
      <c r="T9" s="12">
        <f>S9*1.025</f>
        <v>2462.6649999999995</v>
      </c>
      <c r="U9" s="12">
        <f t="shared" ref="U9:W9" si="20">T9*1.025</f>
        <v>2524.2316249999994</v>
      </c>
      <c r="V9" s="12">
        <f t="shared" si="20"/>
        <v>2587.3374156249993</v>
      </c>
      <c r="W9" s="12">
        <f t="shared" si="20"/>
        <v>2652.020851015624</v>
      </c>
    </row>
    <row r="10" spans="1:23" x14ac:dyDescent="0.25">
      <c r="A10" t="s">
        <v>13</v>
      </c>
      <c r="B10" s="6">
        <v>-391</v>
      </c>
      <c r="C10" s="6">
        <v>0</v>
      </c>
      <c r="D10" s="6">
        <v>-620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/>
      <c r="L10" s="6">
        <v>0</v>
      </c>
      <c r="M10" s="6">
        <v>0</v>
      </c>
      <c r="O10" s="6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s="2" customFormat="1" x14ac:dyDescent="0.25">
      <c r="A11" s="2" t="s">
        <v>14</v>
      </c>
      <c r="B11" s="7">
        <f>+B7-SUM(B8:B10)</f>
        <v>5170</v>
      </c>
      <c r="C11" s="7">
        <f t="shared" ref="C11:J11" si="21">+C7-SUM(C8:C10)</f>
        <v>4535</v>
      </c>
      <c r="D11" s="7">
        <f t="shared" si="21"/>
        <v>5530</v>
      </c>
      <c r="E11" s="7">
        <f t="shared" si="21"/>
        <v>4864</v>
      </c>
      <c r="F11" s="7">
        <f t="shared" si="21"/>
        <v>4224</v>
      </c>
      <c r="G11" s="7">
        <f t="shared" si="21"/>
        <v>4110</v>
      </c>
      <c r="H11" s="7">
        <f t="shared" si="21"/>
        <v>4658</v>
      </c>
      <c r="I11" s="7">
        <f t="shared" si="21"/>
        <v>6539</v>
      </c>
      <c r="J11" s="7">
        <f t="shared" si="21"/>
        <v>8946</v>
      </c>
      <c r="K11" s="7"/>
      <c r="L11" s="7">
        <f t="shared" ref="L11" si="22">+L7-SUM(L8:L10)</f>
        <v>1346</v>
      </c>
      <c r="M11" s="7">
        <f t="shared" ref="M11:Q11" si="23">+M7-SUM(M8:M10)</f>
        <v>321</v>
      </c>
      <c r="O11" s="7">
        <f t="shared" si="23"/>
        <v>1068.6900000000023</v>
      </c>
      <c r="Q11" s="7">
        <f t="shared" si="23"/>
        <v>0</v>
      </c>
      <c r="S11" s="7">
        <f t="shared" ref="S11" si="24">+S7-SUM(S8:S10)</f>
        <v>7563.2000000000007</v>
      </c>
      <c r="T11" s="7">
        <f t="shared" ref="T11" si="25">+T7-SUM(T8:T10)</f>
        <v>6724.9716999999728</v>
      </c>
      <c r="U11" s="7">
        <f t="shared" ref="U11" si="26">+U7-SUM(U8:U10)</f>
        <v>7500.1413409999586</v>
      </c>
      <c r="V11" s="7">
        <f t="shared" ref="V11" si="27">+V7-SUM(V8:V10)</f>
        <v>8318.5858836924599</v>
      </c>
      <c r="W11" s="7">
        <f t="shared" ref="W11" si="28">+W7-SUM(W8:W10)</f>
        <v>9182.3030209472163</v>
      </c>
    </row>
    <row r="12" spans="1:23" x14ac:dyDescent="0.25">
      <c r="A12" t="s">
        <v>15</v>
      </c>
      <c r="B12" s="6">
        <v>1049</v>
      </c>
      <c r="C12" s="6">
        <v>882</v>
      </c>
      <c r="D12" s="6">
        <v>607</v>
      </c>
      <c r="E12" s="6">
        <v>991</v>
      </c>
      <c r="F12" s="6">
        <v>653</v>
      </c>
      <c r="G12" s="6">
        <v>461</v>
      </c>
      <c r="H12" s="6">
        <v>477</v>
      </c>
      <c r="I12" s="6">
        <v>977</v>
      </c>
      <c r="J12" s="6">
        <v>421</v>
      </c>
      <c r="K12" s="6"/>
      <c r="L12" s="6">
        <v>112</v>
      </c>
      <c r="M12" s="6">
        <v>112</v>
      </c>
      <c r="O12" s="6">
        <f>M12</f>
        <v>112</v>
      </c>
      <c r="S12" s="11">
        <f>J12*1.02</f>
        <v>429.42</v>
      </c>
      <c r="T12" s="11">
        <f>S12*1.02</f>
        <v>438.00840000000005</v>
      </c>
      <c r="U12" s="11">
        <f t="shared" ref="U12:W12" si="29">T12*1.02</f>
        <v>446.76856800000007</v>
      </c>
      <c r="V12" s="11">
        <f t="shared" si="29"/>
        <v>455.70393936000011</v>
      </c>
      <c r="W12" s="11">
        <f t="shared" si="29"/>
        <v>464.81801814720012</v>
      </c>
    </row>
    <row r="13" spans="1:23" x14ac:dyDescent="0.25">
      <c r="A13" t="s">
        <v>27</v>
      </c>
      <c r="B13" s="6">
        <v>0</v>
      </c>
      <c r="C13" s="6">
        <v>0</v>
      </c>
      <c r="D13" s="6">
        <v>0</v>
      </c>
      <c r="E13" s="6">
        <v>-88</v>
      </c>
      <c r="F13" s="6">
        <v>-59</v>
      </c>
      <c r="G13" s="6">
        <v>-27</v>
      </c>
      <c r="H13" s="6">
        <v>-9</v>
      </c>
      <c r="I13" s="6">
        <v>16</v>
      </c>
      <c r="J13" s="10">
        <v>-382</v>
      </c>
      <c r="K13" s="10"/>
      <c r="L13" s="10">
        <v>-15</v>
      </c>
      <c r="M13" s="6">
        <v>-8</v>
      </c>
      <c r="O13" s="6">
        <f>M13*1.25</f>
        <v>-10</v>
      </c>
      <c r="S13" s="11">
        <f>O13</f>
        <v>-10</v>
      </c>
      <c r="T13" s="11">
        <f>S13*1.1</f>
        <v>-11</v>
      </c>
      <c r="U13" s="11">
        <f t="shared" ref="U13:W13" si="30">T13*1.1</f>
        <v>-12.100000000000001</v>
      </c>
      <c r="V13" s="11">
        <f t="shared" si="30"/>
        <v>-13.310000000000002</v>
      </c>
      <c r="W13" s="11">
        <f t="shared" si="30"/>
        <v>-14.641000000000004</v>
      </c>
    </row>
    <row r="14" spans="1:23" s="2" customFormat="1" x14ac:dyDescent="0.25">
      <c r="A14" s="2" t="s">
        <v>16</v>
      </c>
      <c r="B14" s="7">
        <f>+B11-B12</f>
        <v>4121</v>
      </c>
      <c r="C14" s="7">
        <f t="shared" ref="C14:D14" si="31">+C11-C12</f>
        <v>3653</v>
      </c>
      <c r="D14" s="7">
        <f t="shared" si="31"/>
        <v>4923</v>
      </c>
      <c r="E14" s="7">
        <f>E11-SUM(E12:E13)</f>
        <v>3961</v>
      </c>
      <c r="F14" s="7">
        <f t="shared" ref="F14:J14" si="32">F11-SUM(F12:F13)</f>
        <v>3630</v>
      </c>
      <c r="G14" s="7">
        <f t="shared" si="32"/>
        <v>3676</v>
      </c>
      <c r="H14" s="7">
        <f t="shared" si="32"/>
        <v>4190</v>
      </c>
      <c r="I14" s="7">
        <f t="shared" si="32"/>
        <v>5546</v>
      </c>
      <c r="J14" s="7">
        <f t="shared" si="32"/>
        <v>8907</v>
      </c>
      <c r="K14" s="7"/>
      <c r="L14" s="7">
        <f t="shared" ref="L14" si="33">L11-SUM(L12:L13)</f>
        <v>1249</v>
      </c>
      <c r="M14" s="7">
        <f t="shared" ref="M14:O14" si="34">M11-SUM(M12:M13)</f>
        <v>217</v>
      </c>
      <c r="O14" s="7">
        <f t="shared" si="34"/>
        <v>966.69000000000233</v>
      </c>
      <c r="S14" s="7">
        <f t="shared" ref="S14" si="35">S11-SUM(S12:S13)</f>
        <v>7143.7800000000007</v>
      </c>
      <c r="T14" s="7">
        <f t="shared" ref="T14" si="36">T11-SUM(T12:T13)</f>
        <v>6297.9632999999731</v>
      </c>
      <c r="U14" s="7">
        <f t="shared" ref="U14" si="37">U11-SUM(U12:U13)</f>
        <v>7065.4727729999586</v>
      </c>
      <c r="V14" s="7">
        <f t="shared" ref="V14" si="38">V11-SUM(V12:V13)</f>
        <v>7876.1919443324596</v>
      </c>
      <c r="W14" s="7">
        <f t="shared" ref="W14" si="39">W11-SUM(W12:W13)</f>
        <v>8732.1260028000161</v>
      </c>
    </row>
    <row r="15" spans="1:23" x14ac:dyDescent="0.25">
      <c r="A15" t="s">
        <v>17</v>
      </c>
      <c r="B15" s="6">
        <v>1427</v>
      </c>
      <c r="C15" s="6">
        <v>1204</v>
      </c>
      <c r="D15" s="6">
        <v>1602</v>
      </c>
      <c r="E15" s="6">
        <v>1295</v>
      </c>
      <c r="F15" s="6">
        <v>722</v>
      </c>
      <c r="G15" s="6">
        <v>746</v>
      </c>
      <c r="H15" s="6">
        <v>921</v>
      </c>
      <c r="I15" s="6">
        <v>1178</v>
      </c>
      <c r="J15" s="10">
        <v>1961</v>
      </c>
      <c r="K15" s="10"/>
      <c r="L15" s="10">
        <v>240</v>
      </c>
      <c r="M15" s="6">
        <v>34</v>
      </c>
      <c r="O15" s="11">
        <f>M15</f>
        <v>34</v>
      </c>
      <c r="S15" s="11">
        <f>J15*1.025</f>
        <v>2010.0249999999999</v>
      </c>
      <c r="T15" s="11">
        <f>S15-(S15*0.025)</f>
        <v>1959.774375</v>
      </c>
      <c r="U15" s="11">
        <f>T15-(T15*0.25)</f>
        <v>1469.83078125</v>
      </c>
      <c r="V15" s="11">
        <f>U15-(U15*0.5)</f>
        <v>734.91539062499999</v>
      </c>
      <c r="W15" s="11">
        <f t="shared" ref="W15" si="40">V15-(V15*0.025)</f>
        <v>716.54250585937496</v>
      </c>
    </row>
    <row r="16" spans="1:23" s="2" customFormat="1" x14ac:dyDescent="0.25">
      <c r="A16" s="2" t="s">
        <v>18</v>
      </c>
      <c r="B16" s="7">
        <f>+B14-B15</f>
        <v>2694</v>
      </c>
      <c r="C16" s="7">
        <f t="shared" ref="C16:J16" si="41">+C14-C15</f>
        <v>2449</v>
      </c>
      <c r="D16" s="7">
        <f t="shared" si="41"/>
        <v>3321</v>
      </c>
      <c r="E16" s="7">
        <f t="shared" si="41"/>
        <v>2666</v>
      </c>
      <c r="F16" s="7">
        <f t="shared" si="41"/>
        <v>2908</v>
      </c>
      <c r="G16" s="7">
        <f t="shared" si="41"/>
        <v>2930</v>
      </c>
      <c r="H16" s="7">
        <f t="shared" si="41"/>
        <v>3269</v>
      </c>
      <c r="I16" s="7">
        <f t="shared" si="41"/>
        <v>4368</v>
      </c>
      <c r="J16" s="7">
        <f t="shared" si="41"/>
        <v>6946</v>
      </c>
      <c r="K16" s="7"/>
      <c r="L16" s="7">
        <f t="shared" ref="L16" si="42">+L14-L15</f>
        <v>1009</v>
      </c>
      <c r="M16" s="7">
        <f t="shared" ref="M16:O16" si="43">+M14-M15</f>
        <v>183</v>
      </c>
      <c r="O16" s="7">
        <f t="shared" si="43"/>
        <v>932.69000000000233</v>
      </c>
      <c r="S16" s="7">
        <f t="shared" ref="S16" si="44">+S14-S15</f>
        <v>5133.755000000001</v>
      </c>
      <c r="T16" s="7">
        <f t="shared" ref="T16" si="45">+T14-T15</f>
        <v>4338.1889249999731</v>
      </c>
      <c r="U16" s="7">
        <f t="shared" ref="U16" si="46">+U14-U15</f>
        <v>5595.6419917499588</v>
      </c>
      <c r="V16" s="7">
        <f t="shared" ref="V16" si="47">+V14-V15</f>
        <v>7141.2765537074592</v>
      </c>
      <c r="W16" s="7">
        <f t="shared" ref="W16" si="48">+W14-W15</f>
        <v>8015.5834969406415</v>
      </c>
    </row>
    <row r="17" spans="1:24" x14ac:dyDescent="0.25">
      <c r="A17" t="s">
        <v>19</v>
      </c>
      <c r="B17" s="6">
        <v>-723</v>
      </c>
      <c r="C17" s="6">
        <v>-4085</v>
      </c>
      <c r="D17" s="6">
        <v>42</v>
      </c>
      <c r="E17" s="6">
        <v>68</v>
      </c>
      <c r="F17" s="6">
        <v>6</v>
      </c>
      <c r="G17" s="6">
        <v>7</v>
      </c>
      <c r="H17" s="6">
        <v>12</v>
      </c>
      <c r="I17" s="6">
        <v>0</v>
      </c>
      <c r="J17" s="7">
        <v>0</v>
      </c>
      <c r="K17" s="7"/>
      <c r="L17" s="7">
        <v>0</v>
      </c>
      <c r="M17" s="6">
        <v>0</v>
      </c>
      <c r="O17" s="11">
        <f>M17</f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4" s="2" customFormat="1" x14ac:dyDescent="0.25">
      <c r="A18" s="2" t="s">
        <v>20</v>
      </c>
      <c r="B18" s="7">
        <f>SUM(B16:B17)</f>
        <v>1971</v>
      </c>
      <c r="C18" s="7">
        <f t="shared" ref="C18:D18" si="49">SUM(C16:C17)</f>
        <v>-1636</v>
      </c>
      <c r="D18" s="7">
        <f t="shared" si="49"/>
        <v>3363</v>
      </c>
      <c r="E18" s="7">
        <f>SUM(E16:E17)</f>
        <v>2734</v>
      </c>
      <c r="F18" s="7">
        <f t="shared" ref="F18:J18" si="50">SUM(F16:F17)</f>
        <v>2914</v>
      </c>
      <c r="G18" s="7">
        <f t="shared" si="50"/>
        <v>2937</v>
      </c>
      <c r="H18" s="7">
        <f t="shared" si="50"/>
        <v>3281</v>
      </c>
      <c r="I18" s="7">
        <f t="shared" si="50"/>
        <v>4368</v>
      </c>
      <c r="J18" s="7">
        <f t="shared" si="50"/>
        <v>6946</v>
      </c>
      <c r="K18" s="7"/>
      <c r="L18" s="7">
        <f t="shared" ref="L18" si="51">SUM(L16:L17)</f>
        <v>1009</v>
      </c>
      <c r="M18" s="7">
        <f t="shared" ref="M18:O18" si="52">SUM(M16:M17)</f>
        <v>183</v>
      </c>
      <c r="O18" s="7">
        <f t="shared" si="52"/>
        <v>932.69000000000233</v>
      </c>
      <c r="S18" s="7">
        <f t="shared" ref="S18" si="53">SUM(S16:S17)</f>
        <v>5133.755000000001</v>
      </c>
      <c r="T18" s="7">
        <f t="shared" ref="T18" si="54">SUM(T16:T17)</f>
        <v>4338.1889249999731</v>
      </c>
      <c r="U18" s="7">
        <f t="shared" ref="U18" si="55">SUM(U16:U17)</f>
        <v>5595.6419917499588</v>
      </c>
      <c r="V18" s="7">
        <f t="shared" ref="V18" si="56">SUM(V16:V17)</f>
        <v>7141.2765537074592</v>
      </c>
      <c r="W18" s="7">
        <f t="shared" ref="W18" si="57">SUM(W16:W17)</f>
        <v>8015.5834969406415</v>
      </c>
    </row>
    <row r="19" spans="1:24" x14ac:dyDescent="0.25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24" x14ac:dyDescent="0.25">
      <c r="A20" s="2" t="s">
        <v>21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24" x14ac:dyDescent="0.25">
      <c r="A21" s="2" t="s">
        <v>22</v>
      </c>
      <c r="B21" s="6">
        <f>B18/B25</f>
        <v>3.103448275862069</v>
      </c>
      <c r="C21" s="6">
        <f t="shared" ref="C21:J21" si="58">C18/C25</f>
        <v>-2.5775957145107924</v>
      </c>
      <c r="D21" s="6">
        <f t="shared" si="58"/>
        <v>5.3576549306993781</v>
      </c>
      <c r="E21" s="6">
        <f t="shared" si="58"/>
        <v>4.7333795013850413</v>
      </c>
      <c r="F21" s="6">
        <f t="shared" si="58"/>
        <v>5.3291880029261156</v>
      </c>
      <c r="G21" s="6">
        <f t="shared" si="58"/>
        <v>5.5561861520998859</v>
      </c>
      <c r="H21" s="6">
        <f t="shared" si="58"/>
        <v>6.4220003914660406</v>
      </c>
      <c r="I21" s="6">
        <f t="shared" si="58"/>
        <v>8.7255293647622842</v>
      </c>
      <c r="J21" s="6">
        <f t="shared" si="58"/>
        <v>14.230690432288466</v>
      </c>
      <c r="K21" s="6"/>
      <c r="L21" s="6">
        <f>L18/L25</f>
        <v>2.1745689655172415</v>
      </c>
      <c r="M21" s="6">
        <f>M18/M25</f>
        <v>0.39653304442036835</v>
      </c>
      <c r="O21" s="6">
        <f>O18/O25</f>
        <v>2.0209967497291492</v>
      </c>
      <c r="S21" s="6">
        <f t="shared" ref="S21:W21" si="59">S18/S25</f>
        <v>10.112784398699892</v>
      </c>
      <c r="T21" s="6">
        <f t="shared" si="59"/>
        <v>8.5456297153550143</v>
      </c>
      <c r="U21" s="6">
        <f t="shared" si="59"/>
        <v>11.022637627794658</v>
      </c>
      <c r="V21" s="6">
        <f t="shared" si="59"/>
        <v>14.067323064527644</v>
      </c>
      <c r="W21" s="6">
        <f t="shared" si="59"/>
        <v>15.789586323137282</v>
      </c>
    </row>
    <row r="22" spans="1:24" x14ac:dyDescent="0.25">
      <c r="A22" s="2" t="s">
        <v>23</v>
      </c>
      <c r="B22" s="6">
        <f>B18/B26</f>
        <v>3.0710501713929577</v>
      </c>
      <c r="C22" s="6">
        <f t="shared" ref="C22:J22" si="60">C18/C26</f>
        <v>-2.5558506483361976</v>
      </c>
      <c r="D22" s="6">
        <f t="shared" si="60"/>
        <v>5.313635645441618</v>
      </c>
      <c r="E22" s="6">
        <f t="shared" si="60"/>
        <v>4.6935622317596568</v>
      </c>
      <c r="F22" s="6">
        <f t="shared" si="60"/>
        <v>5.2952934762856625</v>
      </c>
      <c r="G22" s="6">
        <f t="shared" si="60"/>
        <v>5.5082520630157532</v>
      </c>
      <c r="H22" s="6">
        <f t="shared" si="60"/>
        <v>6.3634600465477114</v>
      </c>
      <c r="I22" s="6">
        <f t="shared" si="60"/>
        <v>8.6426592797783943</v>
      </c>
      <c r="J22" s="6">
        <f t="shared" si="60"/>
        <v>14.097828293078953</v>
      </c>
      <c r="K22" s="6"/>
      <c r="L22" s="6">
        <f>L18/L26</f>
        <v>2.1569046601111586</v>
      </c>
      <c r="M22" s="6">
        <f>M18/M26</f>
        <v>0.39473684210526316</v>
      </c>
      <c r="O22" s="6">
        <f>O18/O26</f>
        <v>2.0118421052631628</v>
      </c>
      <c r="S22" s="6">
        <f t="shared" ref="S22:W22" si="61">S18/S26</f>
        <v>10.066975841242451</v>
      </c>
      <c r="T22" s="6">
        <f t="shared" si="61"/>
        <v>8.5069200035296344</v>
      </c>
      <c r="U22" s="6">
        <f t="shared" si="61"/>
        <v>10.972707647168322</v>
      </c>
      <c r="V22" s="6">
        <f t="shared" si="61"/>
        <v>14.003601368161146</v>
      </c>
      <c r="W22" s="6">
        <f t="shared" si="61"/>
        <v>15.718063175426778</v>
      </c>
    </row>
    <row r="23" spans="1:24" x14ac:dyDescent="0.25">
      <c r="A23" s="2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24" x14ac:dyDescent="0.25">
      <c r="A24" t="s">
        <v>24</v>
      </c>
    </row>
    <row r="25" spans="1:24" x14ac:dyDescent="0.25">
      <c r="A25" t="s">
        <v>22</v>
      </c>
      <c r="B25">
        <v>635.1</v>
      </c>
      <c r="C25">
        <v>634.70000000000005</v>
      </c>
      <c r="D25">
        <v>627.70000000000005</v>
      </c>
      <c r="E25">
        <v>577.6</v>
      </c>
      <c r="F25">
        <v>546.79999999999995</v>
      </c>
      <c r="G25">
        <v>528.6</v>
      </c>
      <c r="H25">
        <v>510.9</v>
      </c>
      <c r="I25">
        <v>500.6</v>
      </c>
      <c r="J25">
        <v>488.1</v>
      </c>
      <c r="L25">
        <v>464</v>
      </c>
      <c r="M25">
        <v>461.5</v>
      </c>
      <c r="O25">
        <f>M25</f>
        <v>461.5</v>
      </c>
      <c r="S25">
        <f>O25*1.1</f>
        <v>507.65000000000003</v>
      </c>
      <c r="T25">
        <f>S25</f>
        <v>507.65000000000003</v>
      </c>
      <c r="U25">
        <f t="shared" ref="U25:W25" si="62">T25</f>
        <v>507.65000000000003</v>
      </c>
      <c r="V25">
        <f t="shared" si="62"/>
        <v>507.65000000000003</v>
      </c>
      <c r="W25">
        <f t="shared" si="62"/>
        <v>507.65000000000003</v>
      </c>
    </row>
    <row r="26" spans="1:24" x14ac:dyDescent="0.25">
      <c r="A26" t="s">
        <v>23</v>
      </c>
      <c r="B26">
        <v>641.79999999999995</v>
      </c>
      <c r="C26">
        <v>640.1</v>
      </c>
      <c r="D26">
        <v>632.9</v>
      </c>
      <c r="E26">
        <v>582.5</v>
      </c>
      <c r="F26">
        <v>550.29999999999995</v>
      </c>
      <c r="G26">
        <v>533.20000000000005</v>
      </c>
      <c r="H26">
        <v>515.6</v>
      </c>
      <c r="I26">
        <v>505.4</v>
      </c>
      <c r="J26">
        <v>492.7</v>
      </c>
      <c r="L26">
        <v>467.8</v>
      </c>
      <c r="M26">
        <v>463.6</v>
      </c>
      <c r="O26">
        <f>M26</f>
        <v>463.6</v>
      </c>
      <c r="S26">
        <f>O26*1.1</f>
        <v>509.96000000000009</v>
      </c>
      <c r="T26">
        <f>S26</f>
        <v>509.96000000000009</v>
      </c>
      <c r="U26">
        <f t="shared" ref="U26:W26" si="63">T26</f>
        <v>509.96000000000009</v>
      </c>
      <c r="V26">
        <f t="shared" si="63"/>
        <v>509.96000000000009</v>
      </c>
      <c r="W26">
        <f t="shared" si="63"/>
        <v>509.96000000000009</v>
      </c>
    </row>
    <row r="29" spans="1:24" x14ac:dyDescent="0.25">
      <c r="A29" t="s">
        <v>32</v>
      </c>
      <c r="B29" s="13"/>
      <c r="C29" s="13">
        <f>C5/B5-1</f>
        <v>1.8785336494619775E-2</v>
      </c>
      <c r="D29" s="13">
        <f t="shared" ref="D29:M29" si="64">D5/C5-1</f>
        <v>1.6070395769643975E-2</v>
      </c>
      <c r="E29" s="13">
        <f t="shared" si="64"/>
        <v>-4.7624856000542115E-2</v>
      </c>
      <c r="F29" s="13">
        <f t="shared" si="64"/>
        <v>3.4765408205376325E-2</v>
      </c>
      <c r="G29" s="13">
        <f t="shared" si="64"/>
        <v>3.6334130978903589E-2</v>
      </c>
      <c r="H29" s="13">
        <f t="shared" si="64"/>
        <v>3.6573066510961372E-2</v>
      </c>
      <c r="I29" s="13">
        <f t="shared" si="64"/>
        <v>0.19778011061040557</v>
      </c>
      <c r="J29" s="13">
        <f t="shared" si="64"/>
        <v>0.13300413633885921</v>
      </c>
      <c r="L29" s="6">
        <v>0</v>
      </c>
      <c r="M29" s="13">
        <f t="shared" ref="L29:M29" si="65">M5/L5-1</f>
        <v>3.4445768772348062E-2</v>
      </c>
      <c r="O29" s="13">
        <f>O5/M5-1</f>
        <v>6.9705035142297644E-2</v>
      </c>
      <c r="S29" s="13"/>
      <c r="T29" s="13">
        <f>T5/S5-1</f>
        <v>3.4871587592028019E-2</v>
      </c>
      <c r="U29" s="13">
        <f t="shared" ref="U29:W29" si="66">U5/T5-1</f>
        <v>3.4872812511475448E-2</v>
      </c>
      <c r="V29" s="13">
        <f t="shared" si="66"/>
        <v>3.4874025895586858E-2</v>
      </c>
      <c r="W29" s="13">
        <f t="shared" si="66"/>
        <v>3.487522785016095E-2</v>
      </c>
    </row>
    <row r="30" spans="1:24" x14ac:dyDescent="0.25">
      <c r="A30" t="s">
        <v>10</v>
      </c>
      <c r="B30" s="13">
        <f>B7/B5</f>
        <v>0.29798397845087615</v>
      </c>
      <c r="C30" s="13">
        <f>C7/C5</f>
        <v>0.29386653446803823</v>
      </c>
      <c r="D30" s="13">
        <f t="shared" ref="D30:J30" si="67">D7/D5</f>
        <v>0.29529037067154573</v>
      </c>
      <c r="E30" s="13">
        <f t="shared" si="67"/>
        <v>0.30063610877887037</v>
      </c>
      <c r="F30" s="13">
        <f t="shared" si="67"/>
        <v>0.29690293478559837</v>
      </c>
      <c r="G30" s="13">
        <f t="shared" si="67"/>
        <v>0.2927039651786188</v>
      </c>
      <c r="H30" s="13">
        <f t="shared" si="67"/>
        <v>0.29762392462105697</v>
      </c>
      <c r="I30" s="13">
        <f t="shared" si="67"/>
        <v>0.29268605508705553</v>
      </c>
      <c r="J30" s="13">
        <f t="shared" si="67"/>
        <v>0.29283524362058394</v>
      </c>
      <c r="L30" s="13">
        <f>L7/L5</f>
        <v>0.26654747715534366</v>
      </c>
      <c r="M30" s="13">
        <f>M7/M5</f>
        <v>0.22640857241617698</v>
      </c>
      <c r="O30" s="13">
        <f>O7/O5</f>
        <v>0.24789071916432309</v>
      </c>
      <c r="S30" s="13">
        <f t="shared" ref="S30:W30" si="68">S7/S5</f>
        <v>0.27240272345565397</v>
      </c>
      <c r="T30" s="13">
        <f t="shared" si="68"/>
        <v>0.26176624275750993</v>
      </c>
      <c r="U30" s="13">
        <f t="shared" si="68"/>
        <v>0.26524229763613277</v>
      </c>
      <c r="V30" s="13">
        <f t="shared" si="68"/>
        <v>0.2687028425707727</v>
      </c>
      <c r="W30" s="13">
        <f t="shared" si="68"/>
        <v>0.2721479344743144</v>
      </c>
    </row>
    <row r="31" spans="1:24" ht="15.75" thickBot="1" x14ac:dyDescent="0.3">
      <c r="B31" s="11"/>
    </row>
    <row r="32" spans="1:24" x14ac:dyDescent="0.25">
      <c r="T32" s="14" t="s">
        <v>33</v>
      </c>
      <c r="U32" s="18"/>
      <c r="V32" s="18"/>
      <c r="W32" s="19">
        <f>W18*(1+0.025)/(0.12-0.025)</f>
        <v>86483.927203833227</v>
      </c>
      <c r="X32" t="str">
        <f ca="1">_xlfn.FORMULATEXT(W32)</f>
        <v>=W18*(1+0.025)/(0.12-0.025)</v>
      </c>
    </row>
    <row r="33" spans="20:24" x14ac:dyDescent="0.25">
      <c r="T33" s="15"/>
      <c r="U33" s="20"/>
      <c r="V33" s="20"/>
      <c r="W33" s="21">
        <f>SUM(W32,S18:W18)</f>
        <v>116708.37317123127</v>
      </c>
      <c r="X33" t="str">
        <f t="shared" ref="X33:X40" ca="1" si="69">_xlfn.FORMULATEXT(W33)</f>
        <v>=SUM(W32,S18:W18)</v>
      </c>
    </row>
    <row r="34" spans="20:24" x14ac:dyDescent="0.25">
      <c r="T34" s="15" t="s">
        <v>34</v>
      </c>
      <c r="U34" s="20"/>
      <c r="V34" s="20"/>
      <c r="W34" s="22">
        <f>NPV(0.12,S18:W18,W33)</f>
        <v>80239.716559371693</v>
      </c>
      <c r="X34" t="str">
        <f t="shared" ca="1" si="69"/>
        <v>=NPV(0.12,S18:W18,W33)</v>
      </c>
    </row>
    <row r="35" spans="20:24" x14ac:dyDescent="0.25">
      <c r="T35" s="16" t="s">
        <v>35</v>
      </c>
      <c r="U35" s="20"/>
      <c r="V35" s="20"/>
      <c r="W35" s="23">
        <f>Main!C6</f>
        <v>16437</v>
      </c>
      <c r="X35" t="str">
        <f t="shared" ca="1" si="69"/>
        <v>=Main!C6</v>
      </c>
    </row>
    <row r="36" spans="20:24" x14ac:dyDescent="0.25">
      <c r="T36" s="16" t="s">
        <v>36</v>
      </c>
      <c r="U36" s="20"/>
      <c r="V36" s="20"/>
      <c r="W36" s="23">
        <f>Main!C7</f>
        <v>15102</v>
      </c>
      <c r="X36" t="str">
        <f t="shared" ca="1" si="69"/>
        <v>=Main!C7</v>
      </c>
    </row>
    <row r="37" spans="20:24" x14ac:dyDescent="0.25">
      <c r="T37" s="16" t="s">
        <v>37</v>
      </c>
      <c r="U37" s="20"/>
      <c r="V37" s="20"/>
      <c r="W37" s="22">
        <f>W34+W35-W36</f>
        <v>81574.716559371693</v>
      </c>
      <c r="X37" t="str">
        <f t="shared" ca="1" si="69"/>
        <v>=W34+W35-W36</v>
      </c>
    </row>
    <row r="38" spans="20:24" x14ac:dyDescent="0.25">
      <c r="T38" s="16" t="s">
        <v>38</v>
      </c>
      <c r="U38" s="20"/>
      <c r="V38" s="20"/>
      <c r="W38" s="23">
        <f>J26</f>
        <v>492.7</v>
      </c>
      <c r="X38" t="str">
        <f t="shared" ca="1" si="69"/>
        <v>=J26</v>
      </c>
    </row>
    <row r="39" spans="20:24" x14ac:dyDescent="0.25">
      <c r="T39" s="16" t="s">
        <v>39</v>
      </c>
      <c r="U39" s="20"/>
      <c r="V39" s="20"/>
      <c r="W39" s="22">
        <f>W37/W38</f>
        <v>165.56670704155002</v>
      </c>
      <c r="X39" t="str">
        <f t="shared" ca="1" si="69"/>
        <v>=W37/W38</v>
      </c>
    </row>
    <row r="40" spans="20:24" ht="15.75" thickBot="1" x14ac:dyDescent="0.3">
      <c r="T40" s="17" t="s">
        <v>40</v>
      </c>
      <c r="U40" s="24"/>
      <c r="V40" s="24"/>
      <c r="W40" s="25">
        <f>W39/Main!C3-1</f>
        <v>-4.3243530531349328E-2</v>
      </c>
      <c r="X40" t="str">
        <f t="shared" ca="1" si="69"/>
        <v>=W39/Main!C3-1</v>
      </c>
    </row>
  </sheetData>
  <hyperlinks>
    <hyperlink ref="A1" location="Main!A1" display="Main" xr:uid="{D12AA1D3-E4E1-411E-B939-DC96EC52D666}"/>
  </hyperlink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B424-0741-4143-93A9-49B12F13F7E3}">
  <sheetPr>
    <tabColor theme="1" tint="4.9989318521683403E-2"/>
  </sheetPr>
  <dimension ref="A1"/>
  <sheetViews>
    <sheetView workbookViewId="0">
      <selection activeCell="G31" sqref="G31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C25D5-6B14-49B2-97A9-A3161F2A9B65}">
  <sheetPr>
    <tabColor theme="7" tint="0.59999389629810485"/>
  </sheetPr>
  <dimension ref="A1"/>
  <sheetViews>
    <sheetView workbookViewId="0">
      <selection activeCell="AE1" sqref="AE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C556-6B71-45EE-AF40-06C00A5A4141}">
  <sheetPr>
    <tabColor theme="7" tint="0.59999389629810485"/>
  </sheetPr>
  <dimension ref="A1"/>
  <sheetViews>
    <sheetView workbookViewId="0">
      <selection activeCell="A6" sqref="A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SUPPORTING DOCS -&gt;</vt:lpstr>
      <vt:lpstr>INCOME_STATEMENT_HISTORICAL</vt:lpstr>
      <vt:lpstr>BALANCE_SHEET_HISTORICAL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Morton</dc:creator>
  <cp:lastModifiedBy>Josh Morton</cp:lastModifiedBy>
  <dcterms:created xsi:type="dcterms:W3CDTF">2022-11-13T17:02:35Z</dcterms:created>
  <dcterms:modified xsi:type="dcterms:W3CDTF">2022-11-13T19:48:29Z</dcterms:modified>
</cp:coreProperties>
</file>