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b76a65d58f2796f/Desktop/Market Research/Models/"/>
    </mc:Choice>
  </mc:AlternateContent>
  <xr:revisionPtr revIDLastSave="0" documentId="8_{494BE581-1FB4-4D61-8D52-1D9591288023}" xr6:coauthVersionLast="47" xr6:coauthVersionMax="47" xr10:uidLastSave="{00000000-0000-0000-0000-000000000000}"/>
  <bookViews>
    <workbookView xWindow="-120" yWindow="-120" windowWidth="29040" windowHeight="15720" activeTab="1" xr2:uid="{AB3C49AB-D501-4FD3-A043-98BB663A0B7E}"/>
  </bookViews>
  <sheets>
    <sheet name="Main" sheetId="1" r:id="rId1"/>
    <sheet name="Model" sheetId="2" r:id="rId2"/>
    <sheet name="Sup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8" i="2" l="1"/>
  <c r="AF8" i="2"/>
  <c r="AE8" i="2"/>
  <c r="AD8" i="2"/>
  <c r="AC8" i="2"/>
  <c r="AB8" i="2"/>
  <c r="AB7" i="2" s="1"/>
  <c r="AA6" i="2"/>
  <c r="AA5" i="2"/>
  <c r="Y15" i="2"/>
  <c r="Y11" i="2"/>
  <c r="Z15" i="2"/>
  <c r="Z11" i="2"/>
  <c r="AA8" i="2" l="1"/>
  <c r="Z16" i="2"/>
  <c r="Z18" i="2" s="1"/>
  <c r="Z20" i="2" s="1"/>
  <c r="Z21" i="2" s="1"/>
  <c r="Y16" i="2"/>
  <c r="Y18" i="2" s="1"/>
  <c r="Y20" i="2" s="1"/>
  <c r="Y21" i="2" s="1"/>
  <c r="AE2" i="2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R9" i="2"/>
  <c r="AC19" i="2"/>
  <c r="R13" i="2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R12" i="2"/>
  <c r="AC12" i="2" s="1"/>
  <c r="R14" i="2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R22" i="2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B22" i="2"/>
  <c r="AB15" i="2"/>
  <c r="AA15" i="2"/>
  <c r="N14" i="2"/>
  <c r="N13" i="2"/>
  <c r="N12" i="2"/>
  <c r="N10" i="2"/>
  <c r="N9" i="2"/>
  <c r="N11" i="2" s="1"/>
  <c r="K15" i="2"/>
  <c r="K11" i="2"/>
  <c r="O11" i="2"/>
  <c r="L15" i="2"/>
  <c r="L11" i="2"/>
  <c r="O15" i="2"/>
  <c r="M15" i="2"/>
  <c r="P15" i="2"/>
  <c r="P11" i="2"/>
  <c r="Q17" i="2"/>
  <c r="M11" i="2"/>
  <c r="Q15" i="2"/>
  <c r="Q11" i="2"/>
  <c r="Q45" i="2"/>
  <c r="Q44" i="2"/>
  <c r="Q43" i="2"/>
  <c r="Q37" i="2"/>
  <c r="Q32" i="2"/>
  <c r="I17" i="1"/>
  <c r="AC2" i="2"/>
  <c r="J4" i="1"/>
  <c r="J7" i="1" s="1"/>
  <c r="AB11" i="2"/>
  <c r="AA11" i="2"/>
  <c r="M16" i="2" l="1"/>
  <c r="M18" i="2" s="1"/>
  <c r="M20" i="2" s="1"/>
  <c r="M21" i="2" s="1"/>
  <c r="P16" i="2"/>
  <c r="P18" i="2" s="1"/>
  <c r="P20" i="2" s="1"/>
  <c r="P21" i="2" s="1"/>
  <c r="AD12" i="2"/>
  <c r="AC15" i="2"/>
  <c r="R15" i="2"/>
  <c r="R17" i="2"/>
  <c r="AC17" i="2" s="1"/>
  <c r="L16" i="2"/>
  <c r="L18" i="2" s="1"/>
  <c r="L20" i="2" s="1"/>
  <c r="L21" i="2" s="1"/>
  <c r="AC9" i="2"/>
  <c r="R10" i="2"/>
  <c r="AC10" i="2" s="1"/>
  <c r="K16" i="2"/>
  <c r="K18" i="2" s="1"/>
  <c r="K20" i="2" s="1"/>
  <c r="K21" i="2" s="1"/>
  <c r="N15" i="2"/>
  <c r="N16" i="2" s="1"/>
  <c r="N18" i="2" s="1"/>
  <c r="N20" i="2" s="1"/>
  <c r="N21" i="2" s="1"/>
  <c r="AA16" i="2"/>
  <c r="AA18" i="2" s="1"/>
  <c r="AA20" i="2" s="1"/>
  <c r="AB16" i="2"/>
  <c r="AB18" i="2" s="1"/>
  <c r="AB20" i="2" s="1"/>
  <c r="AB21" i="2" s="1"/>
  <c r="O16" i="2"/>
  <c r="O18" i="2" s="1"/>
  <c r="O20" i="2" s="1"/>
  <c r="O21" i="2" s="1"/>
  <c r="Q16" i="2"/>
  <c r="Q18" i="2" s="1"/>
  <c r="Q20" i="2" s="1"/>
  <c r="Q21" i="2" s="1"/>
  <c r="Q39" i="2"/>
  <c r="Q49" i="2"/>
  <c r="AD9" i="2" l="1"/>
  <c r="AC7" i="2"/>
  <c r="AE9" i="2"/>
  <c r="AD11" i="2"/>
  <c r="AD10" i="2" s="1"/>
  <c r="AE12" i="2"/>
  <c r="AD15" i="2"/>
  <c r="AD16" i="2" s="1"/>
  <c r="AD18" i="2" s="1"/>
  <c r="AD20" i="2" s="1"/>
  <c r="AC11" i="2"/>
  <c r="AC16" i="2" s="1"/>
  <c r="AC18" i="2" s="1"/>
  <c r="AC20" i="2" s="1"/>
  <c r="AC21" i="2" s="1"/>
  <c r="R11" i="2"/>
  <c r="R16" i="2" s="1"/>
  <c r="R18" i="2" s="1"/>
  <c r="R20" i="2" s="1"/>
  <c r="R21" i="2" s="1"/>
  <c r="AD21" i="2" l="1"/>
  <c r="AF12" i="2"/>
  <c r="AE15" i="2"/>
  <c r="AE11" i="2"/>
  <c r="AE10" i="2" s="1"/>
  <c r="AF9" i="2"/>
  <c r="AG9" i="2" l="1"/>
  <c r="AF11" i="2"/>
  <c r="AF10" i="2" s="1"/>
  <c r="AE16" i="2"/>
  <c r="AE18" i="2" s="1"/>
  <c r="AE20" i="2" s="1"/>
  <c r="AG12" i="2"/>
  <c r="AF15" i="2"/>
  <c r="AF16" i="2" s="1"/>
  <c r="AF18" i="2" s="1"/>
  <c r="AF20" i="2" s="1"/>
  <c r="AF21" i="2" s="1"/>
  <c r="AH12" i="2" l="1"/>
  <c r="AG15" i="2"/>
  <c r="AE21" i="2"/>
  <c r="AH9" i="2"/>
  <c r="AG11" i="2"/>
  <c r="AG10" i="2" s="1"/>
  <c r="AI9" i="2" l="1"/>
  <c r="AH11" i="2"/>
  <c r="AH10" i="2" s="1"/>
  <c r="AG16" i="2"/>
  <c r="AG18" i="2" s="1"/>
  <c r="AI12" i="2"/>
  <c r="AH15" i="2"/>
  <c r="AH16" i="2" s="1"/>
  <c r="AH18" i="2" s="1"/>
  <c r="AJ12" i="2" l="1"/>
  <c r="AI15" i="2"/>
  <c r="AH19" i="2"/>
  <c r="AH20" i="2" s="1"/>
  <c r="AH21" i="2" s="1"/>
  <c r="AG19" i="2"/>
  <c r="AG20" i="2" s="1"/>
  <c r="AJ9" i="2"/>
  <c r="AI11" i="2"/>
  <c r="AI10" i="2" l="1"/>
  <c r="AI16" i="2"/>
  <c r="AI18" i="2" s="1"/>
  <c r="AK9" i="2"/>
  <c r="AJ11" i="2"/>
  <c r="AJ10" i="2"/>
  <c r="AG21" i="2"/>
  <c r="AK12" i="2"/>
  <c r="AJ15" i="2"/>
  <c r="AL12" i="2" l="1"/>
  <c r="AK15" i="2"/>
  <c r="AJ16" i="2"/>
  <c r="AJ18" i="2" s="1"/>
  <c r="AL9" i="2"/>
  <c r="AK11" i="2"/>
  <c r="AK16" i="2" s="1"/>
  <c r="AK18" i="2" s="1"/>
  <c r="AK10" i="2"/>
  <c r="AI19" i="2"/>
  <c r="AI20" i="2" s="1"/>
  <c r="AI21" i="2" l="1"/>
  <c r="AM9" i="2"/>
  <c r="AL11" i="2"/>
  <c r="AL10" i="2"/>
  <c r="AK19" i="2"/>
  <c r="AK20" i="2" s="1"/>
  <c r="AK21" i="2" s="1"/>
  <c r="AJ19" i="2"/>
  <c r="AJ20" i="2" s="1"/>
  <c r="AJ21" i="2" s="1"/>
  <c r="AM12" i="2"/>
  <c r="AL15" i="2"/>
  <c r="AN12" i="2" l="1"/>
  <c r="AN15" i="2" s="1"/>
  <c r="AM15" i="2"/>
  <c r="AL16" i="2"/>
  <c r="AL18" i="2" s="1"/>
  <c r="AN9" i="2"/>
  <c r="AM11" i="2"/>
  <c r="AM16" i="2" s="1"/>
  <c r="AM18" i="2" s="1"/>
  <c r="AM10" i="2"/>
  <c r="AM19" i="2" l="1"/>
  <c r="AM20" i="2" s="1"/>
  <c r="AM21" i="2" s="1"/>
  <c r="AN11" i="2"/>
  <c r="AN16" i="2" s="1"/>
  <c r="AN18" i="2" s="1"/>
  <c r="AL19" i="2"/>
  <c r="AL20" i="2"/>
  <c r="AL21" i="2" s="1"/>
  <c r="AN10" i="2" l="1"/>
  <c r="AN19" i="2"/>
  <c r="AN20" i="2" s="1"/>
  <c r="AN21" i="2" l="1"/>
  <c r="AO20" i="2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AO26" i="2" s="1"/>
  <c r="AO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Morton</author>
  </authors>
  <commentList>
    <comment ref="AC3" authorId="0" shapeId="0" xr:uid="{CFE95B54-98A5-4642-BD25-09E15ED7E463}">
      <text>
        <r>
          <rPr>
            <b/>
            <sz val="9"/>
            <color indexed="81"/>
            <rFont val="Tahoma"/>
            <charset val="1"/>
          </rPr>
          <t>Joshua Morton:</t>
        </r>
        <r>
          <rPr>
            <sz val="9"/>
            <color indexed="81"/>
            <rFont val="Tahoma"/>
            <charset val="1"/>
          </rPr>
          <t xml:space="preserve">
Reiterated on Q3 call</t>
        </r>
      </text>
    </comment>
    <comment ref="R9" authorId="0" shapeId="0" xr:uid="{76DB484F-B583-4DBC-921B-8176F32E45B6}">
      <text>
        <r>
          <rPr>
            <b/>
            <sz val="9"/>
            <color indexed="81"/>
            <rFont val="Tahoma"/>
            <charset val="1"/>
          </rPr>
          <t>Joshua Morton:</t>
        </r>
        <r>
          <rPr>
            <sz val="9"/>
            <color indexed="81"/>
            <rFont val="Tahoma"/>
            <charset val="1"/>
          </rPr>
          <t xml:space="preserve">
7.1-11.1 guidance</t>
        </r>
      </text>
    </comment>
    <comment ref="Z9" authorId="0" shapeId="0" xr:uid="{19483EB6-8F4B-4888-BD1F-59633EFEA75F}">
      <text>
        <r>
          <rPr>
            <b/>
            <sz val="9"/>
            <color indexed="81"/>
            <rFont val="Tahoma"/>
            <charset val="1"/>
          </rPr>
          <t>Joshua Morton:</t>
        </r>
        <r>
          <rPr>
            <sz val="9"/>
            <color indexed="81"/>
            <rFont val="Tahoma"/>
            <charset val="1"/>
          </rPr>
          <t xml:space="preserve">
4 contracts
2 significant customers</t>
        </r>
      </text>
    </comment>
    <comment ref="AA9" authorId="0" shapeId="0" xr:uid="{1A135BB2-4AF7-4ED0-88EA-F73E6AA7B0CB}">
      <text>
        <r>
          <rPr>
            <b/>
            <sz val="9"/>
            <color indexed="81"/>
            <rFont val="Tahoma"/>
            <charset val="1"/>
          </rPr>
          <t>Joshua Morton:</t>
        </r>
        <r>
          <rPr>
            <sz val="9"/>
            <color indexed="81"/>
            <rFont val="Tahoma"/>
            <charset val="1"/>
          </rPr>
          <t xml:space="preserve">
30.5m RPO, 60% in the next 12 months
3 significant customers = 70%</t>
        </r>
      </text>
    </comment>
    <comment ref="AB9" authorId="0" shapeId="0" xr:uid="{C1C1F36E-56E8-405B-ACD7-A125995D1F0E}">
      <text>
        <r>
          <rPr>
            <b/>
            <sz val="9"/>
            <color indexed="81"/>
            <rFont val="Tahoma"/>
            <charset val="1"/>
          </rPr>
          <t>Joshua Morton:</t>
        </r>
        <r>
          <rPr>
            <sz val="9"/>
            <color indexed="81"/>
            <rFont val="Tahoma"/>
            <charset val="1"/>
          </rPr>
          <t xml:space="preserve">
69.1m RPO
2 customers = 58%</t>
        </r>
      </text>
    </comment>
  </commentList>
</comments>
</file>

<file path=xl/sharedStrings.xml><?xml version="1.0" encoding="utf-8"?>
<sst xmlns="http://schemas.openxmlformats.org/spreadsheetml/2006/main" count="101" uniqueCount="95">
  <si>
    <t>Price</t>
  </si>
  <si>
    <t>Shares</t>
  </si>
  <si>
    <t>MC</t>
  </si>
  <si>
    <t>Cash</t>
  </si>
  <si>
    <t>Debt</t>
  </si>
  <si>
    <t>EV</t>
  </si>
  <si>
    <t>Employees</t>
  </si>
  <si>
    <t>Founded</t>
  </si>
  <si>
    <t>Main</t>
  </si>
  <si>
    <t>Revenue</t>
  </si>
  <si>
    <t>COGS</t>
  </si>
  <si>
    <t>Gross Margin</t>
  </si>
  <si>
    <t>R&amp;D</t>
  </si>
  <si>
    <t>S&amp;M</t>
  </si>
  <si>
    <t>G&amp;A</t>
  </si>
  <si>
    <t>Q423</t>
  </si>
  <si>
    <t>AD</t>
  </si>
  <si>
    <t>CFFO</t>
  </si>
  <si>
    <t>CapEx</t>
  </si>
  <si>
    <t>25 qubits</t>
  </si>
  <si>
    <t>36 qubits</t>
  </si>
  <si>
    <t>Q122</t>
  </si>
  <si>
    <t>Q222</t>
  </si>
  <si>
    <t>Q322</t>
  </si>
  <si>
    <t>Q422</t>
  </si>
  <si>
    <t>Q123</t>
  </si>
  <si>
    <t>Q223</t>
  </si>
  <si>
    <t>Q323</t>
  </si>
  <si>
    <t>Q124</t>
  </si>
  <si>
    <t>Q224</t>
  </si>
  <si>
    <t>Q324</t>
  </si>
  <si>
    <t>Q424</t>
  </si>
  <si>
    <t>Tempo</t>
  </si>
  <si>
    <t>YE2025: 100 qubits</t>
  </si>
  <si>
    <t>Aria-1 - AWS - OFFLINE</t>
  </si>
  <si>
    <t>Aria-2 - AWS - OFFLINE</t>
  </si>
  <si>
    <t>AWS - RESERVATION ONLY</t>
  </si>
  <si>
    <t>Aria - produced 2 in 2021</t>
  </si>
  <si>
    <t>Harmony - produced 2 in 2019</t>
  </si>
  <si>
    <t>Forte - produced 1 in 2023</t>
  </si>
  <si>
    <t>Assets</t>
  </si>
  <si>
    <t>AR</t>
  </si>
  <si>
    <t>Prepaids</t>
  </si>
  <si>
    <t>PP&amp;E</t>
  </si>
  <si>
    <t>Leases</t>
  </si>
  <si>
    <t>Goodwill</t>
  </si>
  <si>
    <t>ONCA</t>
  </si>
  <si>
    <t>AP</t>
  </si>
  <si>
    <t>AE</t>
  </si>
  <si>
    <t>Lease</t>
  </si>
  <si>
    <t>DR</t>
  </si>
  <si>
    <t>ESOP</t>
  </si>
  <si>
    <t>L+SE</t>
  </si>
  <si>
    <t>SE</t>
  </si>
  <si>
    <t>ONCL</t>
  </si>
  <si>
    <t>Warrants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</si>
  <si>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</si>
  <si>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</si>
  <si>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</si>
  <si>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</si>
  <si>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</si>
  <si>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</si>
  <si>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</si>
  <si>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Discount</t>
  </si>
  <si>
    <t>Terminal</t>
  </si>
  <si>
    <t>NPV</t>
  </si>
  <si>
    <t>Share</t>
  </si>
  <si>
    <t>11 qubit computer mentioned in S-1</t>
  </si>
  <si>
    <t>CEO: Peter Chapman since 2019</t>
  </si>
  <si>
    <t>Q121</t>
  </si>
  <si>
    <t>Q221</t>
  </si>
  <si>
    <t>Q321</t>
  </si>
  <si>
    <t>Q421</t>
  </si>
  <si>
    <t>20-qubit mentioned in 2021 10-K</t>
  </si>
  <si>
    <t>Net new business</t>
  </si>
  <si>
    <t>Customer 1</t>
  </si>
  <si>
    <t>Customer 2</t>
  </si>
  <si>
    <t>Air Force</t>
  </si>
  <si>
    <t>Customers</t>
  </si>
  <si>
    <t>Airbus</t>
  </si>
  <si>
    <t>General Dynamics</t>
  </si>
  <si>
    <t>Oak Ridge</t>
  </si>
  <si>
    <t>AFRL</t>
  </si>
  <si>
    <t>Lockheed</t>
  </si>
  <si>
    <t>Caterpillar</t>
  </si>
  <si>
    <t>Nvidia</t>
  </si>
  <si>
    <t>Hyundai</t>
  </si>
  <si>
    <t>Q125</t>
  </si>
  <si>
    <t>Q225</t>
  </si>
  <si>
    <t>Q325</t>
  </si>
  <si>
    <t>Q425</t>
  </si>
  <si>
    <t>Bookings</t>
  </si>
  <si>
    <t>75-95</t>
  </si>
  <si>
    <t>Michael Hayduk, Deputy Director of the Air Force Research Laboratory, Information Directorate</t>
  </si>
  <si>
    <t>415m annual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</si>
</sst>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6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0" applyFont="1"/>
    <xf numFmtId="0" fontId="1" fillId="0" borderId="0" xfId="1"/>
    <xf numFmtId="1" fontId="0" fillId="0" borderId="0" xfId="0" applyNumberFormat="1"/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0" fillId="0" borderId="1" xfId="0" applyBorder="1"/>
    <xf numFmtId="9" fontId="0" fillId="0" borderId="2" xfId="0" applyNumberFormat="1" applyBorder="1"/>
    <xf numFmtId="0" fontId="0" fillId="0" borderId="3" xfId="0" applyBorder="1"/>
    <xf numFmtId="9" fontId="0" fillId="0" borderId="4" xfId="0" applyNumberFormat="1" applyBorder="1"/>
    <xf numFmtId="3" fontId="0" fillId="0" borderId="4" xfId="0" applyNumberFormat="1" applyBorder="1"/>
    <xf numFmtId="0" fontId="0" fillId="0" borderId="5" xfId="0" applyBorder="1"/>
    <xf numFmtId="4" fontId="0" fillId="0" borderId="6" xfId="0" applyNumberFormat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42C1F70-08F8-494F-B5C2-A556F3429D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0</xdr:row>
      <xdr:rowOff>54429</xdr:rowOff>
    </xdr:from>
    <xdr:to>
      <xdr:col>17</xdr:col>
      <xdr:colOff>38100</xdr:colOff>
      <xdr:row>45</xdr:row>
      <xdr:rowOff>136071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999861B-7DFA-3122-0B6E-B8BEAAAA8103}"/>
            </a:ext>
          </a:extLst>
        </xdr:cNvPr>
        <xdr:cNvCxnSpPr/>
      </xdr:nvCxnSpPr>
      <xdr:spPr>
        <a:xfrm>
          <a:off x="8284029" y="54429"/>
          <a:ext cx="0" cy="595992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27214</xdr:colOff>
      <xdr:row>0</xdr:row>
      <xdr:rowOff>0</xdr:rowOff>
    </xdr:from>
    <xdr:to>
      <xdr:col>28</xdr:col>
      <xdr:colOff>27214</xdr:colOff>
      <xdr:row>45</xdr:row>
      <xdr:rowOff>81642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9E8BEAA-6B35-453F-9186-E231749DFDAD}"/>
            </a:ext>
          </a:extLst>
        </xdr:cNvPr>
        <xdr:cNvCxnSpPr/>
      </xdr:nvCxnSpPr>
      <xdr:spPr>
        <a:xfrm>
          <a:off x="11321143" y="0"/>
          <a:ext cx="0" cy="677635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325257</xdr:colOff>
      <xdr:row>24</xdr:row>
      <xdr:rowOff>29121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31F580-096B-7288-456E-7CCCE1058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78857" cy="3915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9629-62F1-4661-9953-74545B1C68EA}">
  <dimension ref="B2:K30"/>
  <sheetViews>
    <sheetView zoomScale="115" zoomScaleNormal="115" workbookViewId="0">
      <selection activeCell="C37" sqref="C37"/>
    </sheetView>
  </sheetViews>
  <sheetFormatPr defaultColWidth="8.85546875" defaultRowHeight="12.75" x14ac:dyDescent="0.2"/>
  <cols>
    <col min="9" max="9" width="10.28515625" bestFit="1" customWidth="1"/>
    <col min="11" max="11" width="10.42578125" bestFit="1" customWidth="1"/>
  </cols>
  <sheetData>
    <row r="2" spans="2:11" x14ac:dyDescent="0.2">
      <c r="B2" s="5" t="s">
        <v>37</v>
      </c>
      <c r="I2" t="s">
        <v>0</v>
      </c>
      <c r="J2" s="1">
        <v>38.54</v>
      </c>
    </row>
    <row r="3" spans="2:11" x14ac:dyDescent="0.2">
      <c r="B3" t="s">
        <v>19</v>
      </c>
      <c r="I3" t="s">
        <v>1</v>
      </c>
      <c r="J3" s="4">
        <v>214.30505299999999</v>
      </c>
      <c r="K3" s="3" t="s">
        <v>30</v>
      </c>
    </row>
    <row r="4" spans="2:11" x14ac:dyDescent="0.2">
      <c r="B4" t="s">
        <v>34</v>
      </c>
      <c r="I4" t="s">
        <v>2</v>
      </c>
      <c r="J4" s="4">
        <f>+J2*J3</f>
        <v>8259.3167426199998</v>
      </c>
    </row>
    <row r="5" spans="2:11" x14ac:dyDescent="0.2">
      <c r="B5" t="s">
        <v>35</v>
      </c>
      <c r="I5" t="s">
        <v>3</v>
      </c>
      <c r="J5" s="4">
        <v>383</v>
      </c>
      <c r="K5" s="3" t="s">
        <v>30</v>
      </c>
    </row>
    <row r="6" spans="2:11" x14ac:dyDescent="0.2">
      <c r="I6" t="s">
        <v>4</v>
      </c>
      <c r="J6" s="4">
        <v>0</v>
      </c>
      <c r="K6" s="3" t="s">
        <v>30</v>
      </c>
    </row>
    <row r="7" spans="2:11" x14ac:dyDescent="0.2">
      <c r="B7" s="5" t="s">
        <v>39</v>
      </c>
      <c r="I7" t="s">
        <v>5</v>
      </c>
      <c r="J7" s="4">
        <f>+J4-J5+J6</f>
        <v>7876.3167426199998</v>
      </c>
    </row>
    <row r="8" spans="2:11" x14ac:dyDescent="0.2">
      <c r="B8" t="s">
        <v>20</v>
      </c>
    </row>
    <row r="9" spans="2:11" x14ac:dyDescent="0.2">
      <c r="B9" t="s">
        <v>36</v>
      </c>
      <c r="I9" t="s">
        <v>6</v>
      </c>
      <c r="J9">
        <v>324</v>
      </c>
      <c r="K9" s="2">
        <v>45291</v>
      </c>
    </row>
    <row r="10" spans="2:11" x14ac:dyDescent="0.2">
      <c r="I10" t="s">
        <v>7</v>
      </c>
      <c r="J10">
        <v>2015</v>
      </c>
    </row>
    <row r="11" spans="2:11" x14ac:dyDescent="0.2">
      <c r="B11" s="5" t="s">
        <v>32</v>
      </c>
    </row>
    <row r="12" spans="2:11" x14ac:dyDescent="0.2">
      <c r="B12" t="s">
        <v>33</v>
      </c>
      <c r="I12" t="s">
        <v>16</v>
      </c>
      <c r="J12" s="4">
        <v>352.20729999999998</v>
      </c>
      <c r="K12" s="3" t="s">
        <v>15</v>
      </c>
    </row>
    <row r="14" spans="2:11" x14ac:dyDescent="0.2">
      <c r="B14" t="s">
        <v>67</v>
      </c>
    </row>
    <row r="15" spans="2:11" x14ac:dyDescent="0.2">
      <c r="B15" t="s">
        <v>73</v>
      </c>
    </row>
    <row r="17" spans="2:9" x14ac:dyDescent="0.2">
      <c r="B17" s="5" t="s">
        <v>38</v>
      </c>
      <c r="I17">
        <f>100*2^14</f>
        <v>1638400</v>
      </c>
    </row>
    <row r="19" spans="2:9" x14ac:dyDescent="0.2">
      <c r="B19" t="s">
        <v>93</v>
      </c>
    </row>
    <row r="20" spans="2:9" x14ac:dyDescent="0.2">
      <c r="B20" t="s">
        <v>94</v>
      </c>
      <c r="I20" t="s">
        <v>68</v>
      </c>
    </row>
    <row r="22" spans="2:9" x14ac:dyDescent="0.2">
      <c r="B22" s="5" t="s">
        <v>78</v>
      </c>
    </row>
    <row r="23" spans="2:9" x14ac:dyDescent="0.2">
      <c r="B23" t="s">
        <v>79</v>
      </c>
    </row>
    <row r="24" spans="2:9" x14ac:dyDescent="0.2">
      <c r="B24" t="s">
        <v>80</v>
      </c>
    </row>
    <row r="25" spans="2:9" x14ac:dyDescent="0.2">
      <c r="B25" t="s">
        <v>81</v>
      </c>
    </row>
    <row r="26" spans="2:9" x14ac:dyDescent="0.2">
      <c r="B26" t="s">
        <v>82</v>
      </c>
    </row>
    <row r="27" spans="2:9" x14ac:dyDescent="0.2">
      <c r="B27" t="s">
        <v>83</v>
      </c>
    </row>
    <row r="28" spans="2:9" x14ac:dyDescent="0.2">
      <c r="B28" t="s">
        <v>84</v>
      </c>
    </row>
    <row r="29" spans="2:9" x14ac:dyDescent="0.2">
      <c r="B29" t="s">
        <v>85</v>
      </c>
    </row>
    <row r="30" spans="2:9" x14ac:dyDescent="0.2">
      <c r="B30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3554-7BDA-444D-A237-3389B1272280}">
  <dimension ref="A1:BY49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C3" sqref="AC3"/>
    </sheetView>
  </sheetViews>
  <sheetFormatPr defaultColWidth="8.85546875" defaultRowHeight="12.75" x14ac:dyDescent="0.2"/>
  <cols>
    <col min="1" max="1" width="5" bestFit="1" customWidth="1"/>
    <col min="2" max="2" width="18.140625" bestFit="1" customWidth="1"/>
    <col min="3" max="18" width="9.140625" style="3"/>
    <col min="19" max="19" width="8.85546875" style="3"/>
    <col min="41" max="41" width="10" bestFit="1" customWidth="1"/>
  </cols>
  <sheetData>
    <row r="1" spans="1:48" x14ac:dyDescent="0.2">
      <c r="A1" s="6" t="s">
        <v>8</v>
      </c>
    </row>
    <row r="2" spans="1:48" x14ac:dyDescent="0.2">
      <c r="C2" s="3" t="s">
        <v>69</v>
      </c>
      <c r="D2" s="3" t="s">
        <v>70</v>
      </c>
      <c r="E2" s="3" t="s">
        <v>71</v>
      </c>
      <c r="F2" s="3" t="s">
        <v>72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15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87</v>
      </c>
      <c r="T2" s="3" t="s">
        <v>88</v>
      </c>
      <c r="U2" s="3" t="s">
        <v>89</v>
      </c>
      <c r="V2" s="3" t="s">
        <v>90</v>
      </c>
      <c r="X2">
        <v>2019</v>
      </c>
      <c r="Y2">
        <v>2020</v>
      </c>
      <c r="Z2">
        <v>2021</v>
      </c>
      <c r="AA2">
        <v>2022</v>
      </c>
      <c r="AB2">
        <v>2023</v>
      </c>
      <c r="AC2">
        <f>+AB2+1</f>
        <v>2024</v>
      </c>
      <c r="AD2">
        <v>2025</v>
      </c>
      <c r="AE2">
        <f>+AD2+1</f>
        <v>2026</v>
      </c>
      <c r="AF2">
        <f t="shared" ref="AF2:AV2" si="0">+AE2+1</f>
        <v>2027</v>
      </c>
      <c r="AG2">
        <f t="shared" si="0"/>
        <v>2028</v>
      </c>
      <c r="AH2">
        <f t="shared" si="0"/>
        <v>2029</v>
      </c>
      <c r="AI2">
        <f t="shared" si="0"/>
        <v>2030</v>
      </c>
      <c r="AJ2">
        <f t="shared" si="0"/>
        <v>2031</v>
      </c>
      <c r="AK2">
        <f t="shared" si="0"/>
        <v>2032</v>
      </c>
      <c r="AL2">
        <f t="shared" si="0"/>
        <v>2033</v>
      </c>
      <c r="AM2">
        <f t="shared" si="0"/>
        <v>2034</v>
      </c>
      <c r="AN2">
        <f t="shared" si="0"/>
        <v>2035</v>
      </c>
      <c r="AO2">
        <f t="shared" si="0"/>
        <v>2036</v>
      </c>
      <c r="AP2">
        <f t="shared" si="0"/>
        <v>2037</v>
      </c>
      <c r="AQ2">
        <f t="shared" si="0"/>
        <v>2038</v>
      </c>
      <c r="AR2">
        <f t="shared" si="0"/>
        <v>2039</v>
      </c>
      <c r="AS2">
        <f t="shared" si="0"/>
        <v>2040</v>
      </c>
      <c r="AT2">
        <f t="shared" si="0"/>
        <v>2041</v>
      </c>
      <c r="AU2">
        <f t="shared" si="0"/>
        <v>2042</v>
      </c>
      <c r="AV2">
        <f t="shared" si="0"/>
        <v>2043</v>
      </c>
    </row>
    <row r="3" spans="1:48" x14ac:dyDescent="0.2">
      <c r="B3" t="s">
        <v>91</v>
      </c>
      <c r="T3" s="3"/>
      <c r="U3" s="3"/>
      <c r="V3" s="3"/>
      <c r="AC3" s="3" t="s">
        <v>92</v>
      </c>
    </row>
    <row r="4" spans="1:48" x14ac:dyDescent="0.2">
      <c r="T4" s="3"/>
      <c r="U4" s="3"/>
      <c r="V4" s="3"/>
    </row>
    <row r="5" spans="1:48" x14ac:dyDescent="0.2">
      <c r="B5" t="s">
        <v>75</v>
      </c>
      <c r="AA5" s="10">
        <f>+AA9*0.1</f>
        <v>1.1131</v>
      </c>
    </row>
    <row r="6" spans="1:48" x14ac:dyDescent="0.2">
      <c r="B6" t="s">
        <v>76</v>
      </c>
      <c r="AA6" s="10">
        <f>+AA9*0.1</f>
        <v>1.1131</v>
      </c>
    </row>
    <row r="7" spans="1:48" x14ac:dyDescent="0.2">
      <c r="B7" t="s">
        <v>74</v>
      </c>
      <c r="AB7" s="10">
        <f>+AB9-AB8</f>
        <v>3.7420000000000009</v>
      </c>
      <c r="AC7" s="10">
        <f>+AC9-AC8</f>
        <v>16.122999999999998</v>
      </c>
    </row>
    <row r="8" spans="1:48" x14ac:dyDescent="0.2">
      <c r="B8" t="s">
        <v>77</v>
      </c>
      <c r="AA8" s="10">
        <f>+AA9-AA6-AA5-3.3</f>
        <v>5.6048000000000018</v>
      </c>
      <c r="AB8">
        <f>30.5*0.6</f>
        <v>18.3</v>
      </c>
      <c r="AC8" s="10">
        <f>69.1*0.4</f>
        <v>27.64</v>
      </c>
      <c r="AD8" s="10">
        <f>54.5/4</f>
        <v>13.625</v>
      </c>
      <c r="AE8" s="10">
        <f>54.5/4</f>
        <v>13.625</v>
      </c>
      <c r="AF8" s="10">
        <f>54.5/4</f>
        <v>13.625</v>
      </c>
      <c r="AG8" s="10">
        <f>54.5/4</f>
        <v>13.625</v>
      </c>
    </row>
    <row r="9" spans="1:48" s="13" customFormat="1" x14ac:dyDescent="0.2">
      <c r="B9" s="13" t="s">
        <v>9</v>
      </c>
      <c r="C9" s="14"/>
      <c r="D9" s="14"/>
      <c r="E9" s="14">
        <v>0.23300000000000001</v>
      </c>
      <c r="F9" s="14"/>
      <c r="G9" s="14"/>
      <c r="H9" s="14"/>
      <c r="I9" s="14"/>
      <c r="J9" s="14">
        <v>3.8</v>
      </c>
      <c r="K9" s="14">
        <v>4.3</v>
      </c>
      <c r="L9" s="14">
        <v>5.5</v>
      </c>
      <c r="M9" s="14">
        <v>6.1360000000000001</v>
      </c>
      <c r="N9" s="14">
        <f>+AB9-M9-L9-K9</f>
        <v>6.1060000000000025</v>
      </c>
      <c r="O9" s="14">
        <v>7.5819999999999999</v>
      </c>
      <c r="P9" s="14">
        <v>11.381</v>
      </c>
      <c r="Q9" s="14">
        <v>12.4</v>
      </c>
      <c r="R9" s="14">
        <f>+Q9</f>
        <v>12.4</v>
      </c>
      <c r="S9" s="14"/>
      <c r="X9" s="13">
        <v>0.2</v>
      </c>
      <c r="Y9" s="13">
        <v>0</v>
      </c>
      <c r="Z9" s="13">
        <v>2.0990000000000002</v>
      </c>
      <c r="AA9" s="13">
        <v>11.131</v>
      </c>
      <c r="AB9" s="13">
        <v>22.042000000000002</v>
      </c>
      <c r="AC9" s="13">
        <f>SUM(O9:R9)</f>
        <v>43.762999999999998</v>
      </c>
      <c r="AD9" s="13">
        <f>+AC9*1.9</f>
        <v>83.149699999999996</v>
      </c>
      <c r="AE9" s="13">
        <f>+AD9*1.9</f>
        <v>157.98442999999997</v>
      </c>
      <c r="AF9" s="13">
        <f>+AE9*1.9</f>
        <v>300.17041699999993</v>
      </c>
      <c r="AG9" s="13">
        <f>+AF9*1.9</f>
        <v>570.32379229999981</v>
      </c>
      <c r="AH9" s="13">
        <f>+AG9*1.9</f>
        <v>1083.6152053699996</v>
      </c>
      <c r="AI9" s="13">
        <f>+AH9*1.1</f>
        <v>1191.9767259069997</v>
      </c>
      <c r="AJ9" s="13">
        <f t="shared" ref="AJ9:AN9" si="1">+AI9*1.1</f>
        <v>1311.1743984976997</v>
      </c>
      <c r="AK9" s="13">
        <f t="shared" si="1"/>
        <v>1442.2918383474698</v>
      </c>
      <c r="AL9" s="13">
        <f t="shared" si="1"/>
        <v>1586.5210221822169</v>
      </c>
      <c r="AM9" s="13">
        <f t="shared" si="1"/>
        <v>1745.1731244004388</v>
      </c>
      <c r="AN9" s="13">
        <f t="shared" si="1"/>
        <v>1919.6904368404828</v>
      </c>
    </row>
    <row r="10" spans="1:48" s="10" customFormat="1" x14ac:dyDescent="0.2">
      <c r="B10" s="10" t="s">
        <v>10</v>
      </c>
      <c r="C10" s="11"/>
      <c r="D10" s="11"/>
      <c r="E10" s="11"/>
      <c r="F10" s="11"/>
      <c r="G10" s="11"/>
      <c r="H10" s="11"/>
      <c r="I10" s="11"/>
      <c r="J10" s="11"/>
      <c r="K10" s="11">
        <v>1.036</v>
      </c>
      <c r="L10" s="11">
        <v>1.901</v>
      </c>
      <c r="M10" s="11">
        <v>2.008</v>
      </c>
      <c r="N10" s="11">
        <f>+AB10-M10-L10-K10</f>
        <v>3.1630000000000007</v>
      </c>
      <c r="O10" s="11">
        <v>3.4140000000000001</v>
      </c>
      <c r="P10" s="11">
        <v>5.6230000000000002</v>
      </c>
      <c r="Q10" s="11">
        <v>6.5149999999999997</v>
      </c>
      <c r="R10" s="11">
        <f>+R9*0.5</f>
        <v>6.2</v>
      </c>
      <c r="S10" s="11"/>
      <c r="Y10" s="10">
        <v>0.14299999999999999</v>
      </c>
      <c r="Z10" s="10">
        <v>1.04</v>
      </c>
      <c r="AA10" s="10">
        <v>2.944</v>
      </c>
      <c r="AB10" s="10">
        <v>8.1080000000000005</v>
      </c>
      <c r="AC10" s="10">
        <f>SUM(O10:R10)</f>
        <v>21.751999999999999</v>
      </c>
      <c r="AD10" s="10">
        <f>+AD9-AD11</f>
        <v>24.94491</v>
      </c>
      <c r="AE10" s="10">
        <f t="shared" ref="AE10:AN10" si="2">+AE9-AE11</f>
        <v>47.395329000000004</v>
      </c>
      <c r="AF10" s="10">
        <f t="shared" si="2"/>
        <v>90.051125099999979</v>
      </c>
      <c r="AG10" s="10">
        <f t="shared" si="2"/>
        <v>171.09713768999995</v>
      </c>
      <c r="AH10" s="10">
        <f t="shared" si="2"/>
        <v>325.08456161099991</v>
      </c>
      <c r="AI10" s="10">
        <f t="shared" si="2"/>
        <v>357.59301777209998</v>
      </c>
      <c r="AJ10" s="10">
        <f t="shared" si="2"/>
        <v>393.35231954930998</v>
      </c>
      <c r="AK10" s="10">
        <f t="shared" si="2"/>
        <v>432.68755150424101</v>
      </c>
      <c r="AL10" s="10">
        <f t="shared" si="2"/>
        <v>475.95630665466524</v>
      </c>
      <c r="AM10" s="10">
        <f t="shared" si="2"/>
        <v>523.55193732013163</v>
      </c>
      <c r="AN10" s="10">
        <f t="shared" si="2"/>
        <v>575.9071310521449</v>
      </c>
    </row>
    <row r="11" spans="1:48" s="10" customFormat="1" x14ac:dyDescent="0.2">
      <c r="B11" s="10" t="s">
        <v>11</v>
      </c>
      <c r="C11" s="11"/>
      <c r="D11" s="11"/>
      <c r="E11" s="11"/>
      <c r="F11" s="11"/>
      <c r="G11" s="11"/>
      <c r="H11" s="11"/>
      <c r="I11" s="11"/>
      <c r="J11" s="11"/>
      <c r="K11" s="11">
        <f t="shared" ref="K11:R11" si="3">+K9-K10</f>
        <v>3.2639999999999998</v>
      </c>
      <c r="L11" s="11">
        <f t="shared" si="3"/>
        <v>3.5990000000000002</v>
      </c>
      <c r="M11" s="11">
        <f t="shared" si="3"/>
        <v>4.1280000000000001</v>
      </c>
      <c r="N11" s="11">
        <f t="shared" si="3"/>
        <v>2.9430000000000018</v>
      </c>
      <c r="O11" s="11">
        <f t="shared" si="3"/>
        <v>4.1679999999999993</v>
      </c>
      <c r="P11" s="11">
        <f t="shared" si="3"/>
        <v>5.758</v>
      </c>
      <c r="Q11" s="11">
        <f t="shared" si="3"/>
        <v>5.8850000000000007</v>
      </c>
      <c r="R11" s="11">
        <f t="shared" si="3"/>
        <v>6.2</v>
      </c>
      <c r="S11" s="11"/>
      <c r="Y11" s="10">
        <f>+Y9-Y10</f>
        <v>-0.14299999999999999</v>
      </c>
      <c r="Z11" s="10">
        <f>+Z9-Z10</f>
        <v>1.0590000000000002</v>
      </c>
      <c r="AA11" s="10">
        <f>+AA9-AA10</f>
        <v>8.1870000000000012</v>
      </c>
      <c r="AB11" s="10">
        <f>+AB9-AB10</f>
        <v>13.934000000000001</v>
      </c>
      <c r="AC11" s="10">
        <f>+AC9-AC10</f>
        <v>22.010999999999999</v>
      </c>
      <c r="AD11" s="10">
        <f>+AD9*0.7</f>
        <v>58.204789999999996</v>
      </c>
      <c r="AE11" s="10">
        <f t="shared" ref="AE11:AN11" si="4">+AE9*0.7</f>
        <v>110.58910099999997</v>
      </c>
      <c r="AF11" s="10">
        <f t="shared" si="4"/>
        <v>210.11929189999995</v>
      </c>
      <c r="AG11" s="10">
        <f t="shared" si="4"/>
        <v>399.22665460999985</v>
      </c>
      <c r="AH11" s="10">
        <f t="shared" si="4"/>
        <v>758.53064375899964</v>
      </c>
      <c r="AI11" s="10">
        <f t="shared" si="4"/>
        <v>834.38370813489973</v>
      </c>
      <c r="AJ11" s="10">
        <f t="shared" si="4"/>
        <v>917.82207894838973</v>
      </c>
      <c r="AK11" s="10">
        <f t="shared" si="4"/>
        <v>1009.6042868432288</v>
      </c>
      <c r="AL11" s="10">
        <f t="shared" si="4"/>
        <v>1110.5647155275517</v>
      </c>
      <c r="AM11" s="10">
        <f t="shared" si="4"/>
        <v>1221.6211870803072</v>
      </c>
      <c r="AN11" s="10">
        <f t="shared" si="4"/>
        <v>1343.7833057883379</v>
      </c>
    </row>
    <row r="12" spans="1:48" s="10" customFormat="1" x14ac:dyDescent="0.2">
      <c r="B12" s="10" t="s">
        <v>12</v>
      </c>
      <c r="C12" s="11"/>
      <c r="D12" s="11"/>
      <c r="E12" s="11"/>
      <c r="F12" s="11"/>
      <c r="G12" s="11"/>
      <c r="H12" s="11"/>
      <c r="I12" s="11"/>
      <c r="J12" s="11"/>
      <c r="K12" s="11">
        <v>16.233000000000001</v>
      </c>
      <c r="L12" s="11">
        <v>19.869</v>
      </c>
      <c r="M12" s="11">
        <v>24.599</v>
      </c>
      <c r="N12" s="11">
        <f>+AB12-M12-L12-K12</f>
        <v>31.619999999999994</v>
      </c>
      <c r="O12" s="11">
        <v>32.368000000000002</v>
      </c>
      <c r="P12" s="11">
        <v>31.204000000000001</v>
      </c>
      <c r="Q12" s="11">
        <v>33.177999999999997</v>
      </c>
      <c r="R12" s="11">
        <f t="shared" ref="R12:R13" si="5">+Q12</f>
        <v>33.177999999999997</v>
      </c>
      <c r="S12" s="11"/>
      <c r="Y12" s="10">
        <v>10.157</v>
      </c>
      <c r="Z12" s="10">
        <v>20.228000000000002</v>
      </c>
      <c r="AA12" s="10">
        <v>43.978000000000002</v>
      </c>
      <c r="AB12" s="10">
        <v>92.320999999999998</v>
      </c>
      <c r="AC12" s="10">
        <f t="shared" ref="AC12:AC14" si="6">SUM(O12:R12)</f>
        <v>129.928</v>
      </c>
      <c r="AD12" s="10">
        <f>+AC12*1.05</f>
        <v>136.42439999999999</v>
      </c>
      <c r="AE12" s="10">
        <f t="shared" ref="AE12:AN12" si="7">+AD12*1.05</f>
        <v>143.24562</v>
      </c>
      <c r="AF12" s="10">
        <f t="shared" si="7"/>
        <v>150.40790100000001</v>
      </c>
      <c r="AG12" s="10">
        <f t="shared" si="7"/>
        <v>157.92829605000003</v>
      </c>
      <c r="AH12" s="10">
        <f t="shared" si="7"/>
        <v>165.82471085250003</v>
      </c>
      <c r="AI12" s="10">
        <f t="shared" si="7"/>
        <v>174.11594639512504</v>
      </c>
      <c r="AJ12" s="10">
        <f t="shared" si="7"/>
        <v>182.82174371488131</v>
      </c>
      <c r="AK12" s="10">
        <f t="shared" si="7"/>
        <v>191.96283090062539</v>
      </c>
      <c r="AL12" s="10">
        <f t="shared" si="7"/>
        <v>201.56097244565666</v>
      </c>
      <c r="AM12" s="10">
        <f t="shared" si="7"/>
        <v>211.6390210679395</v>
      </c>
      <c r="AN12" s="10">
        <f t="shared" si="7"/>
        <v>222.22097212133647</v>
      </c>
    </row>
    <row r="13" spans="1:48" s="10" customFormat="1" x14ac:dyDescent="0.2">
      <c r="B13" s="10" t="s">
        <v>13</v>
      </c>
      <c r="C13" s="11"/>
      <c r="D13" s="11"/>
      <c r="E13" s="11"/>
      <c r="F13" s="11"/>
      <c r="G13" s="11"/>
      <c r="H13" s="11"/>
      <c r="I13" s="11"/>
      <c r="J13" s="11"/>
      <c r="K13" s="11">
        <v>2.6669999999999998</v>
      </c>
      <c r="L13" s="11">
        <v>3.5750000000000002</v>
      </c>
      <c r="M13" s="11">
        <v>5.0469999999999997</v>
      </c>
      <c r="N13" s="11">
        <f>+AB13-M13-L13-K13</f>
        <v>6.9809999999999999</v>
      </c>
      <c r="O13" s="11">
        <v>6.7009999999999996</v>
      </c>
      <c r="P13" s="11">
        <v>6.1369999999999996</v>
      </c>
      <c r="Q13" s="11">
        <v>6.63</v>
      </c>
      <c r="R13" s="11">
        <f t="shared" si="5"/>
        <v>6.63</v>
      </c>
      <c r="S13" s="11"/>
      <c r="Y13" s="10">
        <v>0.48599999999999999</v>
      </c>
      <c r="Z13" s="10">
        <v>3.2330000000000001</v>
      </c>
      <c r="AA13" s="10">
        <v>8.3849999999999998</v>
      </c>
      <c r="AB13" s="10">
        <v>18.27</v>
      </c>
      <c r="AC13" s="10">
        <f t="shared" si="6"/>
        <v>26.097999999999999</v>
      </c>
      <c r="AD13" s="10">
        <f t="shared" ref="AD13:AN13" si="8">+AC13*1.05</f>
        <v>27.402899999999999</v>
      </c>
      <c r="AE13" s="10">
        <f t="shared" si="8"/>
        <v>28.773045</v>
      </c>
      <c r="AF13" s="10">
        <f t="shared" si="8"/>
        <v>30.21169725</v>
      </c>
      <c r="AG13" s="10">
        <f t="shared" si="8"/>
        <v>31.7222821125</v>
      </c>
      <c r="AH13" s="10">
        <f t="shared" si="8"/>
        <v>33.308396218125004</v>
      </c>
      <c r="AI13" s="10">
        <f t="shared" si="8"/>
        <v>34.973816029031255</v>
      </c>
      <c r="AJ13" s="10">
        <f t="shared" si="8"/>
        <v>36.722506830482821</v>
      </c>
      <c r="AK13" s="10">
        <f t="shared" si="8"/>
        <v>38.558632172006966</v>
      </c>
      <c r="AL13" s="10">
        <f t="shared" si="8"/>
        <v>40.48656378060732</v>
      </c>
      <c r="AM13" s="10">
        <f t="shared" si="8"/>
        <v>42.51089196963769</v>
      </c>
      <c r="AN13" s="10">
        <f t="shared" si="8"/>
        <v>44.636436568119578</v>
      </c>
    </row>
    <row r="14" spans="1:48" s="10" customFormat="1" x14ac:dyDescent="0.2">
      <c r="B14" s="10" t="s">
        <v>14</v>
      </c>
      <c r="C14" s="11"/>
      <c r="D14" s="11"/>
      <c r="E14" s="11"/>
      <c r="F14" s="11"/>
      <c r="G14" s="11"/>
      <c r="H14" s="11"/>
      <c r="I14" s="11"/>
      <c r="J14" s="11"/>
      <c r="K14" s="11">
        <v>10.581</v>
      </c>
      <c r="L14" s="11">
        <v>10.93</v>
      </c>
      <c r="M14" s="11">
        <v>13.927</v>
      </c>
      <c r="N14" s="11">
        <f>+AB14-M14-L14-K14</f>
        <v>15.284000000000002</v>
      </c>
      <c r="O14" s="11">
        <v>14.02</v>
      </c>
      <c r="P14" s="11">
        <v>14.321999999999999</v>
      </c>
      <c r="Q14" s="11">
        <v>14.321999999999999</v>
      </c>
      <c r="R14" s="11">
        <f>+Q14</f>
        <v>14.321999999999999</v>
      </c>
      <c r="S14" s="11"/>
      <c r="Y14" s="10">
        <v>3.5470000000000002</v>
      </c>
      <c r="Z14" s="10">
        <v>13.737</v>
      </c>
      <c r="AA14" s="10">
        <v>35.966000000000001</v>
      </c>
      <c r="AB14" s="10">
        <v>50.722000000000001</v>
      </c>
      <c r="AC14" s="10">
        <f t="shared" si="6"/>
        <v>56.986000000000004</v>
      </c>
      <c r="AD14" s="10">
        <f t="shared" ref="AD14:AN14" si="9">+AC14*1.05</f>
        <v>59.835300000000004</v>
      </c>
      <c r="AE14" s="10">
        <f t="shared" si="9"/>
        <v>62.827065000000005</v>
      </c>
      <c r="AF14" s="10">
        <f t="shared" si="9"/>
        <v>65.968418250000013</v>
      </c>
      <c r="AG14" s="10">
        <f t="shared" si="9"/>
        <v>69.26683916250002</v>
      </c>
      <c r="AH14" s="10">
        <f t="shared" si="9"/>
        <v>72.730181120625019</v>
      </c>
      <c r="AI14" s="10">
        <f t="shared" si="9"/>
        <v>76.366690176656277</v>
      </c>
      <c r="AJ14" s="10">
        <f t="shared" si="9"/>
        <v>80.185024685489097</v>
      </c>
      <c r="AK14" s="10">
        <f t="shared" si="9"/>
        <v>84.194275919763555</v>
      </c>
      <c r="AL14" s="10">
        <f t="shared" si="9"/>
        <v>88.403989715751734</v>
      </c>
      <c r="AM14" s="10">
        <f t="shared" si="9"/>
        <v>92.824189201539326</v>
      </c>
      <c r="AN14" s="10">
        <f t="shared" si="9"/>
        <v>97.465398661616291</v>
      </c>
    </row>
    <row r="15" spans="1:48" s="10" customFormat="1" x14ac:dyDescent="0.2">
      <c r="B15" s="10" t="s">
        <v>56</v>
      </c>
      <c r="C15" s="11"/>
      <c r="D15" s="11"/>
      <c r="E15" s="11"/>
      <c r="F15" s="11"/>
      <c r="G15" s="11"/>
      <c r="H15" s="11"/>
      <c r="I15" s="11"/>
      <c r="J15" s="11"/>
      <c r="K15" s="11">
        <f t="shared" ref="K15" si="10">SUM(K12:K14)</f>
        <v>29.480999999999998</v>
      </c>
      <c r="L15" s="11">
        <f t="shared" ref="L15" si="11">SUM(L12:L14)</f>
        <v>34.373999999999995</v>
      </c>
      <c r="M15" s="11">
        <f t="shared" ref="M15:O15" si="12">SUM(M12:M14)</f>
        <v>43.573</v>
      </c>
      <c r="N15" s="11">
        <f t="shared" si="12"/>
        <v>53.884999999999991</v>
      </c>
      <c r="O15" s="11">
        <f t="shared" si="12"/>
        <v>53.088999999999999</v>
      </c>
      <c r="P15" s="11">
        <f>SUM(P12:P14)</f>
        <v>51.662999999999997</v>
      </c>
      <c r="Q15" s="11">
        <f>SUM(Q12:Q14)</f>
        <v>54.129999999999995</v>
      </c>
      <c r="R15" s="11">
        <f>SUM(R12:R14)</f>
        <v>54.129999999999995</v>
      </c>
      <c r="S15" s="11"/>
      <c r="T15" s="11"/>
      <c r="U15" s="11"/>
      <c r="V15" s="11"/>
      <c r="W15" s="11"/>
      <c r="X15" s="11"/>
      <c r="Y15" s="11">
        <f t="shared" ref="Y15:Z15" si="13">SUM(Y12:Y14)</f>
        <v>14.190000000000001</v>
      </c>
      <c r="Z15" s="11">
        <f t="shared" si="13"/>
        <v>37.198</v>
      </c>
      <c r="AA15" s="11">
        <f t="shared" ref="AA15:AC15" si="14">SUM(AA12:AA14)</f>
        <v>88.329000000000008</v>
      </c>
      <c r="AB15" s="11">
        <f t="shared" si="14"/>
        <v>161.31299999999999</v>
      </c>
      <c r="AC15" s="11">
        <f t="shared" si="14"/>
        <v>213.012</v>
      </c>
      <c r="AD15" s="11">
        <f t="shared" ref="AD15" si="15">SUM(AD12:AD14)</f>
        <v>223.6626</v>
      </c>
      <c r="AE15" s="11">
        <f t="shared" ref="AE15" si="16">SUM(AE12:AE14)</f>
        <v>234.84573</v>
      </c>
      <c r="AF15" s="11">
        <f t="shared" ref="AF15" si="17">SUM(AF12:AF14)</f>
        <v>246.58801650000004</v>
      </c>
      <c r="AG15" s="11">
        <f t="shared" ref="AG15" si="18">SUM(AG12:AG14)</f>
        <v>258.91741732500009</v>
      </c>
      <c r="AH15" s="11">
        <f t="shared" ref="AH15" si="19">SUM(AH12:AH14)</f>
        <v>271.86328819125004</v>
      </c>
      <c r="AI15" s="11">
        <f t="shared" ref="AI15" si="20">SUM(AI12:AI14)</f>
        <v>285.45645260081255</v>
      </c>
      <c r="AJ15" s="11">
        <f t="shared" ref="AJ15" si="21">SUM(AJ12:AJ14)</f>
        <v>299.7292752308532</v>
      </c>
      <c r="AK15" s="11">
        <f t="shared" ref="AK15" si="22">SUM(AK12:AK14)</f>
        <v>314.71573899239593</v>
      </c>
      <c r="AL15" s="11">
        <f t="shared" ref="AL15" si="23">SUM(AL12:AL14)</f>
        <v>330.45152594201573</v>
      </c>
      <c r="AM15" s="11">
        <f t="shared" ref="AM15" si="24">SUM(AM12:AM14)</f>
        <v>346.97410223911652</v>
      </c>
      <c r="AN15" s="11">
        <f t="shared" ref="AN15" si="25">SUM(AN12:AN14)</f>
        <v>364.32280735107236</v>
      </c>
    </row>
    <row r="16" spans="1:48" s="10" customFormat="1" x14ac:dyDescent="0.2">
      <c r="B16" s="10" t="s">
        <v>57</v>
      </c>
      <c r="C16" s="11"/>
      <c r="D16" s="11"/>
      <c r="E16" s="11"/>
      <c r="F16" s="11"/>
      <c r="G16" s="11"/>
      <c r="H16" s="11"/>
      <c r="I16" s="11"/>
      <c r="J16" s="11"/>
      <c r="K16" s="11">
        <f t="shared" ref="K16" si="26">+K11-K15</f>
        <v>-26.216999999999999</v>
      </c>
      <c r="L16" s="11">
        <f t="shared" ref="L16" si="27">+L11-L15</f>
        <v>-30.774999999999995</v>
      </c>
      <c r="M16" s="11">
        <f t="shared" ref="M16:P16" si="28">+M11-M15</f>
        <v>-39.445</v>
      </c>
      <c r="N16" s="11">
        <f t="shared" si="28"/>
        <v>-50.941999999999986</v>
      </c>
      <c r="O16" s="11">
        <f t="shared" si="28"/>
        <v>-48.920999999999999</v>
      </c>
      <c r="P16" s="11">
        <f t="shared" si="28"/>
        <v>-45.904999999999994</v>
      </c>
      <c r="Q16" s="11">
        <f>+Q11-Q15</f>
        <v>-48.244999999999997</v>
      </c>
      <c r="R16" s="11">
        <f>+R11-R15</f>
        <v>-47.929999999999993</v>
      </c>
      <c r="S16" s="11"/>
      <c r="T16" s="11"/>
      <c r="U16" s="11"/>
      <c r="V16" s="11"/>
      <c r="W16" s="11"/>
      <c r="X16" s="11"/>
      <c r="Y16" s="11">
        <f t="shared" ref="Y16:Z16" si="29">+Y11-Y15</f>
        <v>-14.333000000000002</v>
      </c>
      <c r="Z16" s="11">
        <f t="shared" si="29"/>
        <v>-36.139000000000003</v>
      </c>
      <c r="AA16" s="11">
        <f t="shared" ref="AA16:AC16" si="30">+AA11-AA15</f>
        <v>-80.14200000000001</v>
      </c>
      <c r="AB16" s="11">
        <f t="shared" si="30"/>
        <v>-147.37899999999999</v>
      </c>
      <c r="AC16" s="11">
        <f t="shared" si="30"/>
        <v>-191.001</v>
      </c>
      <c r="AD16" s="11">
        <f t="shared" ref="AD16" si="31">+AD11-AD15</f>
        <v>-165.45780999999999</v>
      </c>
      <c r="AE16" s="11">
        <f t="shared" ref="AE16" si="32">+AE11-AE15</f>
        <v>-124.25662900000003</v>
      </c>
      <c r="AF16" s="11">
        <f t="shared" ref="AF16" si="33">+AF11-AF15</f>
        <v>-36.468724600000087</v>
      </c>
      <c r="AG16" s="11">
        <f t="shared" ref="AG16" si="34">+AG11-AG15</f>
        <v>140.30923728499977</v>
      </c>
      <c r="AH16" s="11">
        <f t="shared" ref="AH16" si="35">+AH11-AH15</f>
        <v>486.66735556774961</v>
      </c>
      <c r="AI16" s="11">
        <f t="shared" ref="AI16" si="36">+AI11-AI15</f>
        <v>548.92725553408718</v>
      </c>
      <c r="AJ16" s="11">
        <f t="shared" ref="AJ16" si="37">+AJ11-AJ15</f>
        <v>618.09280371753653</v>
      </c>
      <c r="AK16" s="11">
        <f t="shared" ref="AK16" si="38">+AK11-AK15</f>
        <v>694.88854785083288</v>
      </c>
      <c r="AL16" s="11">
        <f t="shared" ref="AL16" si="39">+AL11-AL15</f>
        <v>780.11318958553602</v>
      </c>
      <c r="AM16" s="11">
        <f t="shared" ref="AM16" si="40">+AM11-AM15</f>
        <v>874.64708484119069</v>
      </c>
      <c r="AN16" s="11">
        <f t="shared" ref="AN16" si="41">+AN11-AN15</f>
        <v>979.46049843726553</v>
      </c>
    </row>
    <row r="17" spans="2:77" s="10" customFormat="1" x14ac:dyDescent="0.2">
      <c r="B17" s="10" t="s">
        <v>58</v>
      </c>
      <c r="C17" s="11"/>
      <c r="D17" s="11"/>
      <c r="E17" s="11"/>
      <c r="F17" s="11"/>
      <c r="G17" s="11"/>
      <c r="H17" s="11"/>
      <c r="I17" s="11"/>
      <c r="J17" s="11"/>
      <c r="K17" s="11">
        <v>4.2309999999999999</v>
      </c>
      <c r="L17" s="11">
        <v>4.8769999999999998</v>
      </c>
      <c r="M17" s="11">
        <v>5.0069999999999997</v>
      </c>
      <c r="N17" s="11"/>
      <c r="O17" s="11">
        <v>4.7990000000000004</v>
      </c>
      <c r="P17" s="11">
        <v>4.8010000000000002</v>
      </c>
      <c r="Q17" s="11">
        <f>4.508+0.015</f>
        <v>4.5229999999999997</v>
      </c>
      <c r="R17" s="11">
        <f>+Q17</f>
        <v>4.5229999999999997</v>
      </c>
      <c r="S17" s="11"/>
      <c r="AC17" s="10">
        <f t="shared" ref="AC17" si="42">SUM(O17:R17)</f>
        <v>18.646000000000001</v>
      </c>
    </row>
    <row r="18" spans="2:77" x14ac:dyDescent="0.2">
      <c r="B18" s="10" t="s">
        <v>59</v>
      </c>
      <c r="K18" s="11">
        <f t="shared" ref="K18:L18" si="43">+K16+K17</f>
        <v>-21.985999999999997</v>
      </c>
      <c r="L18" s="11">
        <f t="shared" si="43"/>
        <v>-25.897999999999996</v>
      </c>
      <c r="M18" s="11">
        <f>+M16+M17</f>
        <v>-34.438000000000002</v>
      </c>
      <c r="N18" s="11">
        <f t="shared" ref="N18:P18" si="44">+N16+N17</f>
        <v>-50.941999999999986</v>
      </c>
      <c r="O18" s="11">
        <f t="shared" si="44"/>
        <v>-44.122</v>
      </c>
      <c r="P18" s="11">
        <f t="shared" si="44"/>
        <v>-41.103999999999992</v>
      </c>
      <c r="Q18" s="11">
        <f>+Q16+Q17</f>
        <v>-43.721999999999994</v>
      </c>
      <c r="R18" s="11">
        <f>+R16+R17</f>
        <v>-43.406999999999996</v>
      </c>
      <c r="S18" s="11"/>
      <c r="T18" s="11"/>
      <c r="U18" s="11"/>
      <c r="V18" s="11"/>
      <c r="W18" s="11"/>
      <c r="X18" s="11"/>
      <c r="Y18" s="11">
        <f t="shared" ref="Y18:AC18" si="45">+Y16+Y17</f>
        <v>-14.333000000000002</v>
      </c>
      <c r="Z18" s="11">
        <f t="shared" si="45"/>
        <v>-36.139000000000003</v>
      </c>
      <c r="AA18" s="11">
        <f t="shared" si="45"/>
        <v>-80.14200000000001</v>
      </c>
      <c r="AB18" s="11">
        <f t="shared" si="45"/>
        <v>-147.37899999999999</v>
      </c>
      <c r="AC18" s="11">
        <f t="shared" si="45"/>
        <v>-172.35500000000002</v>
      </c>
      <c r="AD18" s="11">
        <f t="shared" ref="AD18" si="46">+AD16+AD17</f>
        <v>-165.45780999999999</v>
      </c>
      <c r="AE18" s="11">
        <f t="shared" ref="AE18" si="47">+AE16+AE17</f>
        <v>-124.25662900000003</v>
      </c>
      <c r="AF18" s="11">
        <f t="shared" ref="AF18" si="48">+AF16+AF17</f>
        <v>-36.468724600000087</v>
      </c>
      <c r="AG18" s="11">
        <f t="shared" ref="AG18" si="49">+AG16+AG17</f>
        <v>140.30923728499977</v>
      </c>
      <c r="AH18" s="11">
        <f t="shared" ref="AH18" si="50">+AH16+AH17</f>
        <v>486.66735556774961</v>
      </c>
      <c r="AI18" s="11">
        <f t="shared" ref="AI18" si="51">+AI16+AI17</f>
        <v>548.92725553408718</v>
      </c>
      <c r="AJ18" s="11">
        <f t="shared" ref="AJ18" si="52">+AJ16+AJ17</f>
        <v>618.09280371753653</v>
      </c>
      <c r="AK18" s="11">
        <f t="shared" ref="AK18" si="53">+AK16+AK17</f>
        <v>694.88854785083288</v>
      </c>
      <c r="AL18" s="11">
        <f t="shared" ref="AL18" si="54">+AL16+AL17</f>
        <v>780.11318958553602</v>
      </c>
      <c r="AM18" s="11">
        <f t="shared" ref="AM18" si="55">+AM16+AM17</f>
        <v>874.64708484119069</v>
      </c>
      <c r="AN18" s="11">
        <f t="shared" ref="AN18" si="56">+AN16+AN17</f>
        <v>979.46049843726553</v>
      </c>
    </row>
    <row r="19" spans="2:77" s="10" customFormat="1" x14ac:dyDescent="0.2">
      <c r="B19" s="10" t="s">
        <v>60</v>
      </c>
      <c r="C19" s="11"/>
      <c r="D19" s="11"/>
      <c r="E19" s="11"/>
      <c r="F19" s="11"/>
      <c r="G19" s="11"/>
      <c r="H19" s="11"/>
      <c r="I19" s="11"/>
      <c r="J19" s="11"/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/>
      <c r="AC19" s="10">
        <f t="shared" ref="AC19" si="57">SUM(O19:R19)</f>
        <v>0</v>
      </c>
      <c r="AG19" s="10">
        <f>+AG18*0.1</f>
        <v>14.030923728499978</v>
      </c>
      <c r="AH19" s="10">
        <f t="shared" ref="AH19:AN19" si="58">+AH18*0.1</f>
        <v>48.666735556774967</v>
      </c>
      <c r="AI19" s="10">
        <f t="shared" si="58"/>
        <v>54.892725553408724</v>
      </c>
      <c r="AJ19" s="10">
        <f t="shared" si="58"/>
        <v>61.809280371753658</v>
      </c>
      <c r="AK19" s="10">
        <f t="shared" si="58"/>
        <v>69.488854785083291</v>
      </c>
      <c r="AL19" s="10">
        <f t="shared" si="58"/>
        <v>78.011318958553602</v>
      </c>
      <c r="AM19" s="10">
        <f t="shared" si="58"/>
        <v>87.464708484119072</v>
      </c>
      <c r="AN19" s="10">
        <f t="shared" si="58"/>
        <v>97.946049843726556</v>
      </c>
    </row>
    <row r="20" spans="2:77" x14ac:dyDescent="0.2">
      <c r="B20" s="10" t="s">
        <v>61</v>
      </c>
      <c r="K20" s="11">
        <f>+K18-K19</f>
        <v>-21.985999999999997</v>
      </c>
      <c r="L20" s="11">
        <f t="shared" ref="L20" si="59">+L18-L19</f>
        <v>-25.897999999999996</v>
      </c>
      <c r="M20" s="11">
        <f t="shared" ref="M20:R20" si="60">+M18-M19</f>
        <v>-34.438000000000002</v>
      </c>
      <c r="N20" s="11">
        <f t="shared" si="60"/>
        <v>-50.941999999999986</v>
      </c>
      <c r="O20" s="11">
        <f t="shared" si="60"/>
        <v>-44.122</v>
      </c>
      <c r="P20" s="11">
        <f t="shared" si="60"/>
        <v>-41.103999999999992</v>
      </c>
      <c r="Q20" s="11">
        <f t="shared" si="60"/>
        <v>-43.721999999999994</v>
      </c>
      <c r="R20" s="11">
        <f t="shared" si="60"/>
        <v>-43.406999999999996</v>
      </c>
      <c r="S20" s="11"/>
      <c r="T20" s="11"/>
      <c r="U20" s="11"/>
      <c r="V20" s="11"/>
      <c r="W20" s="11"/>
      <c r="X20" s="11"/>
      <c r="Y20" s="11">
        <f t="shared" ref="Y20:AC20" si="61">+Y18-Y19</f>
        <v>-14.333000000000002</v>
      </c>
      <c r="Z20" s="11">
        <f t="shared" si="61"/>
        <v>-36.139000000000003</v>
      </c>
      <c r="AA20" s="11">
        <f t="shared" si="61"/>
        <v>-80.14200000000001</v>
      </c>
      <c r="AB20" s="11">
        <f t="shared" si="61"/>
        <v>-147.37899999999999</v>
      </c>
      <c r="AC20" s="11">
        <f t="shared" si="61"/>
        <v>-172.35500000000002</v>
      </c>
      <c r="AD20" s="11">
        <f t="shared" ref="AD20" si="62">+AD18-AD19</f>
        <v>-165.45780999999999</v>
      </c>
      <c r="AE20" s="11">
        <f t="shared" ref="AE20" si="63">+AE18-AE19</f>
        <v>-124.25662900000003</v>
      </c>
      <c r="AF20" s="11">
        <f t="shared" ref="AF20" si="64">+AF18-AF19</f>
        <v>-36.468724600000087</v>
      </c>
      <c r="AG20" s="11">
        <f t="shared" ref="AG20" si="65">+AG18-AG19</f>
        <v>126.2783135564998</v>
      </c>
      <c r="AH20" s="11">
        <f t="shared" ref="AH20" si="66">+AH18-AH19</f>
        <v>438.00062001097467</v>
      </c>
      <c r="AI20" s="11">
        <f t="shared" ref="AI20" si="67">+AI18-AI19</f>
        <v>494.03452998067849</v>
      </c>
      <c r="AJ20" s="11">
        <f t="shared" ref="AJ20" si="68">+AJ18-AJ19</f>
        <v>556.2835233457829</v>
      </c>
      <c r="AK20" s="11">
        <f t="shared" ref="AK20" si="69">+AK18-AK19</f>
        <v>625.3996930657496</v>
      </c>
      <c r="AL20" s="11">
        <f t="shared" ref="AL20" si="70">+AL18-AL19</f>
        <v>702.10187062698242</v>
      </c>
      <c r="AM20" s="11">
        <f t="shared" ref="AM20" si="71">+AM18-AM19</f>
        <v>787.18237635707158</v>
      </c>
      <c r="AN20" s="11">
        <f t="shared" ref="AN20" si="72">+AN18-AN19</f>
        <v>881.51444859353899</v>
      </c>
      <c r="AO20" s="11">
        <f>+AN20*(1+$AO$25)</f>
        <v>872.69930410760355</v>
      </c>
      <c r="AP20" s="11">
        <f t="shared" ref="AP20:BY20" si="73">+AO20*(1+$AO$25)</f>
        <v>863.97231106652748</v>
      </c>
      <c r="AQ20" s="11">
        <f t="shared" si="73"/>
        <v>855.33258795586221</v>
      </c>
      <c r="AR20" s="11">
        <f t="shared" si="73"/>
        <v>846.77926207630355</v>
      </c>
      <c r="AS20" s="11">
        <f t="shared" si="73"/>
        <v>838.31146945554053</v>
      </c>
      <c r="AT20" s="11">
        <f t="shared" si="73"/>
        <v>829.92835476098514</v>
      </c>
      <c r="AU20" s="11">
        <f t="shared" si="73"/>
        <v>821.62907121337525</v>
      </c>
      <c r="AV20" s="11">
        <f t="shared" si="73"/>
        <v>813.41278050124151</v>
      </c>
      <c r="AW20" s="11">
        <f t="shared" si="73"/>
        <v>805.27865269622907</v>
      </c>
      <c r="AX20" s="11">
        <f t="shared" si="73"/>
        <v>797.22586616926674</v>
      </c>
      <c r="AY20" s="11">
        <f t="shared" si="73"/>
        <v>789.25360750757409</v>
      </c>
      <c r="AZ20" s="11">
        <f t="shared" si="73"/>
        <v>781.36107143249831</v>
      </c>
      <c r="BA20" s="11">
        <f t="shared" si="73"/>
        <v>773.54746071817328</v>
      </c>
      <c r="BB20" s="11">
        <f t="shared" si="73"/>
        <v>765.8119861109916</v>
      </c>
      <c r="BC20" s="11">
        <f t="shared" si="73"/>
        <v>758.15386624988173</v>
      </c>
      <c r="BD20" s="11">
        <f t="shared" si="73"/>
        <v>750.57232758738292</v>
      </c>
      <c r="BE20" s="11">
        <f t="shared" si="73"/>
        <v>743.06660431150908</v>
      </c>
      <c r="BF20" s="11">
        <f t="shared" si="73"/>
        <v>735.63593826839394</v>
      </c>
      <c r="BG20" s="11">
        <f t="shared" si="73"/>
        <v>728.27957888570995</v>
      </c>
      <c r="BH20" s="11">
        <f t="shared" si="73"/>
        <v>720.99678309685282</v>
      </c>
      <c r="BI20" s="11">
        <f t="shared" si="73"/>
        <v>713.78681526588434</v>
      </c>
      <c r="BJ20" s="11">
        <f t="shared" si="73"/>
        <v>706.64894711322552</v>
      </c>
      <c r="BK20" s="11">
        <f t="shared" si="73"/>
        <v>699.58245764209323</v>
      </c>
      <c r="BL20" s="11">
        <f t="shared" si="73"/>
        <v>692.58663306567234</v>
      </c>
      <c r="BM20" s="11">
        <f t="shared" si="73"/>
        <v>685.66076673501561</v>
      </c>
      <c r="BN20" s="11">
        <f t="shared" si="73"/>
        <v>678.80415906766541</v>
      </c>
      <c r="BO20" s="11">
        <f t="shared" si="73"/>
        <v>672.01611747698871</v>
      </c>
      <c r="BP20" s="11">
        <f t="shared" si="73"/>
        <v>665.29595630221877</v>
      </c>
      <c r="BQ20" s="11">
        <f t="shared" si="73"/>
        <v>658.64299673919652</v>
      </c>
      <c r="BR20" s="11">
        <f t="shared" si="73"/>
        <v>652.05656677180457</v>
      </c>
      <c r="BS20" s="11">
        <f t="shared" si="73"/>
        <v>645.53600110408649</v>
      </c>
      <c r="BT20" s="11">
        <f t="shared" si="73"/>
        <v>639.08064109304564</v>
      </c>
      <c r="BU20" s="11">
        <f t="shared" si="73"/>
        <v>632.68983468211513</v>
      </c>
      <c r="BV20" s="11">
        <f t="shared" si="73"/>
        <v>626.36293633529397</v>
      </c>
      <c r="BW20" s="11">
        <f t="shared" si="73"/>
        <v>620.09930697194102</v>
      </c>
      <c r="BX20" s="11">
        <f t="shared" si="73"/>
        <v>613.89831390222162</v>
      </c>
      <c r="BY20" s="11">
        <f t="shared" si="73"/>
        <v>607.75933076319939</v>
      </c>
    </row>
    <row r="21" spans="2:77" x14ac:dyDescent="0.2">
      <c r="B21" s="10" t="s">
        <v>62</v>
      </c>
      <c r="F21" s="12"/>
      <c r="J21" s="12"/>
      <c r="K21" s="12">
        <f t="shared" ref="K21:R21" si="74">+K20/K22</f>
        <v>-0.10986800423191202</v>
      </c>
      <c r="L21" s="12">
        <f t="shared" si="74"/>
        <v>-0.12856976575867524</v>
      </c>
      <c r="M21" s="12">
        <f t="shared" si="74"/>
        <v>-0.16931970672379332</v>
      </c>
      <c r="N21" s="12" t="e">
        <f t="shared" si="74"/>
        <v>#DIV/0!</v>
      </c>
      <c r="O21" s="12">
        <f t="shared" si="74"/>
        <v>-0.21196252359231235</v>
      </c>
      <c r="P21" s="12">
        <f t="shared" si="74"/>
        <v>-0.19421890770112599</v>
      </c>
      <c r="Q21" s="12">
        <f t="shared" si="74"/>
        <v>-0.2040175879567338</v>
      </c>
      <c r="R21" s="12">
        <f t="shared" si="74"/>
        <v>-0.20254772060834234</v>
      </c>
      <c r="S21" s="12"/>
      <c r="Y21" s="1">
        <f t="shared" ref="Y21:AB21" si="75">Y20/Y22</f>
        <v>-0.12458592650845435</v>
      </c>
      <c r="Z21" s="1">
        <f t="shared" si="75"/>
        <v>-0.26261972091776725</v>
      </c>
      <c r="AA21" s="1"/>
      <c r="AB21" s="1">
        <f t="shared" si="75"/>
        <v>-0.73088380714764445</v>
      </c>
      <c r="AC21" s="1">
        <f>AC20/AC22</f>
        <v>-0.81260524783208299</v>
      </c>
      <c r="AD21" s="1">
        <f>AD20/AD22</f>
        <v>-0.78008694091151221</v>
      </c>
      <c r="AE21" s="1">
        <f t="shared" ref="AE21:AN21" si="76">AE20/AE22</f>
        <v>-0.58583498478909346</v>
      </c>
      <c r="AF21" s="1">
        <f t="shared" si="76"/>
        <v>-0.17193975800935887</v>
      </c>
      <c r="AG21" s="1">
        <f t="shared" si="76"/>
        <v>0.59536665767396935</v>
      </c>
      <c r="AH21" s="1">
        <f t="shared" si="76"/>
        <v>2.0650494756440141</v>
      </c>
      <c r="AI21" s="1">
        <f t="shared" si="76"/>
        <v>2.3292335683476306</v>
      </c>
      <c r="AJ21" s="1">
        <f t="shared" si="76"/>
        <v>2.6227200275785685</v>
      </c>
      <c r="AK21" s="1">
        <f t="shared" si="76"/>
        <v>2.9485832878524096</v>
      </c>
      <c r="AL21" s="1">
        <f t="shared" si="76"/>
        <v>3.3102124370294339</v>
      </c>
      <c r="AM21" s="1">
        <f t="shared" si="76"/>
        <v>3.7113430421437505</v>
      </c>
      <c r="AN21" s="1">
        <f t="shared" si="76"/>
        <v>4.1560921758400662</v>
      </c>
    </row>
    <row r="22" spans="2:77" s="10" customFormat="1" x14ac:dyDescent="0.2">
      <c r="B22" s="10" t="s">
        <v>1</v>
      </c>
      <c r="C22" s="11"/>
      <c r="D22" s="11"/>
      <c r="E22" s="11"/>
      <c r="F22" s="11"/>
      <c r="G22" s="11"/>
      <c r="H22" s="11"/>
      <c r="I22" s="11"/>
      <c r="J22" s="11"/>
      <c r="K22" s="11">
        <v>200.112855</v>
      </c>
      <c r="L22" s="11">
        <v>201.43149399999999</v>
      </c>
      <c r="M22" s="11">
        <v>203.39038300000001</v>
      </c>
      <c r="N22" s="11"/>
      <c r="O22" s="11">
        <v>208.15943899999999</v>
      </c>
      <c r="P22" s="11">
        <v>211.63747900000001</v>
      </c>
      <c r="Q22" s="11">
        <v>214.30505299999999</v>
      </c>
      <c r="R22" s="11">
        <f>+Q22</f>
        <v>214.30505299999999</v>
      </c>
      <c r="S22" s="11"/>
      <c r="Y22" s="10">
        <v>115.045097</v>
      </c>
      <c r="Z22" s="10">
        <v>137.60962000000001</v>
      </c>
      <c r="AB22" s="10">
        <f>AVERAGE(K22:N22)</f>
        <v>201.64491066666668</v>
      </c>
      <c r="AC22" s="10">
        <f>AVERAGE(O22:R22)</f>
        <v>212.10175600000002</v>
      </c>
      <c r="AD22" s="10">
        <f>+AC22</f>
        <v>212.10175600000002</v>
      </c>
      <c r="AE22" s="10">
        <f t="shared" ref="AE22:AN22" si="77">+AD22</f>
        <v>212.10175600000002</v>
      </c>
      <c r="AF22" s="10">
        <f t="shared" si="77"/>
        <v>212.10175600000002</v>
      </c>
      <c r="AG22" s="10">
        <f t="shared" si="77"/>
        <v>212.10175600000002</v>
      </c>
      <c r="AH22" s="10">
        <f t="shared" si="77"/>
        <v>212.10175600000002</v>
      </c>
      <c r="AI22" s="10">
        <f t="shared" si="77"/>
        <v>212.10175600000002</v>
      </c>
      <c r="AJ22" s="10">
        <f t="shared" si="77"/>
        <v>212.10175600000002</v>
      </c>
      <c r="AK22" s="10">
        <f t="shared" si="77"/>
        <v>212.10175600000002</v>
      </c>
      <c r="AL22" s="10">
        <f t="shared" si="77"/>
        <v>212.10175600000002</v>
      </c>
      <c r="AM22" s="10">
        <f t="shared" si="77"/>
        <v>212.10175600000002</v>
      </c>
      <c r="AN22" s="10">
        <f t="shared" si="77"/>
        <v>212.10175600000002</v>
      </c>
    </row>
    <row r="23" spans="2:77" ht="13.5" thickBot="1" x14ac:dyDescent="0.25">
      <c r="B23" s="10"/>
      <c r="M23" s="11"/>
      <c r="Q23" s="11"/>
      <c r="AA23" s="4"/>
      <c r="AB23" s="4"/>
    </row>
    <row r="24" spans="2:77" x14ac:dyDescent="0.2">
      <c r="AA24" s="4"/>
      <c r="AB24" s="4"/>
      <c r="AN24" s="15" t="s">
        <v>63</v>
      </c>
      <c r="AO24" s="16">
        <v>7.0000000000000007E-2</v>
      </c>
    </row>
    <row r="25" spans="2:77" x14ac:dyDescent="0.2">
      <c r="B25" t="s">
        <v>17</v>
      </c>
      <c r="AA25" s="4">
        <v>-44698</v>
      </c>
      <c r="AB25" s="4">
        <v>-78811</v>
      </c>
      <c r="AN25" s="17" t="s">
        <v>64</v>
      </c>
      <c r="AO25" s="18">
        <v>-0.01</v>
      </c>
    </row>
    <row r="26" spans="2:77" x14ac:dyDescent="0.2">
      <c r="B26" t="s">
        <v>18</v>
      </c>
      <c r="AA26" s="4">
        <v>-9336</v>
      </c>
      <c r="AB26" s="4">
        <v>-13703</v>
      </c>
      <c r="AN26" s="17" t="s">
        <v>65</v>
      </c>
      <c r="AO26" s="19">
        <f>NPV(AO24,AD20:BY20)</f>
        <v>7246.5100574380303</v>
      </c>
    </row>
    <row r="27" spans="2:77" ht="13.5" thickBot="1" x14ac:dyDescent="0.25">
      <c r="AN27" s="20" t="s">
        <v>66</v>
      </c>
      <c r="AO27" s="21">
        <f>AO26/Main!J3</f>
        <v>33.813995311804575</v>
      </c>
    </row>
    <row r="32" spans="2:77" s="7" customFormat="1" x14ac:dyDescent="0.2">
      <c r="B32" s="7" t="s">
        <v>3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>
        <f>30.172+335.538+17.131</f>
        <v>382.84100000000001</v>
      </c>
      <c r="R32" s="8"/>
      <c r="S32" s="8"/>
    </row>
    <row r="33" spans="2:19" s="7" customFormat="1" x14ac:dyDescent="0.2">
      <c r="B33" s="7" t="s">
        <v>41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>
        <v>4.1369999999999996</v>
      </c>
      <c r="R33" s="8"/>
      <c r="S33" s="8"/>
    </row>
    <row r="34" spans="2:19" s="7" customFormat="1" x14ac:dyDescent="0.2">
      <c r="B34" s="7" t="s">
        <v>42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>
        <v>25.553000000000001</v>
      </c>
      <c r="R34" s="8"/>
      <c r="S34" s="8"/>
    </row>
    <row r="35" spans="2:19" s="7" customFormat="1" x14ac:dyDescent="0.2">
      <c r="B35" s="7" t="s">
        <v>43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>
        <v>49.454000000000001</v>
      </c>
      <c r="R35" s="8"/>
      <c r="S35" s="8"/>
    </row>
    <row r="36" spans="2:19" s="7" customFormat="1" x14ac:dyDescent="0.2">
      <c r="B36" s="7" t="s">
        <v>44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>
        <v>10.029</v>
      </c>
      <c r="R36" s="8"/>
      <c r="S36" s="8"/>
    </row>
    <row r="37" spans="2:19" s="7" customFormat="1" x14ac:dyDescent="0.2">
      <c r="B37" s="7" t="s">
        <v>45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>
        <f>17.487+0.727</f>
        <v>18.213999999999999</v>
      </c>
      <c r="R37" s="8"/>
      <c r="S37" s="8"/>
    </row>
    <row r="38" spans="2:19" s="7" customFormat="1" x14ac:dyDescent="0.2">
      <c r="B38" s="7" t="s">
        <v>46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>
        <v>7.6829999999999998</v>
      </c>
      <c r="R38" s="8"/>
      <c r="S38" s="8"/>
    </row>
    <row r="39" spans="2:19" s="7" customFormat="1" x14ac:dyDescent="0.2">
      <c r="B39" s="7" t="s">
        <v>40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>
        <f>SUM(Q32:Q38)</f>
        <v>497.911</v>
      </c>
      <c r="R39" s="8"/>
      <c r="S39" s="8"/>
    </row>
    <row r="41" spans="2:19" s="4" customFormat="1" x14ac:dyDescent="0.2">
      <c r="B41" s="4" t="s">
        <v>47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>
        <v>4.8540000000000001</v>
      </c>
      <c r="R41" s="9"/>
      <c r="S41" s="9"/>
    </row>
    <row r="42" spans="2:19" s="4" customFormat="1" x14ac:dyDescent="0.2">
      <c r="B42" s="4" t="s">
        <v>48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>
        <v>15.657</v>
      </c>
      <c r="R42" s="9"/>
      <c r="S42" s="9"/>
    </row>
    <row r="43" spans="2:19" s="4" customFormat="1" x14ac:dyDescent="0.2">
      <c r="B43" s="4" t="s">
        <v>49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>
        <f>3.089+15.214</f>
        <v>18.303000000000001</v>
      </c>
      <c r="R43" s="9"/>
      <c r="S43" s="9"/>
    </row>
    <row r="44" spans="2:19" s="4" customFormat="1" x14ac:dyDescent="0.2">
      <c r="B44" s="4" t="s">
        <v>50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>
        <f>8.332+0.06</f>
        <v>8.3920000000000012</v>
      </c>
      <c r="R44" s="9"/>
      <c r="S44" s="9"/>
    </row>
    <row r="45" spans="2:19" s="4" customFormat="1" x14ac:dyDescent="0.2">
      <c r="B45" s="4" t="s">
        <v>51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>
        <f>0.392+0.154</f>
        <v>0.54600000000000004</v>
      </c>
      <c r="R45" s="9"/>
      <c r="S45" s="9"/>
    </row>
    <row r="46" spans="2:19" s="4" customFormat="1" x14ac:dyDescent="0.2">
      <c r="B46" s="4" t="s">
        <v>55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>
        <v>11.606999999999999</v>
      </c>
      <c r="R46" s="9"/>
      <c r="S46" s="9"/>
    </row>
    <row r="47" spans="2:19" s="4" customFormat="1" x14ac:dyDescent="0.2">
      <c r="B47" s="4" t="s">
        <v>54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>
        <v>2.8690000000000002</v>
      </c>
      <c r="R47" s="9"/>
      <c r="S47" s="9"/>
    </row>
    <row r="48" spans="2:19" s="4" customFormat="1" x14ac:dyDescent="0.2">
      <c r="B48" s="4" t="s">
        <v>53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>
        <v>435.68299999999999</v>
      </c>
      <c r="R48" s="9"/>
      <c r="S48" s="9"/>
    </row>
    <row r="49" spans="2:19" s="4" customFormat="1" x14ac:dyDescent="0.2">
      <c r="B49" s="4" t="s">
        <v>52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>
        <f>SUM(Q41:Q48)</f>
        <v>497.911</v>
      </c>
      <c r="R49" s="9"/>
      <c r="S49" s="9"/>
    </row>
  </sheetData>
  <hyperlinks>
    <hyperlink ref="A1" location="Main!A1" display="Main" xr:uid="{201ADA92-3B0C-4733-B33B-9ACA8A94F4C9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2FAF-F034-4DC1-A333-3CF2A6D6F2AB}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Joshua Morton</cp:lastModifiedBy>
  <dcterms:created xsi:type="dcterms:W3CDTF">2024-08-30T17:12:45Z</dcterms:created>
  <dcterms:modified xsi:type="dcterms:W3CDTF">2025-01-28T04:48:40Z</dcterms:modified>
</cp:coreProperties>
</file>