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ocuments\Morton, J\MyLearn Notes\"/>
    </mc:Choice>
  </mc:AlternateContent>
  <xr:revisionPtr revIDLastSave="0" documentId="13_ncr:1_{1E981C81-FA6F-4710-A0D6-FCAE8988C340}" xr6:coauthVersionLast="47" xr6:coauthVersionMax="47" xr10:uidLastSave="{00000000-0000-0000-0000-000000000000}"/>
  <bookViews>
    <workbookView xWindow="28680" yWindow="-120" windowWidth="29040" windowHeight="1584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2" l="1"/>
  <c r="U16" i="2" s="1"/>
  <c r="U14" i="2"/>
  <c r="U13" i="2"/>
  <c r="U12" i="2"/>
  <c r="U11" i="2"/>
  <c r="U10" i="2"/>
  <c r="Z24" i="2"/>
  <c r="Y24" i="2"/>
  <c r="X24" i="2"/>
  <c r="W24" i="2"/>
  <c r="V24" i="2"/>
  <c r="AP28" i="2"/>
  <c r="AO28" i="2"/>
  <c r="AN28" i="2"/>
  <c r="AM28" i="2"/>
  <c r="AL28" i="2"/>
  <c r="AK28" i="2"/>
  <c r="S94" i="2"/>
  <c r="R94" i="2"/>
  <c r="T94" i="2"/>
  <c r="T93" i="2"/>
  <c r="Q87" i="2"/>
  <c r="Q84" i="2"/>
  <c r="Q83" i="2"/>
  <c r="Q80" i="2"/>
  <c r="Q78" i="2"/>
  <c r="Q74" i="2"/>
  <c r="Q73" i="2"/>
  <c r="Q72" i="2"/>
  <c r="Q71" i="2"/>
  <c r="Q70" i="2"/>
  <c r="Q60" i="2"/>
  <c r="Q67" i="2" s="1"/>
  <c r="Q54" i="2"/>
  <c r="Q49" i="2"/>
  <c r="Q56" i="2" s="1"/>
  <c r="G40" i="2"/>
  <c r="C35" i="2"/>
  <c r="C31" i="2"/>
  <c r="C27" i="2"/>
  <c r="C46" i="2" s="1"/>
  <c r="AH30" i="2"/>
  <c r="AH31" i="2" s="1"/>
  <c r="H30" i="2"/>
  <c r="H31" i="2" s="1"/>
  <c r="G30" i="2"/>
  <c r="G31" i="2" s="1"/>
  <c r="C25" i="2"/>
  <c r="G25" i="2"/>
  <c r="G27" i="2" s="1"/>
  <c r="G46" i="2" s="1"/>
  <c r="D31" i="2"/>
  <c r="D25" i="2"/>
  <c r="D27" i="2" s="1"/>
  <c r="D46" i="2" s="1"/>
  <c r="E31" i="2"/>
  <c r="I31" i="2"/>
  <c r="E25" i="2"/>
  <c r="E27" i="2" s="1"/>
  <c r="E46" i="2" s="1"/>
  <c r="AG35" i="2"/>
  <c r="AG31" i="2"/>
  <c r="O41" i="2"/>
  <c r="F31" i="2"/>
  <c r="J31" i="2"/>
  <c r="AG25" i="2"/>
  <c r="AG27" i="2" s="1"/>
  <c r="AG46" i="2" s="1"/>
  <c r="AF25" i="2"/>
  <c r="AE25" i="2"/>
  <c r="AD25" i="2"/>
  <c r="I25" i="2"/>
  <c r="M40" i="2" s="1"/>
  <c r="H25" i="2"/>
  <c r="L40" i="2" s="1"/>
  <c r="F25" i="2"/>
  <c r="F27" i="2" s="1"/>
  <c r="F46" i="2" s="1"/>
  <c r="J25" i="2"/>
  <c r="N40" i="2" s="1"/>
  <c r="T91" i="2"/>
  <c r="S91" i="2"/>
  <c r="P87" i="2"/>
  <c r="P84" i="2"/>
  <c r="P83" i="2"/>
  <c r="P80" i="2"/>
  <c r="P78" i="2"/>
  <c r="P74" i="2"/>
  <c r="P73" i="2"/>
  <c r="P72" i="2"/>
  <c r="P71" i="2"/>
  <c r="P70" i="2"/>
  <c r="P60" i="2"/>
  <c r="P67" i="2" s="1"/>
  <c r="P54" i="2"/>
  <c r="P49" i="2"/>
  <c r="O85" i="2"/>
  <c r="O86" i="2" s="1"/>
  <c r="O79" i="2"/>
  <c r="O81" i="2" s="1"/>
  <c r="O75" i="2"/>
  <c r="O76" i="2" s="1"/>
  <c r="O93" i="2" s="1"/>
  <c r="O60" i="2"/>
  <c r="O67" i="2" s="1"/>
  <c r="O54" i="2"/>
  <c r="O49" i="2"/>
  <c r="V41" i="2"/>
  <c r="U41" i="2"/>
  <c r="U44" i="2"/>
  <c r="V23" i="2"/>
  <c r="V44" i="2" s="1"/>
  <c r="T24" i="2"/>
  <c r="T25" i="2" s="1"/>
  <c r="T41" i="2"/>
  <c r="Z25" i="2"/>
  <c r="Y25" i="2"/>
  <c r="X25" i="2"/>
  <c r="W25" i="2"/>
  <c r="T14" i="2"/>
  <c r="T13" i="2"/>
  <c r="T85" i="2"/>
  <c r="T86" i="2" s="1"/>
  <c r="T79" i="2"/>
  <c r="T78" i="2"/>
  <c r="T81" i="2" s="1"/>
  <c r="T75" i="2"/>
  <c r="T76" i="2" s="1"/>
  <c r="T60" i="2"/>
  <c r="T67" i="2" s="1"/>
  <c r="T54" i="2"/>
  <c r="T49" i="2"/>
  <c r="T56" i="2" s="1"/>
  <c r="T44" i="2"/>
  <c r="I40" i="2" l="1"/>
  <c r="J40" i="2"/>
  <c r="H40" i="2"/>
  <c r="C32" i="2"/>
  <c r="C34" i="2" s="1"/>
  <c r="C36" i="2" s="1"/>
  <c r="C37" i="2" s="1"/>
  <c r="G32" i="2"/>
  <c r="G34" i="2" s="1"/>
  <c r="J27" i="2"/>
  <c r="J46" i="2" s="1"/>
  <c r="H27" i="2"/>
  <c r="H46" i="2" s="1"/>
  <c r="D32" i="2"/>
  <c r="D34" i="2" s="1"/>
  <c r="T88" i="2"/>
  <c r="P75" i="2"/>
  <c r="P79" i="2"/>
  <c r="Q79" i="2" s="1"/>
  <c r="Q81" i="2" s="1"/>
  <c r="I27" i="2"/>
  <c r="I46" i="2" s="1"/>
  <c r="O56" i="2"/>
  <c r="E32" i="2"/>
  <c r="E34" i="2" s="1"/>
  <c r="I32" i="2"/>
  <c r="I34" i="2" s="1"/>
  <c r="T27" i="2"/>
  <c r="T10" i="2"/>
  <c r="P81" i="2"/>
  <c r="AG32" i="2"/>
  <c r="AG34" i="2" s="1"/>
  <c r="AG36" i="2" s="1"/>
  <c r="AG37" i="2" s="1"/>
  <c r="F32" i="2"/>
  <c r="F34" i="2" s="1"/>
  <c r="O88" i="2"/>
  <c r="P56" i="2"/>
  <c r="V22" i="2"/>
  <c r="P85" i="2"/>
  <c r="L31" i="2"/>
  <c r="K31" i="2"/>
  <c r="V30" i="2"/>
  <c r="V29" i="2"/>
  <c r="V28" i="2"/>
  <c r="V33" i="2"/>
  <c r="M31" i="2"/>
  <c r="T40" i="2"/>
  <c r="R86" i="2"/>
  <c r="R79" i="2"/>
  <c r="R81" i="2" s="1"/>
  <c r="R75" i="2"/>
  <c r="R76" i="2" s="1"/>
  <c r="R93" i="2" s="1"/>
  <c r="N60" i="2"/>
  <c r="N67" i="2" s="1"/>
  <c r="R60" i="2"/>
  <c r="R67" i="2" s="1"/>
  <c r="R54" i="2"/>
  <c r="R49" i="2"/>
  <c r="R56" i="2" s="1"/>
  <c r="N54" i="2"/>
  <c r="N49" i="2"/>
  <c r="AI44" i="2"/>
  <c r="AJ44" i="2"/>
  <c r="AJ25" i="2"/>
  <c r="AI25" i="2"/>
  <c r="AH25" i="2"/>
  <c r="R44" i="2"/>
  <c r="S44" i="2"/>
  <c r="AK30" i="2"/>
  <c r="AL30" i="2" s="1"/>
  <c r="AM30" i="2" s="1"/>
  <c r="AN30" i="2" s="1"/>
  <c r="AO30" i="2" s="1"/>
  <c r="AP30" i="2" s="1"/>
  <c r="AQ30" i="2" s="1"/>
  <c r="AR30" i="2" s="1"/>
  <c r="AS30" i="2" s="1"/>
  <c r="AK29" i="2"/>
  <c r="AL29" i="2" s="1"/>
  <c r="AM29" i="2" s="1"/>
  <c r="AN29" i="2" s="1"/>
  <c r="AO29" i="2" s="1"/>
  <c r="AP29" i="2" s="1"/>
  <c r="AQ29" i="2" s="1"/>
  <c r="AR29" i="2" s="1"/>
  <c r="AS29" i="2" s="1"/>
  <c r="AJ31" i="2"/>
  <c r="AI31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N31" i="2"/>
  <c r="N27" i="2"/>
  <c r="N46" i="2" s="1"/>
  <c r="M27" i="2"/>
  <c r="M46" i="2" s="1"/>
  <c r="L27" i="2"/>
  <c r="L46" i="2" s="1"/>
  <c r="R27" i="2"/>
  <c r="R46" i="2" s="1"/>
  <c r="Q27" i="2"/>
  <c r="Q46" i="2" s="1"/>
  <c r="P27" i="2"/>
  <c r="P46" i="2" s="1"/>
  <c r="R31" i="2"/>
  <c r="Q31" i="2"/>
  <c r="P31" i="2"/>
  <c r="O31" i="2"/>
  <c r="P40" i="2"/>
  <c r="R41" i="2"/>
  <c r="Q41" i="2"/>
  <c r="P41" i="2"/>
  <c r="R40" i="2"/>
  <c r="Q40" i="2"/>
  <c r="S24" i="2"/>
  <c r="S13" i="2" s="1"/>
  <c r="R24" i="2"/>
  <c r="Q24" i="2"/>
  <c r="P24" i="2"/>
  <c r="P14" i="2" s="1"/>
  <c r="O24" i="2"/>
  <c r="O25" i="2" s="1"/>
  <c r="N24" i="2"/>
  <c r="N14" i="2" s="1"/>
  <c r="M24" i="2"/>
  <c r="M14" i="2" s="1"/>
  <c r="L24" i="2"/>
  <c r="L14" i="2" s="1"/>
  <c r="K24" i="2"/>
  <c r="K14" i="2" s="1"/>
  <c r="R10" i="2"/>
  <c r="Q10" i="2"/>
  <c r="P10" i="2"/>
  <c r="Q11" i="2" s="1"/>
  <c r="N10" i="2"/>
  <c r="M10" i="2"/>
  <c r="L10" i="2"/>
  <c r="S41" i="2"/>
  <c r="M4" i="1"/>
  <c r="M7" i="1" s="1"/>
  <c r="S85" i="2"/>
  <c r="S86" i="2" s="1"/>
  <c r="S78" i="2"/>
  <c r="S79" i="2"/>
  <c r="S75" i="2"/>
  <c r="S76" i="2" s="1"/>
  <c r="S93" i="2" s="1"/>
  <c r="S60" i="2"/>
  <c r="S67" i="2" s="1"/>
  <c r="S54" i="2"/>
  <c r="S49" i="2"/>
  <c r="S31" i="2"/>
  <c r="P76" i="2" l="1"/>
  <c r="P93" i="2" s="1"/>
  <c r="Q75" i="2"/>
  <c r="Q76" i="2" s="1"/>
  <c r="Q93" i="2" s="1"/>
  <c r="D36" i="2"/>
  <c r="D37" i="2" s="1"/>
  <c r="D47" i="2"/>
  <c r="E36" i="2"/>
  <c r="E37" i="2" s="1"/>
  <c r="E47" i="2"/>
  <c r="G36" i="2"/>
  <c r="G37" i="2" s="1"/>
  <c r="G47" i="2"/>
  <c r="P86" i="2"/>
  <c r="Q85" i="2"/>
  <c r="Q86" i="2" s="1"/>
  <c r="J32" i="2"/>
  <c r="J34" i="2" s="1"/>
  <c r="F36" i="2"/>
  <c r="F37" i="2" s="1"/>
  <c r="F47" i="2"/>
  <c r="C47" i="2"/>
  <c r="H32" i="2"/>
  <c r="H34" i="2" s="1"/>
  <c r="H36" i="2"/>
  <c r="H37" i="2" s="1"/>
  <c r="H47" i="2"/>
  <c r="I36" i="2"/>
  <c r="I37" i="2" s="1"/>
  <c r="I47" i="2"/>
  <c r="P88" i="2"/>
  <c r="AI27" i="2"/>
  <c r="AI46" i="2" s="1"/>
  <c r="AI40" i="2"/>
  <c r="AG47" i="2"/>
  <c r="J36" i="2"/>
  <c r="J37" i="2" s="1"/>
  <c r="J47" i="2"/>
  <c r="AH27" i="2"/>
  <c r="AH40" i="2"/>
  <c r="Q14" i="2"/>
  <c r="Q15" i="2" s="1"/>
  <c r="U25" i="2"/>
  <c r="U27" i="2" s="1"/>
  <c r="R14" i="2"/>
  <c r="S15" i="2" s="1"/>
  <c r="V25" i="2"/>
  <c r="AK25" i="2" s="1"/>
  <c r="AL25" i="2" s="1"/>
  <c r="AM25" i="2" s="1"/>
  <c r="AN25" i="2" s="1"/>
  <c r="AO25" i="2" s="1"/>
  <c r="T31" i="2"/>
  <c r="T32" i="2" s="1"/>
  <c r="T34" i="2" s="1"/>
  <c r="T47" i="2" s="1"/>
  <c r="AJ49" i="2"/>
  <c r="N56" i="2"/>
  <c r="AJ40" i="2"/>
  <c r="U31" i="2"/>
  <c r="T46" i="2"/>
  <c r="S25" i="2"/>
  <c r="S10" i="2" s="1"/>
  <c r="R88" i="2"/>
  <c r="K25" i="2"/>
  <c r="AJ27" i="2"/>
  <c r="AJ46" i="2" s="1"/>
  <c r="M32" i="2"/>
  <c r="M34" i="2" s="1"/>
  <c r="M47" i="2" s="1"/>
  <c r="Q13" i="2"/>
  <c r="O14" i="2"/>
  <c r="O15" i="2" s="1"/>
  <c r="R11" i="2"/>
  <c r="V38" i="2"/>
  <c r="L32" i="2"/>
  <c r="L34" i="2" s="1"/>
  <c r="P32" i="2"/>
  <c r="P34" i="2" s="1"/>
  <c r="V31" i="2"/>
  <c r="AL31" i="2"/>
  <c r="AK31" i="2"/>
  <c r="Q32" i="2"/>
  <c r="Q34" i="2" s="1"/>
  <c r="R32" i="2"/>
  <c r="R34" i="2" s="1"/>
  <c r="O13" i="2"/>
  <c r="P13" i="2"/>
  <c r="O27" i="2"/>
  <c r="N32" i="2"/>
  <c r="N34" i="2" s="1"/>
  <c r="M15" i="2"/>
  <c r="M13" i="2"/>
  <c r="S14" i="2"/>
  <c r="T15" i="2" s="1"/>
  <c r="R13" i="2"/>
  <c r="N13" i="2"/>
  <c r="L13" i="2"/>
  <c r="K13" i="2"/>
  <c r="L15" i="2"/>
  <c r="N15" i="2"/>
  <c r="M11" i="2"/>
  <c r="Q12" i="2" s="1"/>
  <c r="N11" i="2"/>
  <c r="O10" i="2"/>
  <c r="P11" i="2" s="1"/>
  <c r="S81" i="2"/>
  <c r="S88" i="2" s="1"/>
  <c r="S56" i="2"/>
  <c r="O40" i="2" l="1"/>
  <c r="K40" i="2"/>
  <c r="AI32" i="2"/>
  <c r="AI34" i="2" s="1"/>
  <c r="AI36" i="2" s="1"/>
  <c r="AI37" i="2" s="1"/>
  <c r="Q88" i="2"/>
  <c r="R15" i="2"/>
  <c r="AH46" i="2"/>
  <c r="AH32" i="2"/>
  <c r="AH34" i="2" s="1"/>
  <c r="L36" i="2"/>
  <c r="L37" i="2" s="1"/>
  <c r="L47" i="2"/>
  <c r="AJ32" i="2"/>
  <c r="AJ34" i="2" s="1"/>
  <c r="M36" i="2"/>
  <c r="M37" i="2" s="1"/>
  <c r="S11" i="2"/>
  <c r="T11" i="2"/>
  <c r="T12" i="2" s="1"/>
  <c r="AI47" i="2"/>
  <c r="V27" i="2"/>
  <c r="V46" i="2" s="1"/>
  <c r="V26" i="2"/>
  <c r="V40" i="2"/>
  <c r="V32" i="2"/>
  <c r="V34" i="2" s="1"/>
  <c r="V35" i="2" s="1"/>
  <c r="V47" i="2" s="1"/>
  <c r="U32" i="2"/>
  <c r="U34" i="2" s="1"/>
  <c r="U40" i="2"/>
  <c r="T36" i="2"/>
  <c r="P15" i="2"/>
  <c r="T16" i="2" s="1"/>
  <c r="N36" i="2"/>
  <c r="N37" i="2" s="1"/>
  <c r="N47" i="2"/>
  <c r="R36" i="2"/>
  <c r="R47" i="2"/>
  <c r="K10" i="2"/>
  <c r="L11" i="2" s="1"/>
  <c r="P12" i="2" s="1"/>
  <c r="K27" i="2"/>
  <c r="AK38" i="2"/>
  <c r="AL38" i="2" s="1"/>
  <c r="AM38" i="2" s="1"/>
  <c r="AN38" i="2" s="1"/>
  <c r="R12" i="2"/>
  <c r="Q36" i="2"/>
  <c r="Q47" i="2"/>
  <c r="P36" i="2"/>
  <c r="P47" i="2"/>
  <c r="AJ36" i="2"/>
  <c r="AJ37" i="2" s="1"/>
  <c r="AJ47" i="2"/>
  <c r="O32" i="2"/>
  <c r="O34" i="2" s="1"/>
  <c r="O46" i="2"/>
  <c r="S16" i="2"/>
  <c r="AM31" i="2"/>
  <c r="Q16" i="2"/>
  <c r="S27" i="2"/>
  <c r="S40" i="2"/>
  <c r="R16" i="2"/>
  <c r="O11" i="2"/>
  <c r="S12" i="2" s="1"/>
  <c r="P16" i="2" l="1"/>
  <c r="Q37" i="2"/>
  <c r="Q69" i="2"/>
  <c r="AH36" i="2"/>
  <c r="AH37" i="2" s="1"/>
  <c r="AH47" i="2"/>
  <c r="U47" i="2"/>
  <c r="U46" i="2"/>
  <c r="P37" i="2"/>
  <c r="P69" i="2"/>
  <c r="V36" i="2"/>
  <c r="V37" i="2" s="1"/>
  <c r="T37" i="2"/>
  <c r="T69" i="2"/>
  <c r="O36" i="2"/>
  <c r="O47" i="2"/>
  <c r="K46" i="2"/>
  <c r="K32" i="2"/>
  <c r="K34" i="2" s="1"/>
  <c r="R37" i="2"/>
  <c r="R69" i="2"/>
  <c r="S32" i="2"/>
  <c r="S34" i="2" s="1"/>
  <c r="S46" i="2"/>
  <c r="AO38" i="2"/>
  <c r="AK40" i="2"/>
  <c r="AK27" i="2"/>
  <c r="AK46" i="2" s="1"/>
  <c r="AN31" i="2"/>
  <c r="K36" i="2" l="1"/>
  <c r="K37" i="2" s="1"/>
  <c r="K47" i="2"/>
  <c r="O37" i="2"/>
  <c r="O69" i="2"/>
  <c r="U36" i="2"/>
  <c r="S36" i="2"/>
  <c r="S37" i="2" s="1"/>
  <c r="S47" i="2"/>
  <c r="S69" i="2"/>
  <c r="AP38" i="2"/>
  <c r="AO31" i="2"/>
  <c r="AK32" i="2"/>
  <c r="AK34" i="2" s="1"/>
  <c r="AL27" i="2"/>
  <c r="AL46" i="2" s="1"/>
  <c r="AL40" i="2"/>
  <c r="AK26" i="2"/>
  <c r="U37" i="2" l="1"/>
  <c r="U49" i="2"/>
  <c r="V49" i="2" s="1"/>
  <c r="AK49" i="2" s="1"/>
  <c r="AL33" i="2" s="1"/>
  <c r="AK35" i="2"/>
  <c r="AK47" i="2" s="1"/>
  <c r="AQ38" i="2"/>
  <c r="AQ28" i="2"/>
  <c r="AP31" i="2"/>
  <c r="AL26" i="2"/>
  <c r="AL32" i="2"/>
  <c r="AM27" i="2"/>
  <c r="AM46" i="2" s="1"/>
  <c r="AM40" i="2"/>
  <c r="AL34" i="2" l="1"/>
  <c r="AL35" i="2" s="1"/>
  <c r="AL47" i="2" s="1"/>
  <c r="AK36" i="2"/>
  <c r="AK37" i="2" s="1"/>
  <c r="AR38" i="2"/>
  <c r="AM26" i="2"/>
  <c r="AM32" i="2"/>
  <c r="AN27" i="2"/>
  <c r="AN46" i="2" s="1"/>
  <c r="AN40" i="2"/>
  <c r="AR28" i="2"/>
  <c r="AQ31" i="2"/>
  <c r="AL36" i="2" l="1"/>
  <c r="AS38" i="2"/>
  <c r="AS28" i="2"/>
  <c r="AS31" i="2" s="1"/>
  <c r="AR31" i="2"/>
  <c r="AN26" i="2"/>
  <c r="AN32" i="2"/>
  <c r="AP25" i="2"/>
  <c r="AO27" i="2"/>
  <c r="AO46" i="2" s="1"/>
  <c r="AO40" i="2"/>
  <c r="AL49" i="2" l="1"/>
  <c r="AM33" i="2" s="1"/>
  <c r="AL37" i="2"/>
  <c r="AQ25" i="2"/>
  <c r="AP27" i="2"/>
  <c r="AP26" i="2" s="1"/>
  <c r="AP40" i="2"/>
  <c r="AO26" i="2"/>
  <c r="AO32" i="2"/>
  <c r="AP32" i="2" l="1"/>
  <c r="AP46" i="2"/>
  <c r="AM34" i="2"/>
  <c r="AR25" i="2"/>
  <c r="AQ27" i="2"/>
  <c r="AQ26" i="2" s="1"/>
  <c r="AQ40" i="2"/>
  <c r="AQ32" i="2" l="1"/>
  <c r="AQ46" i="2"/>
  <c r="AM35" i="2"/>
  <c r="AM47" i="2" s="1"/>
  <c r="AS25" i="2"/>
  <c r="AR27" i="2"/>
  <c r="AR26" i="2" s="1"/>
  <c r="AR40" i="2"/>
  <c r="AR32" i="2" l="1"/>
  <c r="AR46" i="2"/>
  <c r="AM36" i="2"/>
  <c r="AS40" i="2"/>
  <c r="AS27" i="2"/>
  <c r="AS32" i="2" l="1"/>
  <c r="AS46" i="2"/>
  <c r="AS26" i="2"/>
  <c r="AM37" i="2"/>
  <c r="AM49" i="2"/>
  <c r="AN33" i="2" s="1"/>
  <c r="AN34" i="2" l="1"/>
  <c r="AN35" i="2" l="1"/>
  <c r="AN47" i="2" s="1"/>
  <c r="AN36" i="2" l="1"/>
  <c r="AN37" i="2" s="1"/>
  <c r="AN49" i="2" l="1"/>
  <c r="AO33" i="2" s="1"/>
  <c r="AO34" i="2" s="1"/>
  <c r="AO35" i="2" l="1"/>
  <c r="AO47" i="2" s="1"/>
  <c r="AO36" i="2" l="1"/>
  <c r="AO37" i="2"/>
  <c r="AO49" i="2"/>
  <c r="AP33" i="2" s="1"/>
  <c r="AP34" i="2" l="1"/>
  <c r="AP35" i="2" l="1"/>
  <c r="AP47" i="2" s="1"/>
  <c r="AP36" i="2" l="1"/>
  <c r="AP37" i="2" l="1"/>
  <c r="AP49" i="2"/>
  <c r="AQ33" i="2" s="1"/>
  <c r="AQ34" i="2" l="1"/>
  <c r="AQ35" i="2" l="1"/>
  <c r="AQ47" i="2" s="1"/>
  <c r="AQ36" i="2" l="1"/>
  <c r="AQ37" i="2" l="1"/>
  <c r="AQ49" i="2"/>
  <c r="AR33" i="2" s="1"/>
  <c r="AR34" i="2" l="1"/>
  <c r="AR35" i="2" l="1"/>
  <c r="AR47" i="2" s="1"/>
  <c r="AR36" i="2" l="1"/>
  <c r="AR37" i="2" l="1"/>
  <c r="AR49" i="2"/>
  <c r="AS33" i="2" s="1"/>
  <c r="AS34" i="2" l="1"/>
  <c r="AS35" i="2" l="1"/>
  <c r="AS47" i="2" s="1"/>
  <c r="AS36" i="2" l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AX46" i="2" s="1"/>
  <c r="AX50" i="2" s="1"/>
  <c r="AX51" i="2" l="1"/>
  <c r="AS37" i="2"/>
  <c r="AS49" i="2"/>
</calcChain>
</file>

<file path=xl/sharedStrings.xml><?xml version="1.0" encoding="utf-8"?>
<sst xmlns="http://schemas.openxmlformats.org/spreadsheetml/2006/main" count="221" uniqueCount="187">
  <si>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</si>
  <si>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</si>
  <si>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</si>
  <si>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</si>
  <si>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</si>
  <si>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</si>
  <si>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</si>
  <si>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</si>
  <si>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</si>
  <si>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</si>
  <si>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</si>
  <si>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</si>
  <si>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</si>
  <si>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</si>
  <si>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</si>
  <si>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</si>
  <si>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</si>
  <si>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</si>
  <si>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</si>
  <si>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</si>
  <si>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</si>
  <si>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</si>
  <si>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</si>
  <si>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</si>
  <si>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</si>
  <si>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</si>
  <si>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</si>
  <si>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</si>
  <si>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</si>
  <si>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</si>
  <si>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</si>
  <si>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</si>
  <si>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</si>
  <si>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</si>
  <si>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</si>
  <si>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</si>
  <si>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</si>
  <si>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</si>
  <si>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</si>
  <si>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</si>
  <si>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</si>
  <si>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</si>
  <si>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</si>
  <si>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</si>
  <si>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</si>
  <si>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</si>
  <si>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</si>
  <si>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</si>
  <si>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</si>
  <si>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</si>
  <si>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</si>
  <si>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</si>
  <si>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</si>
  <si>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</si>
  <si>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</si>
  <si>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</si>
  <si>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</si>
  <si>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</si>
  <si>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</si>
  <si>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</si>
  <si>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</si>
  <si>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</si>
  <si>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</si>
  <si>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</si>
  <si>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</si>
  <si>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</si>
  <si>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</si>
  <si>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</si>
  <si>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</si>
  <si>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</si>
  <si>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</si>
  <si>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</si>
  <si>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</si>
  <si>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</si>
  <si>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</si>
  <si>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</si>
  <si>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</si>
  <si>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</si>
  <si>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</si>
  <si>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</si>
  <si>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</si>
  <si>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</si>
  <si>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</si>
  <si>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</si>
  <si>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</si>
  <si>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</si>
  <si>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Class A</t>
  </si>
  <si>
    <t>Class B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</si>
  <si>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</si>
  <si>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</si>
  <si>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</si>
  <si>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</si>
  <si>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</si>
  <si>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</si>
  <si>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</si>
  <si>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USCA Ads</t>
  </si>
  <si>
    <t>EU Ads</t>
  </si>
  <si>
    <t>20% of time Reels</t>
  </si>
  <si>
    <t>50% of time Video</t>
  </si>
  <si>
    <t>APAC Ads</t>
  </si>
  <si>
    <t>Reality y/y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</si>
  <si>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</si>
  <si>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</si>
  <si>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</si>
  <si>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</si>
  <si>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</si>
  <si>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</si>
  <si>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</si>
  <si>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</si>
  <si>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</si>
  <si>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</si>
  <si>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</si>
  <si>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ROW Ads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</si>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</sst>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0" fillId="2" borderId="0" xfId="0" applyFill="1"/>
    <xf numFmtId="3" fontId="0" fillId="2" borderId="0" xfId="0" applyNumberFormat="1" applyFill="1"/>
    <xf numFmtId="9" fontId="0" fillId="2" borderId="0" xfId="0" applyNumberFormat="1" applyFill="1"/>
    <xf numFmtId="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36909</xdr:colOff>
      <xdr:row>0</xdr:row>
      <xdr:rowOff>120253</xdr:rowOff>
    </xdr:from>
    <xdr:to>
      <xdr:col>21</xdr:col>
      <xdr:colOff>36909</xdr:colOff>
      <xdr:row>115</xdr:row>
      <xdr:rowOff>120254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3175456" y="120253"/>
          <a:ext cx="0" cy="18484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28575</xdr:colOff>
      <xdr:row>53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11"/>
  <sheetViews>
    <sheetView workbookViewId="0">
      <selection activeCell="C11" sqref="C11"/>
    </sheetView>
  </sheetViews>
  <sheetFormatPr defaultRowHeight="12.75" x14ac:dyDescent="0.2"/>
  <cols>
    <col min="2" max="2" width="13" customWidth="1"/>
  </cols>
  <sheetData>
    <row r="1" spans="1:14" x14ac:dyDescent="0.2">
      <c r="A1" t="s">
        <v>0</v>
      </c>
    </row>
    <row r="2" spans="1:14" x14ac:dyDescent="0.2">
      <c r="L2" t="s">
        <v>1</v>
      </c>
      <c r="M2" s="17">
        <v>100</v>
      </c>
    </row>
    <row r="3" spans="1:14" x14ac:dyDescent="0.2">
      <c r="B3" t="s">
        <v>29</v>
      </c>
      <c r="C3" t="s">
        <v>98</v>
      </c>
      <c r="L3" t="s">
        <v>2</v>
      </c>
      <c r="M3" s="3">
        <v>2713</v>
      </c>
      <c r="N3" s="1" t="s">
        <v>21</v>
      </c>
    </row>
    <row r="4" spans="1:14" x14ac:dyDescent="0.2">
      <c r="B4" t="s">
        <v>30</v>
      </c>
      <c r="C4" t="s">
        <v>97</v>
      </c>
      <c r="L4" t="s">
        <v>3</v>
      </c>
      <c r="M4" s="3">
        <f>+M3*M2</f>
        <v>271300</v>
      </c>
    </row>
    <row r="5" spans="1:14" x14ac:dyDescent="0.2">
      <c r="C5" t="s">
        <v>117</v>
      </c>
      <c r="L5" t="s">
        <v>4</v>
      </c>
      <c r="M5" s="3">
        <v>47025</v>
      </c>
      <c r="N5" s="1" t="s">
        <v>21</v>
      </c>
    </row>
    <row r="6" spans="1:14" x14ac:dyDescent="0.2">
      <c r="B6" t="s">
        <v>31</v>
      </c>
      <c r="L6" t="s">
        <v>5</v>
      </c>
      <c r="M6" s="3">
        <v>0</v>
      </c>
      <c r="N6" s="1" t="s">
        <v>21</v>
      </c>
    </row>
    <row r="7" spans="1:14" x14ac:dyDescent="0.2">
      <c r="L7" t="s">
        <v>6</v>
      </c>
      <c r="M7" s="3">
        <f>+M4-M5+M6</f>
        <v>224275</v>
      </c>
    </row>
    <row r="8" spans="1:14" x14ac:dyDescent="0.2">
      <c r="B8" s="5" t="s">
        <v>34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86</v>
      </c>
      <c r="M10" s="3">
        <v>1865.970703</v>
      </c>
    </row>
    <row r="11" spans="1:14" x14ac:dyDescent="0.2">
      <c r="L11" t="s">
        <v>87</v>
      </c>
      <c r="M11" s="3">
        <v>366.55794300000002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CW96"/>
  <sheetViews>
    <sheetView tabSelected="1" zoomScaleNormal="100" workbookViewId="0">
      <pane xSplit="2" ySplit="2" topLeftCell="AG18" activePane="bottomRight" state="frozen"/>
      <selection pane="topRight" activeCell="C1" sqref="C1"/>
      <selection pane="bottomLeft" activeCell="A3" sqref="A3"/>
      <selection pane="bottomRight" activeCell="AX41" sqref="AX41"/>
    </sheetView>
  </sheetViews>
  <sheetFormatPr defaultRowHeight="12.75" x14ac:dyDescent="0.2"/>
  <cols>
    <col min="1" max="1" width="5" bestFit="1" customWidth="1"/>
    <col min="2" max="2" width="19" customWidth="1"/>
    <col min="3" max="25" width="9.140625" style="1"/>
  </cols>
  <sheetData>
    <row r="1" spans="1:45" x14ac:dyDescent="0.2">
      <c r="A1" s="2" t="s">
        <v>7</v>
      </c>
    </row>
    <row r="2" spans="1:45" x14ac:dyDescent="0.2">
      <c r="C2" s="1" t="s">
        <v>116</v>
      </c>
      <c r="D2" s="1" t="s">
        <v>115</v>
      </c>
      <c r="E2" s="1" t="s">
        <v>114</v>
      </c>
      <c r="F2" s="1" t="s">
        <v>113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108</v>
      </c>
      <c r="X2" s="1" t="s">
        <v>109</v>
      </c>
      <c r="Y2" s="1" t="s">
        <v>110</v>
      </c>
      <c r="Z2" s="1" t="s">
        <v>111</v>
      </c>
      <c r="AD2">
        <v>2015</v>
      </c>
      <c r="AE2">
        <f>+AD2+1</f>
        <v>2016</v>
      </c>
      <c r="AF2">
        <f t="shared" ref="AF2:AS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</row>
    <row r="3" spans="1:45" s="3" customFormat="1" x14ac:dyDescent="0.2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/>
      <c r="W3" s="6"/>
      <c r="X3" s="6"/>
      <c r="Y3" s="6"/>
    </row>
    <row r="4" spans="1:45" s="3" customFormat="1" x14ac:dyDescent="0.2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/>
      <c r="W4" s="6"/>
      <c r="X4" s="6"/>
      <c r="Y4" s="6"/>
    </row>
    <row r="5" spans="1:45" s="3" customFormat="1" x14ac:dyDescent="0.2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1980</v>
      </c>
      <c r="V5" s="6"/>
      <c r="W5" s="6"/>
      <c r="X5" s="6"/>
      <c r="Y5" s="6"/>
    </row>
    <row r="6" spans="1:45" s="3" customFormat="1" x14ac:dyDescent="0.2">
      <c r="B6" s="3" t="s">
        <v>94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/>
      <c r="V6" s="6"/>
      <c r="W6" s="6"/>
      <c r="X6" s="6"/>
      <c r="Y6" s="6"/>
    </row>
    <row r="7" spans="1:45" s="3" customFormat="1" x14ac:dyDescent="0.2">
      <c r="B7" s="3" t="s">
        <v>28</v>
      </c>
      <c r="C7" s="6"/>
      <c r="D7" s="6"/>
      <c r="E7" s="6"/>
      <c r="F7" s="6"/>
      <c r="G7" s="6">
        <v>2380</v>
      </c>
      <c r="H7" s="6">
        <v>2410</v>
      </c>
      <c r="I7" s="6">
        <v>2450</v>
      </c>
      <c r="J7" s="6">
        <v>2500</v>
      </c>
      <c r="K7" s="6">
        <v>2603</v>
      </c>
      <c r="L7" s="6">
        <v>2701</v>
      </c>
      <c r="M7" s="6">
        <v>2740</v>
      </c>
      <c r="N7" s="6">
        <v>2797</v>
      </c>
      <c r="O7" s="6">
        <v>2853</v>
      </c>
      <c r="P7" s="6">
        <v>2895</v>
      </c>
      <c r="Q7" s="6">
        <v>2910</v>
      </c>
      <c r="R7" s="6">
        <v>2912</v>
      </c>
      <c r="S7" s="6">
        <v>2936</v>
      </c>
      <c r="T7" s="6">
        <v>2934</v>
      </c>
      <c r="U7" s="6">
        <v>2960</v>
      </c>
      <c r="V7" s="6"/>
      <c r="W7" s="6"/>
      <c r="X7" s="6"/>
      <c r="Y7" s="6"/>
    </row>
    <row r="8" spans="1:45" s="3" customFormat="1" x14ac:dyDescent="0.2">
      <c r="B8" s="3" t="s">
        <v>94</v>
      </c>
      <c r="C8" s="6"/>
      <c r="D8" s="6"/>
      <c r="E8" s="6"/>
      <c r="F8" s="6"/>
      <c r="G8" s="6"/>
      <c r="H8" s="6"/>
      <c r="I8" s="6"/>
      <c r="J8" s="6"/>
      <c r="K8" s="6">
        <v>253</v>
      </c>
      <c r="L8" s="6">
        <v>256</v>
      </c>
      <c r="M8" s="6">
        <v>255</v>
      </c>
      <c r="N8" s="6">
        <v>258</v>
      </c>
      <c r="O8" s="6">
        <v>259</v>
      </c>
      <c r="P8" s="6">
        <v>259</v>
      </c>
      <c r="Q8" s="6">
        <v>261</v>
      </c>
      <c r="R8" s="6">
        <v>262</v>
      </c>
      <c r="S8" s="6">
        <v>263</v>
      </c>
      <c r="T8" s="6">
        <v>264</v>
      </c>
      <c r="U8" s="6"/>
      <c r="V8" s="6"/>
      <c r="W8" s="6"/>
      <c r="X8" s="6"/>
      <c r="Y8" s="6"/>
    </row>
    <row r="9" spans="1:45" s="3" customFormat="1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45" s="3" customFormat="1" x14ac:dyDescent="0.2">
      <c r="B10" s="3" t="s">
        <v>91</v>
      </c>
      <c r="C10" s="6"/>
      <c r="D10" s="6"/>
      <c r="E10" s="6"/>
      <c r="F10" s="6"/>
      <c r="G10" s="6"/>
      <c r="H10" s="6"/>
      <c r="I10" s="6"/>
      <c r="J10" s="6"/>
      <c r="K10" s="9">
        <f t="shared" ref="K10:R10" si="1">+K25/K4</f>
        <v>5.9321070234113709</v>
      </c>
      <c r="L10" s="9">
        <f t="shared" si="1"/>
        <v>5.9512738853503189</v>
      </c>
      <c r="M10" s="9">
        <f t="shared" si="1"/>
        <v>6.6884735202492216</v>
      </c>
      <c r="N10" s="9">
        <f t="shared" si="1"/>
        <v>8.5066666666666659</v>
      </c>
      <c r="O10" s="9">
        <f t="shared" si="1"/>
        <v>7.5857971014492751</v>
      </c>
      <c r="P10" s="9">
        <f t="shared" si="1"/>
        <v>8.2840455840455842</v>
      </c>
      <c r="Q10" s="9">
        <f t="shared" si="1"/>
        <v>8.1033519553072626</v>
      </c>
      <c r="R10" s="9">
        <f t="shared" si="1"/>
        <v>9.3791086350974933</v>
      </c>
      <c r="S10" s="9">
        <f>+S25/S4</f>
        <v>7.6670329670329673</v>
      </c>
      <c r="T10" s="9">
        <f>+T25/T4</f>
        <v>7.8964383561643832</v>
      </c>
      <c r="U10" s="9">
        <f>+U25/U4</f>
        <v>7.4700808625336927</v>
      </c>
      <c r="V10" s="6"/>
      <c r="W10" s="6"/>
      <c r="X10" s="6"/>
      <c r="Y10" s="6"/>
    </row>
    <row r="11" spans="1:45" s="3" customFormat="1" x14ac:dyDescent="0.2">
      <c r="B11" s="3" t="s">
        <v>92</v>
      </c>
      <c r="C11" s="6"/>
      <c r="D11" s="6"/>
      <c r="E11" s="6"/>
      <c r="F11" s="6"/>
      <c r="G11" s="6"/>
      <c r="H11" s="6"/>
      <c r="I11" s="6"/>
      <c r="J11" s="6"/>
      <c r="K11" s="9"/>
      <c r="L11" s="9">
        <f t="shared" ref="L11:R11" si="2">AVERAGE(K10:L10)</f>
        <v>5.9416904543808453</v>
      </c>
      <c r="M11" s="9">
        <f t="shared" si="2"/>
        <v>6.3198737027997698</v>
      </c>
      <c r="N11" s="9">
        <f t="shared" si="2"/>
        <v>7.5975700934579438</v>
      </c>
      <c r="O11" s="9">
        <f t="shared" si="2"/>
        <v>8.0462318840579705</v>
      </c>
      <c r="P11" s="9">
        <f t="shared" si="2"/>
        <v>7.9349213427474297</v>
      </c>
      <c r="Q11" s="9">
        <f t="shared" si="2"/>
        <v>8.1936987696764234</v>
      </c>
      <c r="R11" s="9">
        <f t="shared" si="2"/>
        <v>8.7412302952023779</v>
      </c>
      <c r="S11" s="9">
        <f>AVERAGE(R10:S10)</f>
        <v>8.5230708010652307</v>
      </c>
      <c r="T11" s="9">
        <f>AVERAGE(S10:T10)</f>
        <v>7.7817356615986757</v>
      </c>
      <c r="U11" s="9">
        <f>AVERAGE(T10:U10)</f>
        <v>7.6832596093490384</v>
      </c>
      <c r="V11" s="6"/>
      <c r="W11" s="6"/>
      <c r="X11" s="6"/>
      <c r="Y11" s="6"/>
    </row>
    <row r="12" spans="1:45" s="13" customFormat="1" x14ac:dyDescent="0.2">
      <c r="B12" s="13" t="s">
        <v>93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5"/>
      <c r="O12" s="16"/>
      <c r="P12" s="16">
        <f t="shared" ref="P12:R12" si="3">P11/L11-1</f>
        <v>0.33546528612862403</v>
      </c>
      <c r="Q12" s="16">
        <f t="shared" si="3"/>
        <v>0.29649723317200616</v>
      </c>
      <c r="R12" s="16">
        <f t="shared" si="3"/>
        <v>0.15052973354325583</v>
      </c>
      <c r="S12" s="16">
        <f>S11/O11-1</f>
        <v>5.9262388143700218E-2</v>
      </c>
      <c r="T12" s="16">
        <f>T11/P11-1</f>
        <v>-1.9305255154011935E-2</v>
      </c>
      <c r="U12" s="16">
        <f>U11/Q11-1</f>
        <v>-6.2296549418736191E-2</v>
      </c>
      <c r="V12" s="14"/>
      <c r="W12" s="14"/>
      <c r="X12" s="14"/>
      <c r="Y12" s="14"/>
    </row>
    <row r="13" spans="1:45" s="3" customFormat="1" x14ac:dyDescent="0.2">
      <c r="B13" s="3" t="s">
        <v>84</v>
      </c>
      <c r="C13" s="6"/>
      <c r="D13" s="6"/>
      <c r="E13" s="6"/>
      <c r="F13" s="6"/>
      <c r="G13" s="6"/>
      <c r="H13" s="6"/>
      <c r="I13" s="6"/>
      <c r="J13" s="6"/>
      <c r="K13" s="9">
        <f t="shared" ref="K13:R13" si="4">+K24/K4</f>
        <v>5.8327759197324411</v>
      </c>
      <c r="L13" s="9">
        <f t="shared" si="4"/>
        <v>5.834713375796178</v>
      </c>
      <c r="M13" s="9">
        <f t="shared" si="4"/>
        <v>6.6109034267912774</v>
      </c>
      <c r="N13" s="9">
        <f t="shared" si="4"/>
        <v>8.2384848484848483</v>
      </c>
      <c r="O13" s="9">
        <f t="shared" si="4"/>
        <v>7.373623188405797</v>
      </c>
      <c r="P13" s="9">
        <f t="shared" si="4"/>
        <v>8.1424501424501425</v>
      </c>
      <c r="Q13" s="9">
        <f t="shared" si="4"/>
        <v>7.8983240223463689</v>
      </c>
      <c r="R13" s="9">
        <f t="shared" si="4"/>
        <v>9.0916434540389979</v>
      </c>
      <c r="S13" s="9">
        <f>+S24/S4</f>
        <v>7.4170329670329673</v>
      </c>
      <c r="T13" s="9">
        <f>+T24/T4</f>
        <v>7.7128767123287671</v>
      </c>
      <c r="U13" s="9">
        <f>+U24/U4</f>
        <v>7.3415094339622637</v>
      </c>
      <c r="V13" s="6"/>
      <c r="W13" s="6"/>
      <c r="X13" s="6"/>
      <c r="Y13" s="6"/>
    </row>
    <row r="14" spans="1:45" s="3" customFormat="1" x14ac:dyDescent="0.2">
      <c r="B14" s="3" t="s">
        <v>85</v>
      </c>
      <c r="C14" s="6"/>
      <c r="D14" s="6"/>
      <c r="E14" s="6"/>
      <c r="F14" s="6"/>
      <c r="G14" s="6"/>
      <c r="H14" s="6"/>
      <c r="I14" s="6"/>
      <c r="J14" s="6"/>
      <c r="K14" s="9">
        <f t="shared" ref="K14:R14" si="5">+K24/K3</f>
        <v>7.3898305084745761</v>
      </c>
      <c r="L14" s="9">
        <f t="shared" si="5"/>
        <v>7.4174089068825912</v>
      </c>
      <c r="M14" s="9">
        <f t="shared" si="5"/>
        <v>8.3547244094488189</v>
      </c>
      <c r="N14" s="9">
        <f t="shared" si="5"/>
        <v>10.456538461538461</v>
      </c>
      <c r="O14" s="9">
        <f t="shared" si="5"/>
        <v>9.3525735294117656</v>
      </c>
      <c r="P14" s="9">
        <f t="shared" si="5"/>
        <v>10.355072463768115</v>
      </c>
      <c r="Q14" s="9">
        <f t="shared" si="5"/>
        <v>10.062633451957295</v>
      </c>
      <c r="R14" s="9">
        <f t="shared" si="5"/>
        <v>11.574113475177304</v>
      </c>
      <c r="S14" s="9">
        <f>+S24/S3</f>
        <v>9.4069686411149824</v>
      </c>
      <c r="T14" s="9">
        <f t="shared" ref="T14:U14" si="6">+T24/T3</f>
        <v>9.7750000000000004</v>
      </c>
      <c r="U14" s="9">
        <f t="shared" si="6"/>
        <v>9.2959044368600683</v>
      </c>
      <c r="V14" s="6"/>
      <c r="W14" s="6"/>
      <c r="X14" s="6"/>
      <c r="Y14" s="6"/>
    </row>
    <row r="15" spans="1:45" s="3" customFormat="1" x14ac:dyDescent="0.2">
      <c r="B15" s="3" t="s">
        <v>92</v>
      </c>
      <c r="C15" s="6"/>
      <c r="D15" s="6"/>
      <c r="E15" s="6"/>
      <c r="F15" s="6"/>
      <c r="G15" s="6"/>
      <c r="H15" s="6"/>
      <c r="I15" s="6"/>
      <c r="J15" s="6"/>
      <c r="K15" s="9"/>
      <c r="L15" s="9">
        <f t="shared" ref="L15:R15" si="7">AVERAGE(K14:L14)</f>
        <v>7.4036197076785832</v>
      </c>
      <c r="M15" s="9">
        <f t="shared" si="7"/>
        <v>7.8860666581657046</v>
      </c>
      <c r="N15" s="9">
        <f t="shared" si="7"/>
        <v>9.405631435493639</v>
      </c>
      <c r="O15" s="9">
        <f t="shared" si="7"/>
        <v>9.9045559954751141</v>
      </c>
      <c r="P15" s="9">
        <f t="shared" si="7"/>
        <v>9.8538229965899404</v>
      </c>
      <c r="Q15" s="9">
        <f t="shared" si="7"/>
        <v>10.208852957862705</v>
      </c>
      <c r="R15" s="9">
        <f t="shared" si="7"/>
        <v>10.818373463567299</v>
      </c>
      <c r="S15" s="9">
        <f>AVERAGE(R14:S14)</f>
        <v>10.490541058146142</v>
      </c>
      <c r="T15" s="9">
        <f t="shared" ref="T15:U15" si="8">AVERAGE(S14:T14)</f>
        <v>9.5909843205574923</v>
      </c>
      <c r="U15" s="9">
        <f t="shared" si="8"/>
        <v>9.5354522184300343</v>
      </c>
      <c r="V15" s="6"/>
      <c r="W15" s="6"/>
      <c r="X15" s="6"/>
      <c r="Y15" s="6"/>
    </row>
    <row r="16" spans="1:45" s="13" customFormat="1" x14ac:dyDescent="0.2">
      <c r="B16" s="13" t="s">
        <v>93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>
        <f t="shared" ref="P16:R16" si="9">P15/L15-1</f>
        <v>0.33094667009573109</v>
      </c>
      <c r="Q16" s="16">
        <f t="shared" si="9"/>
        <v>0.29454307202588104</v>
      </c>
      <c r="R16" s="16">
        <f t="shared" si="9"/>
        <v>0.15020172093310546</v>
      </c>
      <c r="S16" s="16">
        <f>S15/O15-1</f>
        <v>5.9163183381338413E-2</v>
      </c>
      <c r="T16" s="16">
        <f>T15/P15-1</f>
        <v>-2.6673776880648981E-2</v>
      </c>
      <c r="U16" s="16">
        <f>U15/Q15-1</f>
        <v>-6.5962429100717701E-2</v>
      </c>
      <c r="V16" s="14"/>
      <c r="W16" s="14"/>
      <c r="X16" s="14"/>
      <c r="Y16" s="14"/>
    </row>
    <row r="17" spans="2:45" s="3" customFormat="1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9"/>
      <c r="T17" s="6"/>
      <c r="U17" s="6"/>
      <c r="V17" s="6"/>
      <c r="W17" s="6"/>
      <c r="X17" s="6"/>
      <c r="Y17" s="6"/>
    </row>
    <row r="18" spans="2:45" s="3" customFormat="1" x14ac:dyDescent="0.2">
      <c r="B18" s="3" t="s">
        <v>112</v>
      </c>
      <c r="C18" s="6"/>
      <c r="D18" s="6"/>
      <c r="E18" s="6"/>
      <c r="F18" s="6"/>
      <c r="G18" s="6"/>
      <c r="H18" s="6"/>
      <c r="I18" s="6"/>
      <c r="J18" s="6"/>
      <c r="K18" s="6">
        <v>1654</v>
      </c>
      <c r="L18" s="6">
        <v>1539</v>
      </c>
      <c r="M18" s="6">
        <v>1980</v>
      </c>
      <c r="N18" s="6">
        <v>2512</v>
      </c>
      <c r="O18" s="6">
        <v>2434</v>
      </c>
      <c r="P18" s="6">
        <v>2857</v>
      </c>
      <c r="Q18" s="6">
        <v>2963</v>
      </c>
      <c r="R18" s="6">
        <v>3220</v>
      </c>
      <c r="S18" s="6">
        <v>2949</v>
      </c>
      <c r="T18" s="6">
        <v>3169</v>
      </c>
      <c r="U18" s="6"/>
      <c r="V18" s="6"/>
      <c r="W18" s="6"/>
      <c r="X18" s="6"/>
      <c r="Y18" s="6"/>
    </row>
    <row r="19" spans="2:45" s="3" customFormat="1" x14ac:dyDescent="0.2">
      <c r="B19" s="3" t="s">
        <v>99</v>
      </c>
      <c r="C19" s="6"/>
      <c r="D19" s="6"/>
      <c r="E19" s="6"/>
      <c r="F19" s="6"/>
      <c r="G19" s="6"/>
      <c r="H19" s="6"/>
      <c r="I19" s="6"/>
      <c r="J19" s="6"/>
      <c r="K19" s="6">
        <v>3236</v>
      </c>
      <c r="L19" s="6">
        <v>3312</v>
      </c>
      <c r="M19" s="6">
        <v>4202</v>
      </c>
      <c r="N19" s="6">
        <v>4703</v>
      </c>
      <c r="O19" s="6">
        <v>4735</v>
      </c>
      <c r="P19" s="6">
        <v>5152</v>
      </c>
      <c r="Q19" s="6">
        <v>5398</v>
      </c>
      <c r="R19" s="6">
        <v>6183</v>
      </c>
      <c r="S19" s="6">
        <v>5661</v>
      </c>
      <c r="T19" s="6">
        <v>5835</v>
      </c>
      <c r="U19" s="6"/>
      <c r="V19" s="6"/>
      <c r="W19" s="6"/>
      <c r="X19" s="6"/>
      <c r="Y19" s="6"/>
    </row>
    <row r="20" spans="2:45" s="3" customFormat="1" x14ac:dyDescent="0.2">
      <c r="B20" s="3" t="s">
        <v>96</v>
      </c>
      <c r="C20" s="6"/>
      <c r="D20" s="6"/>
      <c r="E20" s="6"/>
      <c r="F20" s="6"/>
      <c r="G20" s="6"/>
      <c r="H20" s="6"/>
      <c r="I20" s="6"/>
      <c r="J20" s="6"/>
      <c r="K20" s="6">
        <v>4171</v>
      </c>
      <c r="L20" s="6">
        <v>4411</v>
      </c>
      <c r="M20" s="6">
        <v>5051</v>
      </c>
      <c r="N20" s="6">
        <v>6822</v>
      </c>
      <c r="O20" s="6">
        <v>6373</v>
      </c>
      <c r="P20" s="6">
        <v>7205</v>
      </c>
      <c r="Q20" s="6">
        <v>6821</v>
      </c>
      <c r="R20" s="6">
        <v>8174</v>
      </c>
      <c r="S20" s="6">
        <v>6364</v>
      </c>
      <c r="T20" s="6">
        <v>6360</v>
      </c>
      <c r="U20" s="6"/>
      <c r="V20" s="6"/>
      <c r="W20" s="6"/>
      <c r="X20" s="6"/>
      <c r="Y20" s="6"/>
    </row>
    <row r="21" spans="2:45" s="3" customFormat="1" x14ac:dyDescent="0.2">
      <c r="B21" s="3" t="s">
        <v>95</v>
      </c>
      <c r="C21" s="6"/>
      <c r="D21" s="6"/>
      <c r="E21" s="6"/>
      <c r="F21" s="6"/>
      <c r="G21" s="6"/>
      <c r="H21" s="6"/>
      <c r="I21" s="6"/>
      <c r="J21" s="6"/>
      <c r="K21" s="6">
        <v>8379</v>
      </c>
      <c r="L21" s="6">
        <v>9059</v>
      </c>
      <c r="M21" s="6">
        <v>9988</v>
      </c>
      <c r="N21" s="6">
        <v>13150</v>
      </c>
      <c r="O21" s="6">
        <v>11897</v>
      </c>
      <c r="P21" s="6">
        <v>13366</v>
      </c>
      <c r="Q21" s="6">
        <v>13094</v>
      </c>
      <c r="R21" s="6">
        <v>15062</v>
      </c>
      <c r="S21" s="6">
        <v>12024</v>
      </c>
      <c r="T21" s="6">
        <v>12788</v>
      </c>
      <c r="U21" s="6"/>
      <c r="V21" s="6"/>
      <c r="W21" s="6"/>
      <c r="X21" s="6"/>
      <c r="Y21" s="6"/>
    </row>
    <row r="22" spans="2:45" s="3" customFormat="1" x14ac:dyDescent="0.2">
      <c r="B22" s="3" t="s">
        <v>55</v>
      </c>
      <c r="C22" s="6">
        <v>171</v>
      </c>
      <c r="D22" s="6">
        <v>193</v>
      </c>
      <c r="E22" s="6">
        <v>188</v>
      </c>
      <c r="F22" s="6">
        <v>274</v>
      </c>
      <c r="G22" s="6">
        <v>165</v>
      </c>
      <c r="H22" s="6">
        <v>262</v>
      </c>
      <c r="I22" s="6">
        <v>269</v>
      </c>
      <c r="J22" s="6">
        <v>346</v>
      </c>
      <c r="K22" s="6">
        <v>297</v>
      </c>
      <c r="L22" s="6"/>
      <c r="M22" s="6"/>
      <c r="N22" s="6">
        <v>168</v>
      </c>
      <c r="O22" s="6">
        <v>198</v>
      </c>
      <c r="P22" s="6">
        <v>192</v>
      </c>
      <c r="Q22" s="6">
        <v>176</v>
      </c>
      <c r="R22" s="6">
        <v>155</v>
      </c>
      <c r="S22" s="6">
        <v>215</v>
      </c>
      <c r="T22" s="6">
        <v>218</v>
      </c>
      <c r="U22" s="6">
        <v>192</v>
      </c>
      <c r="V22" s="6">
        <f>+U22</f>
        <v>192</v>
      </c>
      <c r="W22" s="6"/>
      <c r="X22" s="6"/>
      <c r="Y22" s="6"/>
      <c r="AG22" s="3">
        <v>825</v>
      </c>
      <c r="AH22" s="3">
        <v>541</v>
      </c>
      <c r="AI22" s="3">
        <v>657</v>
      </c>
      <c r="AJ22" s="3">
        <v>721</v>
      </c>
    </row>
    <row r="23" spans="2:45" s="3" customFormat="1" x14ac:dyDescent="0.2">
      <c r="B23" s="3" t="s">
        <v>83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717</v>
      </c>
      <c r="O23" s="6">
        <v>534</v>
      </c>
      <c r="P23" s="6">
        <v>305</v>
      </c>
      <c r="Q23" s="6">
        <v>558</v>
      </c>
      <c r="R23" s="6">
        <v>877</v>
      </c>
      <c r="S23" s="6">
        <v>695</v>
      </c>
      <c r="T23" s="6">
        <v>452</v>
      </c>
      <c r="U23" s="6">
        <v>285</v>
      </c>
      <c r="V23" s="6">
        <f>+R23+100</f>
        <v>977</v>
      </c>
      <c r="W23" s="6"/>
      <c r="X23" s="6"/>
      <c r="Y23" s="6"/>
      <c r="AH23" s="3">
        <v>501</v>
      </c>
      <c r="AI23" s="3">
        <v>1139</v>
      </c>
      <c r="AJ23" s="3">
        <v>2274</v>
      </c>
    </row>
    <row r="24" spans="2:45" s="3" customFormat="1" x14ac:dyDescent="0.2">
      <c r="B24" s="3" t="s">
        <v>82</v>
      </c>
      <c r="C24" s="6">
        <v>11795</v>
      </c>
      <c r="D24" s="6">
        <v>13038</v>
      </c>
      <c r="E24" s="6">
        <v>13539</v>
      </c>
      <c r="F24" s="6">
        <v>16640</v>
      </c>
      <c r="G24" s="6">
        <v>14912</v>
      </c>
      <c r="H24" s="6">
        <v>16624</v>
      </c>
      <c r="I24" s="6">
        <v>17383</v>
      </c>
      <c r="J24" s="6">
        <v>20736</v>
      </c>
      <c r="K24" s="6">
        <f>SUM(K18:K21)</f>
        <v>17440</v>
      </c>
      <c r="L24" s="6">
        <f t="shared" ref="L24:T24" si="10">SUM(L18:L21)</f>
        <v>18321</v>
      </c>
      <c r="M24" s="6">
        <f t="shared" si="10"/>
        <v>21221</v>
      </c>
      <c r="N24" s="6">
        <f t="shared" si="10"/>
        <v>27187</v>
      </c>
      <c r="O24" s="6">
        <f t="shared" si="10"/>
        <v>25439</v>
      </c>
      <c r="P24" s="6">
        <f t="shared" si="10"/>
        <v>28580</v>
      </c>
      <c r="Q24" s="6">
        <f t="shared" si="10"/>
        <v>28276</v>
      </c>
      <c r="R24" s="6">
        <f t="shared" si="10"/>
        <v>32639</v>
      </c>
      <c r="S24" s="6">
        <f t="shared" si="10"/>
        <v>26998</v>
      </c>
      <c r="T24" s="6">
        <f t="shared" si="10"/>
        <v>28152</v>
      </c>
      <c r="U24" s="6">
        <v>27237</v>
      </c>
      <c r="V24" s="6">
        <f>+R24*0.98</f>
        <v>31986.22</v>
      </c>
      <c r="W24" s="6">
        <f t="shared" ref="W24:Z24" si="11">+S24*0.98</f>
        <v>26458.04</v>
      </c>
      <c r="X24" s="6">
        <f t="shared" si="11"/>
        <v>27588.959999999999</v>
      </c>
      <c r="Y24" s="6">
        <f t="shared" si="11"/>
        <v>26692.26</v>
      </c>
      <c r="Z24" s="6">
        <f t="shared" si="11"/>
        <v>31346.495600000002</v>
      </c>
      <c r="AG24" s="3">
        <v>55013</v>
      </c>
      <c r="AH24" s="3">
        <v>69655</v>
      </c>
      <c r="AI24" s="3">
        <v>84169</v>
      </c>
      <c r="AJ24" s="3">
        <v>114934</v>
      </c>
    </row>
    <row r="25" spans="2:45" s="7" customFormat="1" x14ac:dyDescent="0.2">
      <c r="B25" s="7" t="s">
        <v>24</v>
      </c>
      <c r="C25" s="8">
        <f t="shared" ref="C25:I25" si="12">SUM(C22:C24)</f>
        <v>11966</v>
      </c>
      <c r="D25" s="8">
        <f t="shared" si="12"/>
        <v>13231</v>
      </c>
      <c r="E25" s="8">
        <f t="shared" si="12"/>
        <v>13727</v>
      </c>
      <c r="F25" s="8">
        <f t="shared" si="12"/>
        <v>16914</v>
      </c>
      <c r="G25" s="8">
        <f t="shared" ref="G25" si="13">SUM(G22:G24)</f>
        <v>15077</v>
      </c>
      <c r="H25" s="8">
        <f t="shared" si="12"/>
        <v>16886</v>
      </c>
      <c r="I25" s="8">
        <f t="shared" si="12"/>
        <v>17652</v>
      </c>
      <c r="J25" s="8">
        <f>SUM(J22:J24)</f>
        <v>21082</v>
      </c>
      <c r="K25" s="8">
        <f>SUM(K22:K24)</f>
        <v>17737</v>
      </c>
      <c r="L25" s="8">
        <v>18687</v>
      </c>
      <c r="M25" s="8">
        <v>21470</v>
      </c>
      <c r="N25" s="8">
        <v>28072</v>
      </c>
      <c r="O25" s="8">
        <f>SUM(O22:O24)</f>
        <v>26171</v>
      </c>
      <c r="P25" s="8">
        <v>29077</v>
      </c>
      <c r="Q25" s="8">
        <v>29010</v>
      </c>
      <c r="R25" s="8">
        <v>33671</v>
      </c>
      <c r="S25" s="8">
        <f>SUM(S22:S24)</f>
        <v>27908</v>
      </c>
      <c r="T25" s="8">
        <f>SUM(T22:T24)</f>
        <v>28822</v>
      </c>
      <c r="U25" s="8">
        <f>SUM(U22:U24)</f>
        <v>27714</v>
      </c>
      <c r="V25" s="8">
        <f>SUM(V22:V24)</f>
        <v>33155.22</v>
      </c>
      <c r="W25" s="8">
        <f>SUM(W22:W24)</f>
        <v>26458.04</v>
      </c>
      <c r="X25" s="8">
        <f t="shared" ref="X25:Z25" si="14">SUM(X22:X24)</f>
        <v>27588.959999999999</v>
      </c>
      <c r="Y25" s="8">
        <f t="shared" si="14"/>
        <v>26692.26</v>
      </c>
      <c r="Z25" s="8">
        <f t="shared" si="14"/>
        <v>31346.495600000002</v>
      </c>
      <c r="AD25" s="7">
        <f t="shared" ref="AD25:AG25" si="15">SUM(AD22:AD24)</f>
        <v>0</v>
      </c>
      <c r="AE25" s="7">
        <f t="shared" si="15"/>
        <v>0</v>
      </c>
      <c r="AF25" s="7">
        <f t="shared" si="15"/>
        <v>0</v>
      </c>
      <c r="AG25" s="7">
        <f t="shared" si="15"/>
        <v>55838</v>
      </c>
      <c r="AH25" s="7">
        <f>SUM(AH22:AH24)</f>
        <v>70697</v>
      </c>
      <c r="AI25" s="7">
        <f t="shared" ref="AI25:AJ25" si="16">SUM(AI22:AI24)</f>
        <v>85965</v>
      </c>
      <c r="AJ25" s="7">
        <f t="shared" si="16"/>
        <v>117929</v>
      </c>
      <c r="AK25" s="7">
        <f>SUM(S25:V25)</f>
        <v>117599.22</v>
      </c>
      <c r="AL25" s="7">
        <f>+AK25*0.95</f>
        <v>111719.25899999999</v>
      </c>
      <c r="AM25" s="7">
        <f>+AL25*0.95</f>
        <v>106133.29604999999</v>
      </c>
      <c r="AN25" s="7">
        <f>+AM25*1.1</f>
        <v>116746.625655</v>
      </c>
      <c r="AO25" s="7">
        <f>+AN25*1.05</f>
        <v>122583.95693775</v>
      </c>
      <c r="AP25" s="7">
        <f t="shared" ref="AP25:AS25" si="17">+AO25*1.03</f>
        <v>126261.4756458825</v>
      </c>
      <c r="AQ25" s="7">
        <f t="shared" si="17"/>
        <v>130049.31991525898</v>
      </c>
      <c r="AR25" s="7">
        <f t="shared" si="17"/>
        <v>133950.79951271677</v>
      </c>
      <c r="AS25" s="7">
        <f t="shared" si="17"/>
        <v>137969.32349809827</v>
      </c>
    </row>
    <row r="26" spans="2:45" s="3" customFormat="1" x14ac:dyDescent="0.2">
      <c r="B26" s="3" t="s">
        <v>36</v>
      </c>
      <c r="C26" s="6">
        <v>1927</v>
      </c>
      <c r="D26" s="6">
        <v>2214</v>
      </c>
      <c r="E26" s="6">
        <v>2418</v>
      </c>
      <c r="F26" s="6">
        <v>2796</v>
      </c>
      <c r="G26" s="6">
        <v>2816</v>
      </c>
      <c r="H26" s="6">
        <v>3307</v>
      </c>
      <c r="I26" s="6">
        <v>3155</v>
      </c>
      <c r="J26" s="6">
        <v>3492</v>
      </c>
      <c r="K26" s="6">
        <v>3459</v>
      </c>
      <c r="L26" s="6">
        <v>3829</v>
      </c>
      <c r="M26" s="6">
        <v>4194</v>
      </c>
      <c r="N26" s="6">
        <v>5210</v>
      </c>
      <c r="O26" s="6">
        <v>5131</v>
      </c>
      <c r="P26" s="6">
        <v>5399</v>
      </c>
      <c r="Q26" s="6">
        <v>5771</v>
      </c>
      <c r="R26" s="6">
        <v>6348</v>
      </c>
      <c r="S26" s="6">
        <v>6005</v>
      </c>
      <c r="T26" s="6">
        <v>5192</v>
      </c>
      <c r="U26" s="6">
        <v>5716</v>
      </c>
      <c r="V26" s="6">
        <f t="shared" ref="V26" si="18">+V25-V27</f>
        <v>6962.5962</v>
      </c>
      <c r="W26" s="6"/>
      <c r="X26" s="6"/>
      <c r="Y26" s="6"/>
      <c r="AG26" s="3">
        <v>9355</v>
      </c>
      <c r="AH26" s="3">
        <v>12770</v>
      </c>
      <c r="AI26" s="3">
        <v>16692</v>
      </c>
      <c r="AJ26" s="3">
        <v>22649</v>
      </c>
      <c r="AK26" s="3">
        <f>+AK25-AK27</f>
        <v>22343.851799999989</v>
      </c>
      <c r="AL26" s="3">
        <f t="shared" ref="AL26:AS26" si="19">+AL25-AL27</f>
        <v>21226.659209999998</v>
      </c>
      <c r="AM26" s="3">
        <f t="shared" si="19"/>
        <v>20165.326249499994</v>
      </c>
      <c r="AN26" s="3">
        <f t="shared" si="19"/>
        <v>22181.858874449987</v>
      </c>
      <c r="AO26" s="3">
        <f t="shared" si="19"/>
        <v>23290.9518181725</v>
      </c>
      <c r="AP26" s="3">
        <f t="shared" si="19"/>
        <v>23989.680372717674</v>
      </c>
      <c r="AQ26" s="3">
        <f t="shared" si="19"/>
        <v>24709.370783899198</v>
      </c>
      <c r="AR26" s="3">
        <f t="shared" si="19"/>
        <v>25450.651907416177</v>
      </c>
      <c r="AS26" s="3">
        <f t="shared" si="19"/>
        <v>26214.171464638668</v>
      </c>
    </row>
    <row r="27" spans="2:45" s="3" customFormat="1" x14ac:dyDescent="0.2">
      <c r="B27" s="3" t="s">
        <v>37</v>
      </c>
      <c r="C27" s="6">
        <f t="shared" ref="C27:D27" si="20">+C25-C26</f>
        <v>10039</v>
      </c>
      <c r="D27" s="6">
        <f t="shared" si="20"/>
        <v>11017</v>
      </c>
      <c r="E27" s="6">
        <f t="shared" ref="E27:G27" si="21">+E25-E26</f>
        <v>11309</v>
      </c>
      <c r="F27" s="6">
        <f t="shared" si="21"/>
        <v>14118</v>
      </c>
      <c r="G27" s="6">
        <f t="shared" si="21"/>
        <v>12261</v>
      </c>
      <c r="H27" s="6">
        <f t="shared" ref="H27" si="22">+H25-H26</f>
        <v>13579</v>
      </c>
      <c r="I27" s="6">
        <f t="shared" ref="I27:J27" si="23">+I25-I26</f>
        <v>14497</v>
      </c>
      <c r="J27" s="6">
        <f t="shared" si="23"/>
        <v>17590</v>
      </c>
      <c r="K27" s="6">
        <f t="shared" ref="K27:N27" si="24">+K25-K26</f>
        <v>14278</v>
      </c>
      <c r="L27" s="6">
        <f t="shared" si="24"/>
        <v>14858</v>
      </c>
      <c r="M27" s="6">
        <f t="shared" si="24"/>
        <v>17276</v>
      </c>
      <c r="N27" s="6">
        <f t="shared" si="24"/>
        <v>22862</v>
      </c>
      <c r="O27" s="6">
        <f>+O25-O26</f>
        <v>21040</v>
      </c>
      <c r="P27" s="6">
        <f t="shared" ref="P27:R27" si="25">+P25-P26</f>
        <v>23678</v>
      </c>
      <c r="Q27" s="6">
        <f t="shared" si="25"/>
        <v>23239</v>
      </c>
      <c r="R27" s="6">
        <f t="shared" si="25"/>
        <v>27323</v>
      </c>
      <c r="S27" s="6">
        <f>+S25-S26</f>
        <v>21903</v>
      </c>
      <c r="T27" s="6">
        <f>+T25-T26</f>
        <v>23630</v>
      </c>
      <c r="U27" s="6">
        <f>+U25-U26</f>
        <v>21998</v>
      </c>
      <c r="V27" s="6">
        <f>+V25*0.79</f>
        <v>26192.623800000001</v>
      </c>
      <c r="W27" s="6"/>
      <c r="X27" s="6"/>
      <c r="Y27" s="6"/>
      <c r="AG27" s="3">
        <f>+AG25-AG26</f>
        <v>46483</v>
      </c>
      <c r="AH27" s="3">
        <f>+AH25-AH26</f>
        <v>57927</v>
      </c>
      <c r="AI27" s="3">
        <f>+AI25-AI26</f>
        <v>69273</v>
      </c>
      <c r="AJ27" s="3">
        <f t="shared" ref="AJ27" si="26">+AJ25-AJ26</f>
        <v>95280</v>
      </c>
      <c r="AK27" s="3">
        <f>+AK25*0.81</f>
        <v>95255.368200000012</v>
      </c>
      <c r="AL27" s="3">
        <f t="shared" ref="AL27:AS27" si="27">+AL25*0.81</f>
        <v>90492.599789999993</v>
      </c>
      <c r="AM27" s="3">
        <f t="shared" si="27"/>
        <v>85967.969800499995</v>
      </c>
      <c r="AN27" s="3">
        <f t="shared" si="27"/>
        <v>94564.76678055001</v>
      </c>
      <c r="AO27" s="3">
        <f t="shared" si="27"/>
        <v>99293.005119577501</v>
      </c>
      <c r="AP27" s="3">
        <f t="shared" si="27"/>
        <v>102271.79527316483</v>
      </c>
      <c r="AQ27" s="3">
        <f t="shared" si="27"/>
        <v>105339.94913135978</v>
      </c>
      <c r="AR27" s="3">
        <f t="shared" si="27"/>
        <v>108500.14760530059</v>
      </c>
      <c r="AS27" s="3">
        <f t="shared" si="27"/>
        <v>111755.1520334596</v>
      </c>
    </row>
    <row r="28" spans="2:45" s="3" customFormat="1" x14ac:dyDescent="0.2">
      <c r="B28" s="3" t="s">
        <v>38</v>
      </c>
      <c r="C28" s="6">
        <v>2238</v>
      </c>
      <c r="D28" s="6">
        <v>2523</v>
      </c>
      <c r="E28" s="6">
        <v>2657</v>
      </c>
      <c r="F28" s="6">
        <v>2855</v>
      </c>
      <c r="G28" s="6">
        <v>2860</v>
      </c>
      <c r="H28" s="6">
        <v>3315</v>
      </c>
      <c r="I28" s="6">
        <v>3548</v>
      </c>
      <c r="J28" s="6">
        <v>3877</v>
      </c>
      <c r="K28" s="6">
        <v>4015</v>
      </c>
      <c r="L28" s="6">
        <v>4462</v>
      </c>
      <c r="M28" s="6">
        <v>4763</v>
      </c>
      <c r="N28" s="6">
        <v>5208</v>
      </c>
      <c r="O28" s="6">
        <v>5197</v>
      </c>
      <c r="P28" s="6">
        <v>6096</v>
      </c>
      <c r="Q28" s="6">
        <v>6316</v>
      </c>
      <c r="R28" s="6">
        <v>7046</v>
      </c>
      <c r="S28" s="6">
        <v>7707</v>
      </c>
      <c r="T28" s="6">
        <v>8690</v>
      </c>
      <c r="U28" s="6">
        <v>9170</v>
      </c>
      <c r="V28" s="6">
        <f t="shared" ref="V28" si="28">+U28-50</f>
        <v>9120</v>
      </c>
      <c r="W28" s="6"/>
      <c r="X28" s="6"/>
      <c r="Y28" s="6"/>
      <c r="AG28" s="3">
        <v>10273</v>
      </c>
      <c r="AH28" s="3">
        <v>13600</v>
      </c>
      <c r="AI28" s="3">
        <v>18447</v>
      </c>
      <c r="AJ28" s="3">
        <v>24655</v>
      </c>
      <c r="AK28" s="3">
        <f t="shared" ref="AK28:AP28" si="29">+AJ28*0.9</f>
        <v>22189.5</v>
      </c>
      <c r="AL28" s="3">
        <f t="shared" si="29"/>
        <v>19970.55</v>
      </c>
      <c r="AM28" s="3">
        <f t="shared" si="29"/>
        <v>17973.494999999999</v>
      </c>
      <c r="AN28" s="3">
        <f t="shared" si="29"/>
        <v>16176.145499999999</v>
      </c>
      <c r="AO28" s="3">
        <f t="shared" si="29"/>
        <v>14558.530949999998</v>
      </c>
      <c r="AP28" s="3">
        <f t="shared" si="29"/>
        <v>13102.677854999998</v>
      </c>
      <c r="AQ28" s="3">
        <f t="shared" ref="AQ28:AS28" si="30">+AP28*0.9</f>
        <v>11792.410069499998</v>
      </c>
      <c r="AR28" s="3">
        <f t="shared" si="30"/>
        <v>10613.169062549998</v>
      </c>
      <c r="AS28" s="3">
        <f t="shared" si="30"/>
        <v>9551.8521562949991</v>
      </c>
    </row>
    <row r="29" spans="2:45" s="3" customFormat="1" x14ac:dyDescent="0.2">
      <c r="B29" s="3" t="s">
        <v>40</v>
      </c>
      <c r="C29" s="6">
        <v>1595</v>
      </c>
      <c r="D29" s="6">
        <v>1855</v>
      </c>
      <c r="E29" s="6">
        <v>1928</v>
      </c>
      <c r="F29" s="6">
        <v>2467</v>
      </c>
      <c r="G29" s="6">
        <v>2020</v>
      </c>
      <c r="H29" s="6">
        <v>2414</v>
      </c>
      <c r="I29" s="6">
        <v>2416</v>
      </c>
      <c r="J29" s="6">
        <v>3026</v>
      </c>
      <c r="K29" s="6">
        <v>2787</v>
      </c>
      <c r="L29" s="6">
        <v>2840</v>
      </c>
      <c r="M29" s="6">
        <v>2683</v>
      </c>
      <c r="N29" s="6">
        <v>3280</v>
      </c>
      <c r="O29" s="6">
        <v>2843</v>
      </c>
      <c r="P29" s="6">
        <v>3259</v>
      </c>
      <c r="Q29" s="6">
        <v>3554</v>
      </c>
      <c r="R29" s="6">
        <v>4387</v>
      </c>
      <c r="S29" s="6">
        <v>3312</v>
      </c>
      <c r="T29" s="6">
        <v>3595</v>
      </c>
      <c r="U29" s="6">
        <v>3780</v>
      </c>
      <c r="V29" s="6">
        <f t="shared" ref="V29" si="31">+R29</f>
        <v>4387</v>
      </c>
      <c r="W29" s="6"/>
      <c r="X29" s="6"/>
      <c r="Y29" s="6"/>
      <c r="AG29" s="3">
        <v>7846</v>
      </c>
      <c r="AH29" s="3">
        <v>9876</v>
      </c>
      <c r="AI29" s="3">
        <v>11591</v>
      </c>
      <c r="AJ29" s="3">
        <v>14043</v>
      </c>
      <c r="AK29" s="3">
        <f>+AJ29</f>
        <v>14043</v>
      </c>
      <c r="AL29" s="3">
        <f t="shared" ref="AL29:AS29" si="32">+AK29</f>
        <v>14043</v>
      </c>
      <c r="AM29" s="3">
        <f t="shared" si="32"/>
        <v>14043</v>
      </c>
      <c r="AN29" s="3">
        <f t="shared" si="32"/>
        <v>14043</v>
      </c>
      <c r="AO29" s="3">
        <f t="shared" si="32"/>
        <v>14043</v>
      </c>
      <c r="AP29" s="3">
        <f t="shared" si="32"/>
        <v>14043</v>
      </c>
      <c r="AQ29" s="3">
        <f t="shared" si="32"/>
        <v>14043</v>
      </c>
      <c r="AR29" s="3">
        <f t="shared" si="32"/>
        <v>14043</v>
      </c>
      <c r="AS29" s="3">
        <f t="shared" si="32"/>
        <v>14043</v>
      </c>
    </row>
    <row r="30" spans="2:45" s="3" customFormat="1" x14ac:dyDescent="0.2">
      <c r="B30" s="3" t="s">
        <v>39</v>
      </c>
      <c r="C30" s="6">
        <v>757</v>
      </c>
      <c r="D30" s="6">
        <v>776</v>
      </c>
      <c r="E30" s="6">
        <v>943</v>
      </c>
      <c r="F30" s="6">
        <v>976</v>
      </c>
      <c r="G30" s="6">
        <f>4064-3000</f>
        <v>1064</v>
      </c>
      <c r="H30" s="6">
        <f>3224-2000</f>
        <v>1224</v>
      </c>
      <c r="I30" s="6">
        <v>1348</v>
      </c>
      <c r="J30" s="6">
        <v>1829</v>
      </c>
      <c r="K30" s="6">
        <v>1583</v>
      </c>
      <c r="L30" s="6">
        <v>1593</v>
      </c>
      <c r="M30" s="6">
        <v>1790</v>
      </c>
      <c r="N30" s="6">
        <v>1599</v>
      </c>
      <c r="O30" s="6">
        <v>1622</v>
      </c>
      <c r="P30" s="6">
        <v>1956</v>
      </c>
      <c r="Q30" s="6">
        <v>2946</v>
      </c>
      <c r="R30" s="6">
        <v>3305</v>
      </c>
      <c r="S30" s="6">
        <v>2360</v>
      </c>
      <c r="T30" s="6">
        <v>2987</v>
      </c>
      <c r="U30" s="6">
        <v>3384</v>
      </c>
      <c r="V30" s="6">
        <f t="shared" ref="V30" si="33">+R30</f>
        <v>3305</v>
      </c>
      <c r="W30" s="6"/>
      <c r="X30" s="6"/>
      <c r="Y30" s="6"/>
      <c r="AG30" s="3">
        <v>3451</v>
      </c>
      <c r="AH30" s="3">
        <f>10465-5000</f>
        <v>5465</v>
      </c>
      <c r="AI30" s="3">
        <v>6564</v>
      </c>
      <c r="AJ30" s="3">
        <v>9829</v>
      </c>
      <c r="AK30" s="3">
        <f t="shared" ref="AK30:AS30" si="34">+AJ30</f>
        <v>9829</v>
      </c>
      <c r="AL30" s="3">
        <f t="shared" si="34"/>
        <v>9829</v>
      </c>
      <c r="AM30" s="3">
        <f t="shared" si="34"/>
        <v>9829</v>
      </c>
      <c r="AN30" s="3">
        <f t="shared" si="34"/>
        <v>9829</v>
      </c>
      <c r="AO30" s="3">
        <f t="shared" si="34"/>
        <v>9829</v>
      </c>
      <c r="AP30" s="3">
        <f t="shared" si="34"/>
        <v>9829</v>
      </c>
      <c r="AQ30" s="3">
        <f t="shared" si="34"/>
        <v>9829</v>
      </c>
      <c r="AR30" s="3">
        <f t="shared" si="34"/>
        <v>9829</v>
      </c>
      <c r="AS30" s="3">
        <f t="shared" si="34"/>
        <v>9829</v>
      </c>
    </row>
    <row r="31" spans="2:45" s="3" customFormat="1" x14ac:dyDescent="0.2">
      <c r="B31" s="3" t="s">
        <v>41</v>
      </c>
      <c r="C31" s="6">
        <f t="shared" ref="C31:D31" si="35">+C30+C29+C28</f>
        <v>4590</v>
      </c>
      <c r="D31" s="6">
        <f t="shared" si="35"/>
        <v>5154</v>
      </c>
      <c r="E31" s="6">
        <f t="shared" ref="E31:G31" si="36">+E30+E29+E28</f>
        <v>5528</v>
      </c>
      <c r="F31" s="6">
        <f t="shared" si="36"/>
        <v>6298</v>
      </c>
      <c r="G31" s="6">
        <f t="shared" si="36"/>
        <v>5944</v>
      </c>
      <c r="H31" s="6">
        <f t="shared" ref="H31:I31" si="37">+H30+H29+H28</f>
        <v>6953</v>
      </c>
      <c r="I31" s="6">
        <f t="shared" si="37"/>
        <v>7312</v>
      </c>
      <c r="J31" s="6">
        <f t="shared" ref="J31:K31" si="38">+J30+J29+J28</f>
        <v>8732</v>
      </c>
      <c r="K31" s="6">
        <f t="shared" si="38"/>
        <v>8385</v>
      </c>
      <c r="L31" s="6">
        <f t="shared" ref="L31" si="39">+L30+L29+L28</f>
        <v>8895</v>
      </c>
      <c r="M31" s="6">
        <f t="shared" ref="M31" si="40">+M30+M29+M28</f>
        <v>9236</v>
      </c>
      <c r="N31" s="6">
        <f t="shared" ref="N31" si="41">+N30+N29+N28</f>
        <v>10087</v>
      </c>
      <c r="O31" s="6">
        <f t="shared" ref="O31:R31" si="42">+O30+O29+O28</f>
        <v>9662</v>
      </c>
      <c r="P31" s="6">
        <f t="shared" si="42"/>
        <v>11311</v>
      </c>
      <c r="Q31" s="6">
        <f t="shared" si="42"/>
        <v>12816</v>
      </c>
      <c r="R31" s="6">
        <f t="shared" si="42"/>
        <v>14738</v>
      </c>
      <c r="S31" s="6">
        <f>+S30+S29+S28</f>
        <v>13379</v>
      </c>
      <c r="T31" s="6">
        <f t="shared" ref="T31:V31" si="43">+T30+T29+T28</f>
        <v>15272</v>
      </c>
      <c r="U31" s="6">
        <f t="shared" si="43"/>
        <v>16334</v>
      </c>
      <c r="V31" s="6">
        <f t="shared" si="43"/>
        <v>16812</v>
      </c>
      <c r="W31" s="6"/>
      <c r="X31" s="6"/>
      <c r="Y31" s="6"/>
      <c r="AG31" s="3">
        <f>SUM(AG28:AG30)</f>
        <v>21570</v>
      </c>
      <c r="AH31" s="3">
        <f>SUM(AH28:AH30)</f>
        <v>28941</v>
      </c>
      <c r="AI31" s="3">
        <f>SUM(AI28:AI30)</f>
        <v>36602</v>
      </c>
      <c r="AJ31" s="3">
        <f t="shared" ref="AJ31" si="44">SUM(AJ28:AJ30)</f>
        <v>48527</v>
      </c>
      <c r="AK31" s="3">
        <f t="shared" ref="AK31" si="45">SUM(AK28:AK30)</f>
        <v>46061.5</v>
      </c>
      <c r="AL31" s="3">
        <f t="shared" ref="AL31" si="46">SUM(AL28:AL30)</f>
        <v>43842.55</v>
      </c>
      <c r="AM31" s="3">
        <f t="shared" ref="AM31" si="47">SUM(AM28:AM30)</f>
        <v>41845.494999999995</v>
      </c>
      <c r="AN31" s="3">
        <f t="shared" ref="AN31" si="48">SUM(AN28:AN30)</f>
        <v>40048.145499999999</v>
      </c>
      <c r="AO31" s="3">
        <f t="shared" ref="AO31" si="49">SUM(AO28:AO30)</f>
        <v>38430.53095</v>
      </c>
      <c r="AP31" s="3">
        <f t="shared" ref="AP31" si="50">SUM(AP28:AP30)</f>
        <v>36974.677855000002</v>
      </c>
      <c r="AQ31" s="3">
        <f t="shared" ref="AQ31" si="51">SUM(AQ28:AQ30)</f>
        <v>35664.410069499994</v>
      </c>
      <c r="AR31" s="3">
        <f t="shared" ref="AR31" si="52">SUM(AR28:AR30)</f>
        <v>34485.169062549998</v>
      </c>
      <c r="AS31" s="3">
        <f t="shared" ref="AS31" si="53">SUM(AS28:AS30)</f>
        <v>33423.852156294997</v>
      </c>
    </row>
    <row r="32" spans="2:45" s="3" customFormat="1" x14ac:dyDescent="0.2">
      <c r="B32" s="3" t="s">
        <v>42</v>
      </c>
      <c r="C32" s="6">
        <f t="shared" ref="C32:D32" si="54">+C27-C31</f>
        <v>5449</v>
      </c>
      <c r="D32" s="6">
        <f t="shared" si="54"/>
        <v>5863</v>
      </c>
      <c r="E32" s="6">
        <f t="shared" ref="E32:G32" si="55">+E27-E31</f>
        <v>5781</v>
      </c>
      <c r="F32" s="6">
        <f t="shared" si="55"/>
        <v>7820</v>
      </c>
      <c r="G32" s="6">
        <f t="shared" si="55"/>
        <v>6317</v>
      </c>
      <c r="H32" s="6">
        <f t="shared" ref="H32:I32" si="56">+H27-H31</f>
        <v>6626</v>
      </c>
      <c r="I32" s="6">
        <f t="shared" si="56"/>
        <v>7185</v>
      </c>
      <c r="J32" s="6">
        <f t="shared" ref="J32:K32" si="57">+J27-J31</f>
        <v>8858</v>
      </c>
      <c r="K32" s="6">
        <f t="shared" si="57"/>
        <v>5893</v>
      </c>
      <c r="L32" s="6">
        <f t="shared" ref="L32" si="58">+L27-L31</f>
        <v>5963</v>
      </c>
      <c r="M32" s="6">
        <f t="shared" ref="M32" si="59">+M27-M31</f>
        <v>8040</v>
      </c>
      <c r="N32" s="6">
        <f t="shared" ref="N32" si="60">+N27-N31</f>
        <v>12775</v>
      </c>
      <c r="O32" s="6">
        <f t="shared" ref="O32:R32" si="61">+O27-O31</f>
        <v>11378</v>
      </c>
      <c r="P32" s="6">
        <f t="shared" si="61"/>
        <v>12367</v>
      </c>
      <c r="Q32" s="6">
        <f t="shared" si="61"/>
        <v>10423</v>
      </c>
      <c r="R32" s="6">
        <f t="shared" si="61"/>
        <v>12585</v>
      </c>
      <c r="S32" s="6">
        <f>+S27-S31</f>
        <v>8524</v>
      </c>
      <c r="T32" s="6">
        <f t="shared" ref="T32:V32" si="62">+T27-T31</f>
        <v>8358</v>
      </c>
      <c r="U32" s="6">
        <f t="shared" si="62"/>
        <v>5664</v>
      </c>
      <c r="V32" s="6">
        <f t="shared" si="62"/>
        <v>9380.6238000000012</v>
      </c>
      <c r="W32" s="6"/>
      <c r="X32" s="6"/>
      <c r="Y32" s="6"/>
      <c r="AG32" s="3">
        <f>AG27-AG31</f>
        <v>24913</v>
      </c>
      <c r="AH32" s="3">
        <f>AH27-AH31</f>
        <v>28986</v>
      </c>
      <c r="AI32" s="3">
        <f>AI27-AI31</f>
        <v>32671</v>
      </c>
      <c r="AJ32" s="3">
        <f t="shared" ref="AJ32" si="63">AJ27-AJ31</f>
        <v>46753</v>
      </c>
      <c r="AK32" s="3">
        <f t="shared" ref="AK32" si="64">AK27-AK31</f>
        <v>49193.868200000012</v>
      </c>
      <c r="AL32" s="3">
        <f t="shared" ref="AL32" si="65">AL27-AL31</f>
        <v>46650.04978999999</v>
      </c>
      <c r="AM32" s="3">
        <f t="shared" ref="AM32" si="66">AM27-AM31</f>
        <v>44122.4748005</v>
      </c>
      <c r="AN32" s="3">
        <f t="shared" ref="AN32" si="67">AN27-AN31</f>
        <v>54516.621280550011</v>
      </c>
      <c r="AO32" s="3">
        <f t="shared" ref="AO32" si="68">AO27-AO31</f>
        <v>60862.474169577501</v>
      </c>
      <c r="AP32" s="3">
        <f t="shared" ref="AP32" si="69">AP27-AP31</f>
        <v>65297.117418164824</v>
      </c>
      <c r="AQ32" s="3">
        <f t="shared" ref="AQ32" si="70">AQ27-AQ31</f>
        <v>69675.539061859788</v>
      </c>
      <c r="AR32" s="3">
        <f t="shared" ref="AR32" si="71">AR27-AR31</f>
        <v>74014.978542750585</v>
      </c>
      <c r="AS32" s="3">
        <f t="shared" ref="AS32" si="72">AS27-AS31</f>
        <v>78331.299877164594</v>
      </c>
    </row>
    <row r="33" spans="2:101" s="3" customFormat="1" x14ac:dyDescent="0.2">
      <c r="B33" s="3" t="s">
        <v>43</v>
      </c>
      <c r="C33" s="6">
        <v>161</v>
      </c>
      <c r="D33" s="6">
        <v>5</v>
      </c>
      <c r="E33" s="6">
        <v>131</v>
      </c>
      <c r="F33" s="6">
        <v>151</v>
      </c>
      <c r="G33" s="6">
        <v>206</v>
      </c>
      <c r="H33" s="6">
        <v>206</v>
      </c>
      <c r="I33" s="6">
        <v>144</v>
      </c>
      <c r="J33" s="6">
        <v>311</v>
      </c>
      <c r="K33" s="6">
        <v>-32</v>
      </c>
      <c r="L33" s="6">
        <v>168</v>
      </c>
      <c r="M33" s="6">
        <v>93</v>
      </c>
      <c r="N33" s="6">
        <v>280</v>
      </c>
      <c r="O33" s="6">
        <v>125</v>
      </c>
      <c r="P33" s="6">
        <v>146</v>
      </c>
      <c r="Q33" s="6">
        <v>142</v>
      </c>
      <c r="R33" s="6">
        <v>117</v>
      </c>
      <c r="S33" s="6">
        <v>384</v>
      </c>
      <c r="T33" s="6">
        <v>-172</v>
      </c>
      <c r="U33" s="6">
        <v>-88</v>
      </c>
      <c r="V33" s="6">
        <f t="shared" ref="V33" si="73">+U33</f>
        <v>-88</v>
      </c>
      <c r="W33" s="6"/>
      <c r="X33" s="6"/>
      <c r="Y33" s="6"/>
      <c r="AG33" s="3">
        <v>448</v>
      </c>
      <c r="AH33" s="3">
        <v>826</v>
      </c>
      <c r="AI33" s="3">
        <v>509</v>
      </c>
      <c r="AJ33" s="3">
        <v>531</v>
      </c>
      <c r="AL33" s="3">
        <f>+AK49*$AX$49</f>
        <v>589.47025278000001</v>
      </c>
      <c r="AM33" s="3">
        <f t="shared" ref="AM33:AS33" si="74">+AL49*$AX$49</f>
        <v>976.83431713079597</v>
      </c>
      <c r="AN33" s="3">
        <f t="shared" si="74"/>
        <v>1346.6486518953686</v>
      </c>
      <c r="AO33" s="3">
        <f t="shared" si="74"/>
        <v>1804.7274653414206</v>
      </c>
      <c r="AP33" s="3">
        <f t="shared" si="74"/>
        <v>2318.5985187477559</v>
      </c>
      <c r="AQ33" s="3">
        <f t="shared" si="74"/>
        <v>2873.0473894304387</v>
      </c>
      <c r="AR33" s="3">
        <f t="shared" si="74"/>
        <v>3467.9457983310185</v>
      </c>
      <c r="AS33" s="3">
        <f t="shared" si="74"/>
        <v>4103.3057779278879</v>
      </c>
    </row>
    <row r="34" spans="2:101" s="3" customFormat="1" x14ac:dyDescent="0.2">
      <c r="B34" s="3" t="s">
        <v>44</v>
      </c>
      <c r="C34" s="6">
        <f t="shared" ref="C34:D34" si="75">+C32+C33</f>
        <v>5610</v>
      </c>
      <c r="D34" s="6">
        <f t="shared" si="75"/>
        <v>5868</v>
      </c>
      <c r="E34" s="6">
        <f t="shared" ref="E34:G34" si="76">+E32+E33</f>
        <v>5912</v>
      </c>
      <c r="F34" s="6">
        <f t="shared" si="76"/>
        <v>7971</v>
      </c>
      <c r="G34" s="6">
        <f t="shared" si="76"/>
        <v>6523</v>
      </c>
      <c r="H34" s="6">
        <f t="shared" ref="H34" si="77">+H32+H33</f>
        <v>6832</v>
      </c>
      <c r="I34" s="6">
        <f t="shared" ref="I34:J34" si="78">+I32+I33</f>
        <v>7329</v>
      </c>
      <c r="J34" s="6">
        <f t="shared" si="78"/>
        <v>9169</v>
      </c>
      <c r="K34" s="6">
        <f t="shared" ref="K34:R34" si="79">+K32+K33</f>
        <v>5861</v>
      </c>
      <c r="L34" s="6">
        <f t="shared" si="79"/>
        <v>6131</v>
      </c>
      <c r="M34" s="6">
        <f t="shared" si="79"/>
        <v>8133</v>
      </c>
      <c r="N34" s="6">
        <f t="shared" si="79"/>
        <v>13055</v>
      </c>
      <c r="O34" s="6">
        <f t="shared" si="79"/>
        <v>11503</v>
      </c>
      <c r="P34" s="6">
        <f t="shared" si="79"/>
        <v>12513</v>
      </c>
      <c r="Q34" s="6">
        <f t="shared" si="79"/>
        <v>10565</v>
      </c>
      <c r="R34" s="6">
        <f t="shared" si="79"/>
        <v>12702</v>
      </c>
      <c r="S34" s="6">
        <f>+S32+S33</f>
        <v>8908</v>
      </c>
      <c r="T34" s="6">
        <f t="shared" ref="T34:V34" si="80">+T32+T33</f>
        <v>8186</v>
      </c>
      <c r="U34" s="6">
        <f t="shared" si="80"/>
        <v>5576</v>
      </c>
      <c r="V34" s="6">
        <f t="shared" si="80"/>
        <v>9292.6238000000012</v>
      </c>
      <c r="W34" s="6"/>
      <c r="X34" s="6"/>
      <c r="Y34" s="6"/>
      <c r="AG34" s="3">
        <f>+AG32+AG33</f>
        <v>25361</v>
      </c>
      <c r="AH34" s="3">
        <f>+AH32+AH33</f>
        <v>29812</v>
      </c>
      <c r="AI34" s="3">
        <f>+AI32+AI33</f>
        <v>33180</v>
      </c>
      <c r="AJ34" s="3">
        <f t="shared" ref="AJ34" si="81">+AJ32+AJ33</f>
        <v>47284</v>
      </c>
      <c r="AK34" s="3">
        <f t="shared" ref="AK34" si="82">+AK32+AK33</f>
        <v>49193.868200000012</v>
      </c>
      <c r="AL34" s="3">
        <f t="shared" ref="AL34" si="83">+AL32+AL33</f>
        <v>47239.520042779986</v>
      </c>
      <c r="AM34" s="3">
        <f t="shared" ref="AM34" si="84">+AM32+AM33</f>
        <v>45099.309117630793</v>
      </c>
      <c r="AN34" s="3">
        <f t="shared" ref="AN34" si="85">+AN32+AN33</f>
        <v>55863.269932445379</v>
      </c>
      <c r="AO34" s="3">
        <f t="shared" ref="AO34" si="86">+AO32+AO33</f>
        <v>62667.201634918922</v>
      </c>
      <c r="AP34" s="3">
        <f t="shared" ref="AP34" si="87">+AP32+AP33</f>
        <v>67615.715936912573</v>
      </c>
      <c r="AQ34" s="3">
        <f t="shared" ref="AQ34" si="88">+AQ32+AQ33</f>
        <v>72548.586451290234</v>
      </c>
      <c r="AR34" s="3">
        <f t="shared" ref="AR34" si="89">+AR32+AR33</f>
        <v>77482.924341081598</v>
      </c>
      <c r="AS34" s="3">
        <f t="shared" ref="AS34" si="90">+AS32+AS33</f>
        <v>82434.605655092484</v>
      </c>
    </row>
    <row r="35" spans="2:101" s="3" customFormat="1" x14ac:dyDescent="0.2">
      <c r="B35" s="3" t="s">
        <v>45</v>
      </c>
      <c r="C35" s="6">
        <f>622+1</f>
        <v>623</v>
      </c>
      <c r="D35" s="6">
        <v>762</v>
      </c>
      <c r="E35" s="6">
        <v>775</v>
      </c>
      <c r="F35" s="6">
        <v>1089</v>
      </c>
      <c r="G35" s="6">
        <v>2216</v>
      </c>
      <c r="H35" s="6">
        <v>2216</v>
      </c>
      <c r="I35" s="6">
        <v>1238</v>
      </c>
      <c r="J35" s="6">
        <v>1820</v>
      </c>
      <c r="K35" s="6">
        <v>959</v>
      </c>
      <c r="L35" s="6">
        <v>953</v>
      </c>
      <c r="M35" s="6">
        <v>287</v>
      </c>
      <c r="N35" s="6">
        <v>1836</v>
      </c>
      <c r="O35" s="6">
        <v>2006</v>
      </c>
      <c r="P35" s="6">
        <v>2119</v>
      </c>
      <c r="Q35" s="6">
        <v>1371</v>
      </c>
      <c r="R35" s="6">
        <v>2417</v>
      </c>
      <c r="S35" s="6">
        <v>1443</v>
      </c>
      <c r="T35" s="6">
        <v>1499</v>
      </c>
      <c r="U35" s="6">
        <v>1181</v>
      </c>
      <c r="V35" s="6">
        <f t="shared" ref="V35" si="91">+V34*0.19</f>
        <v>1765.5985220000002</v>
      </c>
      <c r="W35" s="6"/>
      <c r="X35" s="6"/>
      <c r="Y35" s="6"/>
      <c r="AG35" s="3">
        <f>3249+1</f>
        <v>3250</v>
      </c>
      <c r="AH35" s="3">
        <v>6327</v>
      </c>
      <c r="AI35" s="3">
        <v>4034</v>
      </c>
      <c r="AJ35" s="3">
        <v>7914</v>
      </c>
      <c r="AK35" s="3">
        <f>+AK34*0.18</f>
        <v>8854.8962760000013</v>
      </c>
      <c r="AL35" s="3">
        <f t="shared" ref="AL35:AS35" si="92">+AL34*0.18</f>
        <v>8503.1136077003976</v>
      </c>
      <c r="AM35" s="3">
        <f t="shared" si="92"/>
        <v>8117.8756411735421</v>
      </c>
      <c r="AN35" s="3">
        <f t="shared" si="92"/>
        <v>10055.388587840167</v>
      </c>
      <c r="AO35" s="3">
        <f t="shared" si="92"/>
        <v>11280.096294285406</v>
      </c>
      <c r="AP35" s="3">
        <f t="shared" si="92"/>
        <v>12170.828868644263</v>
      </c>
      <c r="AQ35" s="3">
        <f t="shared" si="92"/>
        <v>13058.745561232241</v>
      </c>
      <c r="AR35" s="3">
        <f t="shared" si="92"/>
        <v>13946.926381394687</v>
      </c>
      <c r="AS35" s="3">
        <f t="shared" si="92"/>
        <v>14838.229017916647</v>
      </c>
    </row>
    <row r="36" spans="2:101" s="3" customFormat="1" x14ac:dyDescent="0.2">
      <c r="B36" s="3" t="s">
        <v>46</v>
      </c>
      <c r="C36" s="6">
        <f t="shared" ref="C36:D36" si="93">+C34-C35</f>
        <v>4987</v>
      </c>
      <c r="D36" s="6">
        <f t="shared" si="93"/>
        <v>5106</v>
      </c>
      <c r="E36" s="6">
        <f t="shared" ref="E36:G36" si="94">+E34-E35</f>
        <v>5137</v>
      </c>
      <c r="F36" s="6">
        <f t="shared" si="94"/>
        <v>6882</v>
      </c>
      <c r="G36" s="6">
        <f t="shared" si="94"/>
        <v>4307</v>
      </c>
      <c r="H36" s="6">
        <f t="shared" ref="H36" si="95">+H34-H35</f>
        <v>4616</v>
      </c>
      <c r="I36" s="6">
        <f t="shared" ref="I36:J36" si="96">+I34-I35</f>
        <v>6091</v>
      </c>
      <c r="J36" s="6">
        <f t="shared" si="96"/>
        <v>7349</v>
      </c>
      <c r="K36" s="6">
        <f t="shared" ref="K36:L36" si="97">+K34-K35</f>
        <v>4902</v>
      </c>
      <c r="L36" s="6">
        <f t="shared" si="97"/>
        <v>5178</v>
      </c>
      <c r="M36" s="6">
        <f t="shared" ref="M36:R36" si="98">+M34-M35</f>
        <v>7846</v>
      </c>
      <c r="N36" s="6">
        <f t="shared" si="98"/>
        <v>11219</v>
      </c>
      <c r="O36" s="6">
        <f t="shared" si="98"/>
        <v>9497</v>
      </c>
      <c r="P36" s="6">
        <f t="shared" si="98"/>
        <v>10394</v>
      </c>
      <c r="Q36" s="6">
        <f t="shared" si="98"/>
        <v>9194</v>
      </c>
      <c r="R36" s="6">
        <f t="shared" si="98"/>
        <v>10285</v>
      </c>
      <c r="S36" s="6">
        <f>+S34-S35</f>
        <v>7465</v>
      </c>
      <c r="T36" s="6">
        <f t="shared" ref="T36:V36" si="99">+T34-T35</f>
        <v>6687</v>
      </c>
      <c r="U36" s="6">
        <f t="shared" si="99"/>
        <v>4395</v>
      </c>
      <c r="V36" s="6">
        <f t="shared" si="99"/>
        <v>7527.025278000001</v>
      </c>
      <c r="W36" s="6"/>
      <c r="X36" s="6"/>
      <c r="Y36" s="6"/>
      <c r="AG36" s="3">
        <f>+AG34-AG35</f>
        <v>22111</v>
      </c>
      <c r="AH36" s="3">
        <f>+AH34-AH35</f>
        <v>23485</v>
      </c>
      <c r="AI36" s="3">
        <f>+AI34-AI35</f>
        <v>29146</v>
      </c>
      <c r="AJ36" s="3">
        <f t="shared" ref="AJ36" si="100">+AJ34-AJ35</f>
        <v>39370</v>
      </c>
      <c r="AK36" s="3">
        <f t="shared" ref="AK36" si="101">+AK34-AK35</f>
        <v>40338.971924000012</v>
      </c>
      <c r="AL36" s="3">
        <f t="shared" ref="AL36" si="102">+AL34-AL35</f>
        <v>38736.406435079589</v>
      </c>
      <c r="AM36" s="3">
        <f t="shared" ref="AM36" si="103">+AM34-AM35</f>
        <v>36981.433476457249</v>
      </c>
      <c r="AN36" s="3">
        <f t="shared" ref="AN36" si="104">+AN34-AN35</f>
        <v>45807.881344605208</v>
      </c>
      <c r="AO36" s="3">
        <f t="shared" ref="AO36" si="105">+AO34-AO35</f>
        <v>51387.105340633512</v>
      </c>
      <c r="AP36" s="3">
        <f t="shared" ref="AP36" si="106">+AP34-AP35</f>
        <v>55444.887068268312</v>
      </c>
      <c r="AQ36" s="3">
        <f t="shared" ref="AQ36" si="107">+AQ34-AQ35</f>
        <v>59489.840890057996</v>
      </c>
      <c r="AR36" s="3">
        <f t="shared" ref="AR36" si="108">+AR34-AR35</f>
        <v>63535.997959686909</v>
      </c>
      <c r="AS36" s="3">
        <f t="shared" ref="AS36" si="109">+AS34-AS35</f>
        <v>67596.376637175839</v>
      </c>
      <c r="AT36" s="3">
        <f>+AS36*(1+$AX$48)</f>
        <v>64216.557805317047</v>
      </c>
      <c r="AU36" s="3">
        <f t="shared" ref="AU36:CW36" si="110">+AT36*(1+$AX$48)</f>
        <v>61005.72991505119</v>
      </c>
      <c r="AV36" s="3">
        <f t="shared" si="110"/>
        <v>57955.44341929863</v>
      </c>
      <c r="AW36" s="3">
        <f t="shared" si="110"/>
        <v>55057.671248333696</v>
      </c>
      <c r="AX36" s="3">
        <f t="shared" si="110"/>
        <v>52304.787685917006</v>
      </c>
      <c r="AY36" s="3">
        <f t="shared" si="110"/>
        <v>49689.548301621151</v>
      </c>
      <c r="AZ36" s="3">
        <f t="shared" si="110"/>
        <v>47205.070886540088</v>
      </c>
      <c r="BA36" s="3">
        <f t="shared" si="110"/>
        <v>44844.817342213079</v>
      </c>
      <c r="BB36" s="3">
        <f t="shared" si="110"/>
        <v>42602.576475102425</v>
      </c>
      <c r="BC36" s="3">
        <f t="shared" si="110"/>
        <v>40472.447651347306</v>
      </c>
      <c r="BD36" s="3">
        <f t="shared" si="110"/>
        <v>38448.82526877994</v>
      </c>
      <c r="BE36" s="3">
        <f t="shared" si="110"/>
        <v>36526.384005340944</v>
      </c>
      <c r="BF36" s="3">
        <f t="shared" si="110"/>
        <v>34700.064805073896</v>
      </c>
      <c r="BG36" s="3">
        <f t="shared" si="110"/>
        <v>32965.0615648202</v>
      </c>
      <c r="BH36" s="3">
        <f t="shared" si="110"/>
        <v>31316.80848657919</v>
      </c>
      <c r="BI36" s="3">
        <f t="shared" si="110"/>
        <v>29750.968062250227</v>
      </c>
      <c r="BJ36" s="3">
        <f t="shared" si="110"/>
        <v>28263.419659137715</v>
      </c>
      <c r="BK36" s="3">
        <f t="shared" si="110"/>
        <v>26850.248676180829</v>
      </c>
      <c r="BL36" s="3">
        <f t="shared" si="110"/>
        <v>25507.736242371786</v>
      </c>
      <c r="BM36" s="3">
        <f t="shared" si="110"/>
        <v>24232.349430253194</v>
      </c>
      <c r="BN36" s="3">
        <f t="shared" si="110"/>
        <v>23020.731958740533</v>
      </c>
      <c r="BO36" s="3">
        <f t="shared" si="110"/>
        <v>21869.695360803504</v>
      </c>
      <c r="BP36" s="3">
        <f t="shared" si="110"/>
        <v>20776.210592763327</v>
      </c>
      <c r="BQ36" s="3">
        <f t="shared" si="110"/>
        <v>19737.400063125158</v>
      </c>
      <c r="BR36" s="3">
        <f t="shared" si="110"/>
        <v>18750.5300599689</v>
      </c>
      <c r="BS36" s="3">
        <f t="shared" si="110"/>
        <v>17813.003556970452</v>
      </c>
      <c r="BT36" s="3">
        <f t="shared" si="110"/>
        <v>16922.353379121931</v>
      </c>
      <c r="BU36" s="3">
        <f t="shared" si="110"/>
        <v>16076.235710165833</v>
      </c>
      <c r="BV36" s="3">
        <f t="shared" si="110"/>
        <v>15272.42392465754</v>
      </c>
      <c r="BW36" s="3">
        <f t="shared" si="110"/>
        <v>14508.802728424662</v>
      </c>
      <c r="BX36" s="3">
        <f t="shared" si="110"/>
        <v>13783.362592003428</v>
      </c>
      <c r="BY36" s="3">
        <f t="shared" si="110"/>
        <v>13094.194462403257</v>
      </c>
      <c r="BZ36" s="3">
        <f t="shared" si="110"/>
        <v>12439.484739283092</v>
      </c>
      <c r="CA36" s="3">
        <f t="shared" si="110"/>
        <v>11817.510502318937</v>
      </c>
      <c r="CB36" s="3">
        <f t="shared" si="110"/>
        <v>11226.63497720299</v>
      </c>
      <c r="CC36" s="3">
        <f t="shared" si="110"/>
        <v>10665.30322834284</v>
      </c>
      <c r="CD36" s="3">
        <f t="shared" si="110"/>
        <v>10132.038066925697</v>
      </c>
      <c r="CE36" s="3">
        <f t="shared" si="110"/>
        <v>9625.4361635794121</v>
      </c>
      <c r="CF36" s="3">
        <f t="shared" si="110"/>
        <v>9144.1643554004404</v>
      </c>
      <c r="CG36" s="3">
        <f t="shared" si="110"/>
        <v>8686.9561376304173</v>
      </c>
      <c r="CH36" s="3">
        <f t="shared" si="110"/>
        <v>8252.6083307488952</v>
      </c>
      <c r="CI36" s="3">
        <f t="shared" si="110"/>
        <v>7839.9779142114503</v>
      </c>
      <c r="CJ36" s="3">
        <f t="shared" si="110"/>
        <v>7447.9790185008778</v>
      </c>
      <c r="CK36" s="3">
        <f t="shared" si="110"/>
        <v>7075.5800675758337</v>
      </c>
      <c r="CL36" s="3">
        <f t="shared" si="110"/>
        <v>6721.8010641970413</v>
      </c>
      <c r="CM36" s="3">
        <f t="shared" si="110"/>
        <v>6385.7110109871892</v>
      </c>
      <c r="CN36" s="3">
        <f t="shared" si="110"/>
        <v>6066.4254604378293</v>
      </c>
      <c r="CO36" s="3">
        <f t="shared" si="110"/>
        <v>5763.1041874159373</v>
      </c>
      <c r="CP36" s="3">
        <f t="shared" si="110"/>
        <v>5474.9489780451404</v>
      </c>
      <c r="CQ36" s="3">
        <f t="shared" si="110"/>
        <v>5201.2015291428834</v>
      </c>
      <c r="CR36" s="3">
        <f t="shared" si="110"/>
        <v>4941.1414526857388</v>
      </c>
      <c r="CS36" s="3">
        <f t="shared" si="110"/>
        <v>4694.0843800514513</v>
      </c>
      <c r="CT36" s="3">
        <f t="shared" si="110"/>
        <v>4459.3801610488781</v>
      </c>
      <c r="CU36" s="3">
        <f t="shared" si="110"/>
        <v>4236.4111529964339</v>
      </c>
      <c r="CV36" s="3">
        <f t="shared" si="110"/>
        <v>4024.5905953466122</v>
      </c>
      <c r="CW36" s="3">
        <f t="shared" si="110"/>
        <v>3823.3610655792813</v>
      </c>
    </row>
    <row r="37" spans="2:101" x14ac:dyDescent="0.2">
      <c r="B37" s="3" t="s">
        <v>47</v>
      </c>
      <c r="C37" s="9">
        <f t="shared" ref="C37:D37" si="111">+C36/C38</f>
        <v>1.6933786078098472</v>
      </c>
      <c r="D37" s="9">
        <f t="shared" si="111"/>
        <v>1.7426621160409557</v>
      </c>
      <c r="E37" s="9">
        <f t="shared" ref="E37:G37" si="112">+E36/E38</f>
        <v>1.7634740817027119</v>
      </c>
      <c r="F37" s="9">
        <f t="shared" si="112"/>
        <v>2.3846153846153846</v>
      </c>
      <c r="G37" s="9">
        <f t="shared" si="112"/>
        <v>1.4980869565217392</v>
      </c>
      <c r="H37" s="9">
        <f t="shared" ref="H37" si="113">+H36/H38</f>
        <v>1.6055652173913044</v>
      </c>
      <c r="I37" s="9">
        <f t="shared" ref="I37:J37" si="114">+I36/I38</f>
        <v>2.1193458594293668</v>
      </c>
      <c r="J37" s="9">
        <f t="shared" si="114"/>
        <v>2.559735283873215</v>
      </c>
      <c r="K37" s="9">
        <f t="shared" ref="K37:L37" si="115">+K36/K38</f>
        <v>1.7092050209205021</v>
      </c>
      <c r="L37" s="9">
        <f t="shared" si="115"/>
        <v>1.7985411601250434</v>
      </c>
      <c r="M37" s="9">
        <f t="shared" ref="M37:R37" si="116">+M36/M38</f>
        <v>2.7139398132134209</v>
      </c>
      <c r="N37" s="9">
        <f t="shared" si="116"/>
        <v>3.882006920415225</v>
      </c>
      <c r="O37" s="9">
        <f t="shared" si="116"/>
        <v>3.2952810548230396</v>
      </c>
      <c r="P37" s="9">
        <f t="shared" si="116"/>
        <v>3.6127911018421965</v>
      </c>
      <c r="Q37" s="9">
        <f t="shared" si="116"/>
        <v>3.2158097236796084</v>
      </c>
      <c r="R37" s="9">
        <f t="shared" si="116"/>
        <v>3.6745266166488033</v>
      </c>
      <c r="S37" s="9">
        <f>+S36/S38</f>
        <v>2.7224653537563821</v>
      </c>
      <c r="T37" s="9">
        <f t="shared" ref="T37:V37" si="117">+T36/T38</f>
        <v>2.4647991153704387</v>
      </c>
      <c r="U37" s="9">
        <f t="shared" si="117"/>
        <v>1.6356531447711202</v>
      </c>
      <c r="V37" s="9">
        <f t="shared" si="117"/>
        <v>2.8012747592110165</v>
      </c>
      <c r="W37" s="9"/>
      <c r="X37" s="9"/>
      <c r="Y37" s="9"/>
      <c r="AG37" s="17">
        <f>+AG36/AG38</f>
        <v>7.5696679219445393</v>
      </c>
      <c r="AH37" s="17">
        <f>+AH36/AH38</f>
        <v>8.1658553546592483</v>
      </c>
      <c r="AI37" s="17">
        <f>+AI36/AI38</f>
        <v>10.092105263157896</v>
      </c>
      <c r="AJ37" s="17">
        <f t="shared" ref="AJ37" si="118">+AJ36/AJ38</f>
        <v>13.770549143057012</v>
      </c>
      <c r="AK37" s="17">
        <f t="shared" ref="AK37" si="119">+AK36/AK38</f>
        <v>14.900349773386282</v>
      </c>
      <c r="AL37" s="17">
        <f t="shared" ref="AL37" si="120">+AL36/AL38</f>
        <v>14.308396503861701</v>
      </c>
      <c r="AM37" s="17">
        <f t="shared" ref="AM37" si="121">+AM36/AM38</f>
        <v>13.660147188644288</v>
      </c>
      <c r="AN37" s="17">
        <f t="shared" ref="AN37" si="122">+AN36/AN38</f>
        <v>16.920447444678256</v>
      </c>
      <c r="AO37" s="17">
        <f t="shared" ref="AO37" si="123">+AO36/AO38</f>
        <v>18.981292950644939</v>
      </c>
      <c r="AP37" s="17">
        <f t="shared" ref="AP37" si="124">+AP36/AP38</f>
        <v>20.480150362274749</v>
      </c>
      <c r="AQ37" s="17">
        <f t="shared" ref="AQ37" si="125">+AQ36/AQ38</f>
        <v>21.97426942102059</v>
      </c>
      <c r="AR37" s="17">
        <f t="shared" ref="AR37" si="126">+AR36/AR38</f>
        <v>23.468832933673252</v>
      </c>
      <c r="AS37" s="17">
        <f t="shared" ref="AS37" si="127">+AS36/AS38</f>
        <v>24.968649602798351</v>
      </c>
    </row>
    <row r="38" spans="2:101" s="3" customFormat="1" x14ac:dyDescent="0.2">
      <c r="B38" s="3" t="s">
        <v>2</v>
      </c>
      <c r="C38" s="6">
        <v>2945</v>
      </c>
      <c r="D38" s="6">
        <v>2930</v>
      </c>
      <c r="E38" s="6">
        <v>2913</v>
      </c>
      <c r="F38" s="6">
        <v>2886</v>
      </c>
      <c r="G38" s="6">
        <v>2875</v>
      </c>
      <c r="H38" s="6">
        <v>2875</v>
      </c>
      <c r="I38" s="6">
        <v>2874</v>
      </c>
      <c r="J38" s="6">
        <v>2871</v>
      </c>
      <c r="K38" s="6">
        <v>2868</v>
      </c>
      <c r="L38" s="6">
        <v>2879</v>
      </c>
      <c r="M38" s="6">
        <v>2891</v>
      </c>
      <c r="N38" s="6">
        <v>2890</v>
      </c>
      <c r="O38" s="6">
        <v>2882</v>
      </c>
      <c r="P38" s="6">
        <v>2877</v>
      </c>
      <c r="Q38" s="6">
        <v>2859</v>
      </c>
      <c r="R38" s="6">
        <v>2799</v>
      </c>
      <c r="S38" s="6">
        <v>2742</v>
      </c>
      <c r="T38" s="6">
        <v>2713</v>
      </c>
      <c r="U38" s="6">
        <v>2687</v>
      </c>
      <c r="V38" s="6">
        <f>+U38</f>
        <v>2687</v>
      </c>
      <c r="W38" s="6"/>
      <c r="X38" s="6"/>
      <c r="Y38" s="6"/>
      <c r="AG38" s="3">
        <v>2921</v>
      </c>
      <c r="AH38" s="3">
        <v>2876</v>
      </c>
      <c r="AI38" s="3">
        <v>2888</v>
      </c>
      <c r="AJ38" s="3">
        <v>2859</v>
      </c>
      <c r="AK38" s="3">
        <f>AVERAGE(S38:V38)</f>
        <v>2707.25</v>
      </c>
      <c r="AL38" s="3">
        <f t="shared" ref="AL38:AS38" si="128">+AK38</f>
        <v>2707.25</v>
      </c>
      <c r="AM38" s="3">
        <f t="shared" si="128"/>
        <v>2707.25</v>
      </c>
      <c r="AN38" s="3">
        <f t="shared" si="128"/>
        <v>2707.25</v>
      </c>
      <c r="AO38" s="3">
        <f t="shared" si="128"/>
        <v>2707.25</v>
      </c>
      <c r="AP38" s="3">
        <f t="shared" si="128"/>
        <v>2707.25</v>
      </c>
      <c r="AQ38" s="3">
        <f t="shared" si="128"/>
        <v>2707.25</v>
      </c>
      <c r="AR38" s="3">
        <f t="shared" si="128"/>
        <v>2707.25</v>
      </c>
      <c r="AS38" s="3">
        <f t="shared" si="128"/>
        <v>2707.25</v>
      </c>
    </row>
    <row r="39" spans="2:101" x14ac:dyDescent="0.2">
      <c r="S39" s="6"/>
    </row>
    <row r="40" spans="2:101" s="4" customFormat="1" x14ac:dyDescent="0.2">
      <c r="B40" s="7" t="s">
        <v>48</v>
      </c>
      <c r="C40" s="12"/>
      <c r="D40" s="12"/>
      <c r="E40" s="12"/>
      <c r="F40" s="12"/>
      <c r="G40" s="11">
        <f t="shared" ref="G40:K40" si="129">+G25/C25-1</f>
        <v>0.25998662878154777</v>
      </c>
      <c r="H40" s="11">
        <f t="shared" si="129"/>
        <v>0.2762451817700855</v>
      </c>
      <c r="I40" s="11">
        <f t="shared" si="129"/>
        <v>0.2859328331026445</v>
      </c>
      <c r="J40" s="11">
        <f t="shared" si="129"/>
        <v>0.2464230814709707</v>
      </c>
      <c r="K40" s="11">
        <f t="shared" si="129"/>
        <v>0.17642767128739134</v>
      </c>
      <c r="L40" s="11">
        <f>+L25/H25-1</f>
        <v>0.10665640175293145</v>
      </c>
      <c r="M40" s="11">
        <f>+M25/I25-1</f>
        <v>0.21629277135735325</v>
      </c>
      <c r="N40" s="11">
        <f>+N25/J25-1</f>
        <v>0.33156247035385644</v>
      </c>
      <c r="O40" s="11">
        <f>+O25/K25-1</f>
        <v>0.47550318543158365</v>
      </c>
      <c r="P40" s="11">
        <f>+P25/L25-1</f>
        <v>0.5560014983678494</v>
      </c>
      <c r="Q40" s="11">
        <f t="shared" ref="Q40:R40" si="130">+Q25/M25-1</f>
        <v>0.35118770377270603</v>
      </c>
      <c r="R40" s="11">
        <f t="shared" si="130"/>
        <v>0.19945141065830718</v>
      </c>
      <c r="S40" s="11">
        <f>+S25/O25-1</f>
        <v>6.6371174200450911E-2</v>
      </c>
      <c r="T40" s="11">
        <f t="shared" ref="T40:V40" si="131">+T25/P25-1</f>
        <v>-8.7698180692643568E-3</v>
      </c>
      <c r="U40" s="11">
        <f t="shared" si="131"/>
        <v>-4.4674250258531556E-2</v>
      </c>
      <c r="V40" s="11">
        <f t="shared" si="131"/>
        <v>-1.5318226366903276E-2</v>
      </c>
      <c r="W40" s="11"/>
      <c r="X40" s="11"/>
      <c r="Y40" s="11"/>
      <c r="AH40" s="18">
        <f>+AH25/AG25-1</f>
        <v>0.26610910132884413</v>
      </c>
      <c r="AI40" s="18">
        <f>+AI25/AH25-1</f>
        <v>0.21596390228722573</v>
      </c>
      <c r="AJ40" s="18">
        <f>+AJ25/AI25-1</f>
        <v>0.37182574303495608</v>
      </c>
      <c r="AK40" s="18">
        <f>+AK25/AJ25-1</f>
        <v>-2.7964283594366091E-3</v>
      </c>
      <c r="AL40" s="18">
        <f t="shared" ref="AL40:AS40" si="132">+AL25/AK25-1</f>
        <v>-5.0000000000000044E-2</v>
      </c>
      <c r="AM40" s="18">
        <f t="shared" si="132"/>
        <v>-5.0000000000000044E-2</v>
      </c>
      <c r="AN40" s="18">
        <f t="shared" si="132"/>
        <v>0.10000000000000009</v>
      </c>
      <c r="AO40" s="18">
        <f t="shared" si="132"/>
        <v>5.0000000000000044E-2</v>
      </c>
      <c r="AP40" s="18">
        <f t="shared" si="132"/>
        <v>3.0000000000000027E-2</v>
      </c>
      <c r="AQ40" s="18">
        <f t="shared" si="132"/>
        <v>3.0000000000000027E-2</v>
      </c>
      <c r="AR40" s="18">
        <f t="shared" si="132"/>
        <v>3.0000000000000027E-2</v>
      </c>
      <c r="AS40" s="18">
        <f t="shared" si="132"/>
        <v>3.0000000000000027E-2</v>
      </c>
    </row>
    <row r="41" spans="2:101" s="4" customFormat="1" x14ac:dyDescent="0.2">
      <c r="B41" s="7" t="s">
        <v>88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>
        <f>+O21/K21-1</f>
        <v>0.41985917173887088</v>
      </c>
      <c r="P41" s="11">
        <f t="shared" ref="P41:R41" si="133">+P21/L21-1</f>
        <v>0.47543879015343848</v>
      </c>
      <c r="Q41" s="11">
        <f t="shared" si="133"/>
        <v>0.31097316780136164</v>
      </c>
      <c r="R41" s="11">
        <f t="shared" si="133"/>
        <v>0.14539923954372624</v>
      </c>
      <c r="S41" s="11">
        <f>+S21/O21-1</f>
        <v>1.0674960073968176E-2</v>
      </c>
      <c r="T41" s="11">
        <f>+T21/P21-1</f>
        <v>-4.3244052072422545E-2</v>
      </c>
      <c r="U41" s="11">
        <f t="shared" ref="U41:V41" si="134">+U21/Q21-1</f>
        <v>-1</v>
      </c>
      <c r="V41" s="11">
        <f t="shared" si="134"/>
        <v>-1</v>
      </c>
      <c r="W41" s="12"/>
      <c r="X41" s="12"/>
      <c r="Y41" s="12"/>
    </row>
    <row r="42" spans="2:101" s="3" customFormat="1" x14ac:dyDescent="0.2">
      <c r="B42" s="3" t="s">
        <v>90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>
        <v>0.15</v>
      </c>
      <c r="T42" s="10">
        <v>0.15</v>
      </c>
      <c r="U42" s="10">
        <v>0.17</v>
      </c>
      <c r="V42" s="6"/>
      <c r="W42" s="6"/>
      <c r="X42" s="6"/>
      <c r="Y42" s="6"/>
    </row>
    <row r="43" spans="2:101" s="3" customFormat="1" x14ac:dyDescent="0.2">
      <c r="B43" s="3" t="s">
        <v>89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>
        <v>-0.08</v>
      </c>
      <c r="T43" s="10">
        <v>-0.14000000000000001</v>
      </c>
      <c r="U43" s="10">
        <v>-0.18</v>
      </c>
      <c r="V43" s="6"/>
      <c r="W43" s="6"/>
      <c r="X43" s="6"/>
      <c r="Y43" s="6"/>
    </row>
    <row r="44" spans="2:101" s="3" customFormat="1" x14ac:dyDescent="0.2">
      <c r="B44" s="3" t="s">
        <v>100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0"/>
      <c r="P44" s="10"/>
      <c r="Q44" s="10"/>
      <c r="R44" s="10">
        <f t="shared" ref="R44" si="135">+R23/N23-1</f>
        <v>0.22315202231520215</v>
      </c>
      <c r="S44" s="10">
        <f>+S23/O23-1</f>
        <v>0.30149812734082393</v>
      </c>
      <c r="T44" s="10">
        <f>+T23/P23-1</f>
        <v>0.4819672131147541</v>
      </c>
      <c r="U44" s="10">
        <f>+U23/Q23-1</f>
        <v>-0.489247311827957</v>
      </c>
      <c r="V44" s="10">
        <f>+V23/R23-1</f>
        <v>0.11402508551881407</v>
      </c>
      <c r="W44" s="6"/>
      <c r="X44" s="6"/>
      <c r="Y44" s="6"/>
      <c r="AI44" s="19">
        <f t="shared" ref="AI44" si="136">AI23/AH23-1</f>
        <v>1.2734530938123751</v>
      </c>
      <c r="AJ44" s="19">
        <f>AJ23/AI23-1</f>
        <v>0.99648814749780512</v>
      </c>
    </row>
    <row r="45" spans="2:101" s="3" customFormat="1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0"/>
      <c r="R45" s="10"/>
      <c r="S45" s="10"/>
      <c r="T45" s="6"/>
      <c r="U45" s="6"/>
      <c r="V45" s="6"/>
      <c r="W45" s="6"/>
      <c r="X45" s="6"/>
      <c r="Y45" s="6"/>
    </row>
    <row r="46" spans="2:101" s="3" customFormat="1" x14ac:dyDescent="0.2">
      <c r="B46" s="3" t="s">
        <v>37</v>
      </c>
      <c r="C46" s="10">
        <f t="shared" ref="C46:G46" si="137">+C27/C25</f>
        <v>0.8389603877653351</v>
      </c>
      <c r="D46" s="10">
        <f t="shared" si="137"/>
        <v>0.83266570931902351</v>
      </c>
      <c r="E46" s="10">
        <f t="shared" si="137"/>
        <v>0.82385080498288044</v>
      </c>
      <c r="F46" s="10">
        <f t="shared" si="137"/>
        <v>0.83469315360056762</v>
      </c>
      <c r="G46" s="10">
        <f t="shared" si="137"/>
        <v>0.81322544272733299</v>
      </c>
      <c r="H46" s="10">
        <f t="shared" ref="H46:I46" si="138">+H27/H25</f>
        <v>0.80415729006277392</v>
      </c>
      <c r="I46" s="10">
        <f t="shared" si="138"/>
        <v>0.82126671198731027</v>
      </c>
      <c r="J46" s="10">
        <f t="shared" ref="J46:R46" si="139">+J27/J25</f>
        <v>0.83436106631249407</v>
      </c>
      <c r="K46" s="10">
        <f t="shared" si="139"/>
        <v>0.80498393189378137</v>
      </c>
      <c r="L46" s="10">
        <f t="shared" si="139"/>
        <v>0.7950981966072671</v>
      </c>
      <c r="M46" s="10">
        <f t="shared" si="139"/>
        <v>0.80465766185374943</v>
      </c>
      <c r="N46" s="10">
        <f t="shared" si="139"/>
        <v>0.81440581362211462</v>
      </c>
      <c r="O46" s="10">
        <f t="shared" si="139"/>
        <v>0.80394329601467274</v>
      </c>
      <c r="P46" s="10">
        <f t="shared" si="139"/>
        <v>0.81432059703545756</v>
      </c>
      <c r="Q46" s="10">
        <f t="shared" si="139"/>
        <v>0.80106859703550504</v>
      </c>
      <c r="R46" s="10">
        <f t="shared" si="139"/>
        <v>0.81146981081642955</v>
      </c>
      <c r="S46" s="10">
        <f>+S27/S25</f>
        <v>0.78482872294682526</v>
      </c>
      <c r="T46" s="10">
        <f t="shared" ref="T46:V46" si="140">+T27/T25</f>
        <v>0.81985982929706469</v>
      </c>
      <c r="U46" s="10">
        <f t="shared" si="140"/>
        <v>0.79375045103557773</v>
      </c>
      <c r="V46" s="10">
        <f t="shared" si="140"/>
        <v>0.79</v>
      </c>
      <c r="W46" s="10"/>
      <c r="X46" s="10"/>
      <c r="Y46" s="10"/>
      <c r="AG46" s="19">
        <f t="shared" ref="AG46:AI46" si="141">+AG27/AG25</f>
        <v>0.8324617643898421</v>
      </c>
      <c r="AH46" s="19">
        <f t="shared" si="141"/>
        <v>0.81936998741106415</v>
      </c>
      <c r="AI46" s="19">
        <f t="shared" si="141"/>
        <v>0.80582795323678236</v>
      </c>
      <c r="AJ46" s="19">
        <f>+AJ27/AJ25</f>
        <v>0.80794376277251567</v>
      </c>
      <c r="AK46" s="19">
        <f t="shared" ref="AK46:AS46" si="142">+AK27/AK25</f>
        <v>0.81</v>
      </c>
      <c r="AL46" s="19">
        <f t="shared" si="142"/>
        <v>0.81</v>
      </c>
      <c r="AM46" s="19">
        <f t="shared" si="142"/>
        <v>0.81</v>
      </c>
      <c r="AN46" s="19">
        <f t="shared" si="142"/>
        <v>0.81</v>
      </c>
      <c r="AO46" s="19">
        <f t="shared" si="142"/>
        <v>0.81</v>
      </c>
      <c r="AP46" s="19">
        <f t="shared" si="142"/>
        <v>0.81</v>
      </c>
      <c r="AQ46" s="19">
        <f t="shared" si="142"/>
        <v>0.81</v>
      </c>
      <c r="AR46" s="19">
        <f t="shared" si="142"/>
        <v>0.81</v>
      </c>
      <c r="AS46" s="19">
        <f t="shared" si="142"/>
        <v>0.81</v>
      </c>
      <c r="AW46" s="21" t="s">
        <v>103</v>
      </c>
      <c r="AX46" s="22">
        <f>NPV(AX47,AL36:CW36)</f>
        <v>557199.61010097212</v>
      </c>
    </row>
    <row r="47" spans="2:101" s="3" customFormat="1" x14ac:dyDescent="0.2">
      <c r="B47" s="3" t="s">
        <v>101</v>
      </c>
      <c r="C47" s="10">
        <f t="shared" ref="C47:G47" si="143">+C35/C34</f>
        <v>0.11105169340463458</v>
      </c>
      <c r="D47" s="10">
        <f t="shared" si="143"/>
        <v>0.12985685071574643</v>
      </c>
      <c r="E47" s="10">
        <f t="shared" si="143"/>
        <v>0.13108930987821379</v>
      </c>
      <c r="F47" s="10">
        <f t="shared" si="143"/>
        <v>0.13662024840045164</v>
      </c>
      <c r="G47" s="10">
        <f t="shared" si="143"/>
        <v>0.33972098727579336</v>
      </c>
      <c r="H47" s="10">
        <f t="shared" ref="H47:M47" si="144">+H35/H34</f>
        <v>0.32435597189695553</v>
      </c>
      <c r="I47" s="10">
        <f t="shared" si="144"/>
        <v>0.16891799699822621</v>
      </c>
      <c r="J47" s="10">
        <f t="shared" si="144"/>
        <v>0.19849492856363835</v>
      </c>
      <c r="K47" s="10">
        <f t="shared" si="144"/>
        <v>0.16362395495649207</v>
      </c>
      <c r="L47" s="10">
        <f t="shared" si="144"/>
        <v>0.15543956940140272</v>
      </c>
      <c r="M47" s="10">
        <f t="shared" si="144"/>
        <v>3.5288331488995447E-2</v>
      </c>
      <c r="N47" s="10">
        <f t="shared" ref="N47:V47" si="145">+N35/N34</f>
        <v>0.14063577173496744</v>
      </c>
      <c r="O47" s="10">
        <f t="shared" si="145"/>
        <v>0.17438928975049986</v>
      </c>
      <c r="P47" s="10">
        <f t="shared" si="145"/>
        <v>0.16934388236234316</v>
      </c>
      <c r="Q47" s="10">
        <f t="shared" si="145"/>
        <v>0.12976810222432561</v>
      </c>
      <c r="R47" s="10">
        <f t="shared" si="145"/>
        <v>0.19028499448905684</v>
      </c>
      <c r="S47" s="10">
        <f t="shared" si="145"/>
        <v>0.1619892231701841</v>
      </c>
      <c r="T47" s="10">
        <f t="shared" si="145"/>
        <v>0.18311751771316884</v>
      </c>
      <c r="U47" s="10">
        <f t="shared" si="145"/>
        <v>0.21180057388809181</v>
      </c>
      <c r="V47" s="10">
        <f t="shared" si="145"/>
        <v>0.19</v>
      </c>
      <c r="W47" s="10"/>
      <c r="X47" s="10"/>
      <c r="Y47" s="10"/>
      <c r="AG47" s="19">
        <f t="shared" ref="AG47:AH47" si="146">+AG35/AG34</f>
        <v>0.12814952091794488</v>
      </c>
      <c r="AH47" s="19">
        <f t="shared" si="146"/>
        <v>0.21222997450690997</v>
      </c>
      <c r="AI47" s="19">
        <f>+AI35/AI34</f>
        <v>0.12157926461723931</v>
      </c>
      <c r="AJ47" s="19">
        <f t="shared" ref="AJ47:AK47" si="147">+AJ35/AJ34</f>
        <v>0.16737162676592504</v>
      </c>
      <c r="AK47" s="19">
        <f t="shared" si="147"/>
        <v>0.18</v>
      </c>
      <c r="AL47" s="19">
        <f t="shared" ref="AL47:AS47" si="148">+AL35/AL34</f>
        <v>0.18</v>
      </c>
      <c r="AM47" s="19">
        <f t="shared" si="148"/>
        <v>0.18</v>
      </c>
      <c r="AN47" s="19">
        <f t="shared" si="148"/>
        <v>0.17999999999999997</v>
      </c>
      <c r="AO47" s="19">
        <f t="shared" si="148"/>
        <v>0.18</v>
      </c>
      <c r="AP47" s="19">
        <f t="shared" si="148"/>
        <v>0.18</v>
      </c>
      <c r="AQ47" s="19">
        <f t="shared" si="148"/>
        <v>0.18</v>
      </c>
      <c r="AR47" s="19">
        <f t="shared" si="148"/>
        <v>0.18</v>
      </c>
      <c r="AS47" s="19">
        <f t="shared" si="148"/>
        <v>0.18</v>
      </c>
      <c r="AW47" s="22" t="s">
        <v>104</v>
      </c>
      <c r="AX47" s="23">
        <v>0.08</v>
      </c>
    </row>
    <row r="48" spans="2:101" x14ac:dyDescent="0.2">
      <c r="S48" s="6"/>
      <c r="AW48" s="21" t="s">
        <v>105</v>
      </c>
      <c r="AX48" s="23">
        <v>-0.05</v>
      </c>
    </row>
    <row r="49" spans="2:50" s="3" customFormat="1" x14ac:dyDescent="0.2">
      <c r="B49" s="3" t="s">
        <v>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f>17576+44378+6234</f>
        <v>68188</v>
      </c>
      <c r="O49" s="6">
        <f>19513+44706+6342</f>
        <v>70561</v>
      </c>
      <c r="P49" s="6">
        <f>16186+47894+6393</f>
        <v>70473</v>
      </c>
      <c r="Q49" s="6">
        <f>14496+43579+6758</f>
        <v>64833</v>
      </c>
      <c r="R49" s="6">
        <f>16601+31397+6775</f>
        <v>54773</v>
      </c>
      <c r="S49" s="6">
        <f>14886+29004+6775</f>
        <v>50665</v>
      </c>
      <c r="T49" s="6">
        <f>12681+27808+6536</f>
        <v>47025</v>
      </c>
      <c r="U49" s="6">
        <f t="shared" ref="U49:V49" si="149">+T49+U36</f>
        <v>51420</v>
      </c>
      <c r="V49" s="6">
        <f t="shared" si="149"/>
        <v>58947.025278000001</v>
      </c>
      <c r="W49" s="6"/>
      <c r="X49" s="6"/>
      <c r="Y49" s="6"/>
      <c r="AJ49" s="3">
        <f>+R49</f>
        <v>54773</v>
      </c>
      <c r="AK49" s="3">
        <f>+V49</f>
        <v>58947.025278000001</v>
      </c>
      <c r="AL49" s="3">
        <f>+AK49+AL36</f>
        <v>97683.431713079597</v>
      </c>
      <c r="AM49" s="3">
        <f t="shared" ref="AM49:AS49" si="150">+AL49+AM36</f>
        <v>134664.86518953685</v>
      </c>
      <c r="AN49" s="3">
        <f t="shared" si="150"/>
        <v>180472.74653414206</v>
      </c>
      <c r="AO49" s="3">
        <f t="shared" si="150"/>
        <v>231859.85187477557</v>
      </c>
      <c r="AP49" s="3">
        <f t="shared" si="150"/>
        <v>287304.73894304386</v>
      </c>
      <c r="AQ49" s="3">
        <f t="shared" si="150"/>
        <v>346794.57983310183</v>
      </c>
      <c r="AR49" s="3">
        <f t="shared" si="150"/>
        <v>410330.57779278874</v>
      </c>
      <c r="AS49" s="3">
        <f t="shared" si="150"/>
        <v>477926.95442996459</v>
      </c>
      <c r="AW49" s="22" t="s">
        <v>102</v>
      </c>
      <c r="AX49" s="23">
        <v>0.01</v>
      </c>
    </row>
    <row r="50" spans="2:50" s="3" customFormat="1" x14ac:dyDescent="0.2">
      <c r="B50" s="3" t="s">
        <v>49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11335</v>
      </c>
      <c r="O50" s="6">
        <v>10276</v>
      </c>
      <c r="P50" s="6">
        <v>11698</v>
      </c>
      <c r="Q50" s="6">
        <v>12088</v>
      </c>
      <c r="R50" s="6">
        <v>14039</v>
      </c>
      <c r="S50" s="6">
        <v>11390</v>
      </c>
      <c r="T50" s="6">
        <v>11525</v>
      </c>
      <c r="U50" s="6"/>
      <c r="V50" s="6"/>
      <c r="W50" s="6"/>
      <c r="X50" s="6"/>
      <c r="Y50" s="6"/>
      <c r="AW50" s="22" t="s">
        <v>106</v>
      </c>
      <c r="AX50" s="24">
        <f>AX46/Main!M3</f>
        <v>205.38135278325549</v>
      </c>
    </row>
    <row r="51" spans="2:50" s="3" customFormat="1" x14ac:dyDescent="0.2">
      <c r="B51" s="3" t="s">
        <v>50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v>2381</v>
      </c>
      <c r="O51" s="6">
        <v>2827</v>
      </c>
      <c r="P51" s="6">
        <v>4919</v>
      </c>
      <c r="Q51" s="6">
        <v>5258</v>
      </c>
      <c r="R51" s="6">
        <v>4629</v>
      </c>
      <c r="S51" s="6">
        <v>3985</v>
      </c>
      <c r="T51" s="6">
        <v>3973</v>
      </c>
      <c r="U51" s="6"/>
      <c r="V51" s="6"/>
      <c r="W51" s="6"/>
      <c r="X51" s="6"/>
      <c r="Y51" s="6"/>
      <c r="AW51" s="22" t="s">
        <v>107</v>
      </c>
      <c r="AX51" s="23">
        <f>AX50/Main!M2-1</f>
        <v>1.0538135278325549</v>
      </c>
    </row>
    <row r="52" spans="2:50" s="3" customFormat="1" x14ac:dyDescent="0.2">
      <c r="B52" s="3" t="s">
        <v>51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v>45633</v>
      </c>
      <c r="O52" s="6">
        <v>47720</v>
      </c>
      <c r="P52" s="6">
        <v>50909</v>
      </c>
      <c r="Q52" s="6">
        <v>53726</v>
      </c>
      <c r="R52" s="6">
        <v>57809</v>
      </c>
      <c r="S52" s="6">
        <v>61582</v>
      </c>
      <c r="T52" s="6">
        <v>67588</v>
      </c>
      <c r="U52" s="6"/>
      <c r="V52" s="6"/>
      <c r="W52" s="6"/>
      <c r="X52" s="6"/>
      <c r="Y52" s="6"/>
    </row>
    <row r="53" spans="2:50" s="3" customFormat="1" x14ac:dyDescent="0.2">
      <c r="B53" s="3" t="s">
        <v>52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v>9348</v>
      </c>
      <c r="O53" s="6">
        <v>10202</v>
      </c>
      <c r="P53" s="6">
        <v>10525</v>
      </c>
      <c r="Q53" s="6">
        <v>11063</v>
      </c>
      <c r="R53" s="6">
        <v>12155</v>
      </c>
      <c r="S53" s="6">
        <v>12241</v>
      </c>
      <c r="T53" s="6">
        <v>14130</v>
      </c>
      <c r="U53" s="6"/>
      <c r="V53" s="6"/>
      <c r="W53" s="6"/>
      <c r="X53" s="6"/>
      <c r="Y53" s="6"/>
    </row>
    <row r="54" spans="2:50" s="3" customFormat="1" x14ac:dyDescent="0.2">
      <c r="B54" s="3" t="s">
        <v>54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f>623+19050</f>
        <v>19673</v>
      </c>
      <c r="O54" s="6">
        <f>505+19056</f>
        <v>19561</v>
      </c>
      <c r="P54" s="6">
        <f>19219+514</f>
        <v>19733</v>
      </c>
      <c r="Q54" s="6">
        <f>365+19065</f>
        <v>19430</v>
      </c>
      <c r="R54" s="6">
        <f>19197+634</f>
        <v>19831</v>
      </c>
      <c r="S54" s="6">
        <f>910+19923</f>
        <v>20833</v>
      </c>
      <c r="T54" s="6">
        <f>965+20229</f>
        <v>21194</v>
      </c>
      <c r="U54" s="6"/>
      <c r="V54" s="6"/>
      <c r="W54" s="6"/>
      <c r="X54" s="6"/>
      <c r="Y54" s="6"/>
    </row>
    <row r="55" spans="2:50" s="3" customFormat="1" x14ac:dyDescent="0.2">
      <c r="B55" s="3" t="s">
        <v>55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>
        <v>2758</v>
      </c>
      <c r="O55" s="6">
        <v>2376</v>
      </c>
      <c r="P55" s="6">
        <v>2352</v>
      </c>
      <c r="Q55" s="6">
        <v>3187</v>
      </c>
      <c r="R55" s="6">
        <v>2751</v>
      </c>
      <c r="S55" s="6">
        <v>3522</v>
      </c>
      <c r="T55" s="6">
        <v>4344</v>
      </c>
      <c r="U55" s="6"/>
      <c r="V55" s="6"/>
      <c r="W55" s="6"/>
      <c r="X55" s="6"/>
      <c r="Y55" s="6"/>
    </row>
    <row r="56" spans="2:50" s="3" customFormat="1" x14ac:dyDescent="0.2">
      <c r="B56" s="3" t="s">
        <v>53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>
        <f t="shared" ref="N56:O56" si="151">SUM(N49:N55)</f>
        <v>159316</v>
      </c>
      <c r="O56" s="6">
        <f t="shared" si="151"/>
        <v>163523</v>
      </c>
      <c r="P56" s="6">
        <f t="shared" ref="P56:Q56" si="152">SUM(P49:P55)</f>
        <v>170609</v>
      </c>
      <c r="Q56" s="6">
        <f t="shared" si="152"/>
        <v>169585</v>
      </c>
      <c r="R56" s="6">
        <f t="shared" ref="R56" si="153">SUM(R49:R55)</f>
        <v>165987</v>
      </c>
      <c r="S56" s="6">
        <f>SUM(S49:S55)</f>
        <v>164218</v>
      </c>
      <c r="T56" s="6">
        <f>SUM(T49:T55)</f>
        <v>169779</v>
      </c>
      <c r="U56" s="6"/>
      <c r="V56" s="6"/>
      <c r="W56" s="6"/>
      <c r="X56" s="6"/>
      <c r="Y56" s="6"/>
    </row>
    <row r="57" spans="2:50" x14ac:dyDescent="0.2">
      <c r="S57" s="6"/>
    </row>
    <row r="58" spans="2:50" x14ac:dyDescent="0.2">
      <c r="B58" t="s">
        <v>56</v>
      </c>
      <c r="N58" s="6">
        <v>1331</v>
      </c>
      <c r="O58" s="6">
        <v>878</v>
      </c>
      <c r="P58" s="6">
        <v>973</v>
      </c>
      <c r="Q58" s="6">
        <v>2195</v>
      </c>
      <c r="R58" s="6">
        <v>4083</v>
      </c>
      <c r="S58" s="6">
        <v>3246</v>
      </c>
      <c r="T58" s="6">
        <v>4008</v>
      </c>
    </row>
    <row r="59" spans="2:50" x14ac:dyDescent="0.2">
      <c r="B59" t="s">
        <v>57</v>
      </c>
      <c r="N59" s="6">
        <v>1093</v>
      </c>
      <c r="O59" s="6">
        <v>1006</v>
      </c>
      <c r="P59" s="6">
        <v>949</v>
      </c>
      <c r="Q59" s="6">
        <v>909</v>
      </c>
      <c r="R59" s="6">
        <v>1052</v>
      </c>
      <c r="S59" s="6">
        <v>935</v>
      </c>
      <c r="T59" s="6">
        <v>982</v>
      </c>
    </row>
    <row r="60" spans="2:50" x14ac:dyDescent="0.2">
      <c r="B60" t="s">
        <v>58</v>
      </c>
      <c r="N60" s="6">
        <f>1023+9631</f>
        <v>10654</v>
      </c>
      <c r="O60" s="6">
        <f>1040+10574</f>
        <v>11614</v>
      </c>
      <c r="P60" s="6">
        <f>1051+10956</f>
        <v>12007</v>
      </c>
      <c r="Q60" s="6">
        <f>1086+11554</f>
        <v>12640</v>
      </c>
      <c r="R60" s="6">
        <f>1127+12746</f>
        <v>13873</v>
      </c>
      <c r="S60" s="6">
        <f>1159+12894</f>
        <v>14053</v>
      </c>
      <c r="T60" s="6">
        <f>1275+14792</f>
        <v>16067</v>
      </c>
    </row>
    <row r="61" spans="2:50" x14ac:dyDescent="0.2">
      <c r="B61" t="s">
        <v>59</v>
      </c>
      <c r="N61" s="6">
        <v>11152</v>
      </c>
      <c r="O61" s="6">
        <v>9411</v>
      </c>
      <c r="P61" s="6">
        <v>11510</v>
      </c>
      <c r="Q61" s="6">
        <v>13158</v>
      </c>
      <c r="R61" s="6">
        <v>14312</v>
      </c>
      <c r="S61" s="6">
        <v>15226</v>
      </c>
      <c r="T61" s="6">
        <v>15420</v>
      </c>
    </row>
    <row r="62" spans="2:50" x14ac:dyDescent="0.2">
      <c r="B62" t="s">
        <v>60</v>
      </c>
      <c r="N62" s="6">
        <v>382</v>
      </c>
      <c r="O62" s="6">
        <v>382</v>
      </c>
      <c r="P62" s="6">
        <v>391</v>
      </c>
      <c r="Q62" s="6">
        <v>464</v>
      </c>
      <c r="R62" s="6">
        <v>561</v>
      </c>
      <c r="S62" s="6">
        <v>520</v>
      </c>
      <c r="T62" s="6">
        <v>532</v>
      </c>
    </row>
    <row r="63" spans="2:50" x14ac:dyDescent="0.2">
      <c r="B63" t="s">
        <v>65</v>
      </c>
      <c r="N63" s="6">
        <v>6414</v>
      </c>
      <c r="O63" s="6">
        <v>6575</v>
      </c>
      <c r="P63" s="6">
        <v>6552</v>
      </c>
      <c r="Q63" s="6">
        <v>6859</v>
      </c>
      <c r="R63" s="6">
        <v>7227</v>
      </c>
      <c r="S63" s="6">
        <v>7010</v>
      </c>
      <c r="T63" s="6">
        <v>7003</v>
      </c>
    </row>
    <row r="64" spans="2:50" x14ac:dyDescent="0.2">
      <c r="B64" t="s">
        <v>64</v>
      </c>
      <c r="N64" s="6">
        <v>50018</v>
      </c>
      <c r="O64" s="6">
        <v>51160</v>
      </c>
      <c r="P64" s="6">
        <v>52845</v>
      </c>
      <c r="Q64" s="6">
        <v>54334</v>
      </c>
      <c r="R64" s="6">
        <v>55811</v>
      </c>
      <c r="S64" s="6">
        <v>57512</v>
      </c>
      <c r="T64" s="6">
        <v>59929</v>
      </c>
    </row>
    <row r="65" spans="2:25" x14ac:dyDescent="0.2">
      <c r="B65" t="s">
        <v>63</v>
      </c>
      <c r="N65" s="6">
        <v>927</v>
      </c>
      <c r="O65" s="6">
        <v>154</v>
      </c>
      <c r="P65" s="6">
        <v>285</v>
      </c>
      <c r="Q65" s="6">
        <v>-207</v>
      </c>
      <c r="R65" s="6">
        <v>-693</v>
      </c>
      <c r="S65" s="6">
        <v>-1996</v>
      </c>
      <c r="T65" s="6">
        <v>-3411</v>
      </c>
    </row>
    <row r="66" spans="2:25" x14ac:dyDescent="0.2">
      <c r="B66" t="s">
        <v>62</v>
      </c>
      <c r="N66" s="6">
        <v>77345</v>
      </c>
      <c r="O66" s="6">
        <v>82343</v>
      </c>
      <c r="P66" s="6">
        <v>85097</v>
      </c>
      <c r="Q66" s="6">
        <v>79233</v>
      </c>
      <c r="R66" s="6">
        <v>69761</v>
      </c>
      <c r="S66" s="6">
        <v>67712</v>
      </c>
      <c r="T66" s="6">
        <v>69249</v>
      </c>
    </row>
    <row r="67" spans="2:25" x14ac:dyDescent="0.2">
      <c r="B67" t="s">
        <v>61</v>
      </c>
      <c r="N67" s="6">
        <f t="shared" ref="N67:O67" si="154">SUM(N58:N66)</f>
        <v>159316</v>
      </c>
      <c r="O67" s="6">
        <f t="shared" si="154"/>
        <v>163523</v>
      </c>
      <c r="P67" s="6">
        <f t="shared" ref="P67:Q67" si="155">SUM(P58:P66)</f>
        <v>170609</v>
      </c>
      <c r="Q67" s="6">
        <f t="shared" si="155"/>
        <v>169585</v>
      </c>
      <c r="R67" s="6">
        <f t="shared" ref="R67:T67" si="156">SUM(R58:R66)</f>
        <v>165987</v>
      </c>
      <c r="S67" s="6">
        <f t="shared" si="156"/>
        <v>164218</v>
      </c>
      <c r="T67" s="6">
        <f t="shared" si="156"/>
        <v>169779</v>
      </c>
    </row>
    <row r="68" spans="2:25" x14ac:dyDescent="0.2">
      <c r="S68" s="6"/>
    </row>
    <row r="69" spans="2:25" x14ac:dyDescent="0.2">
      <c r="B69" t="s">
        <v>66</v>
      </c>
      <c r="O69" s="6">
        <f t="shared" ref="O69:P69" si="157">O36</f>
        <v>9497</v>
      </c>
      <c r="P69" s="6">
        <f t="shared" si="157"/>
        <v>10394</v>
      </c>
      <c r="Q69" s="6">
        <f>Q36</f>
        <v>9194</v>
      </c>
      <c r="R69" s="6">
        <f t="shared" ref="R69" si="158">R36</f>
        <v>10285</v>
      </c>
      <c r="S69" s="6">
        <f>S36</f>
        <v>7465</v>
      </c>
      <c r="T69" s="6">
        <f>T36</f>
        <v>6687</v>
      </c>
    </row>
    <row r="70" spans="2:25" x14ac:dyDescent="0.2">
      <c r="B70" t="s">
        <v>67</v>
      </c>
      <c r="O70" s="6">
        <v>9497</v>
      </c>
      <c r="P70" s="6">
        <f>19892-O70</f>
        <v>10395</v>
      </c>
      <c r="Q70" s="6">
        <f>29085-P70-O70</f>
        <v>9193</v>
      </c>
      <c r="R70" s="6">
        <v>10285</v>
      </c>
      <c r="S70" s="6">
        <v>7465</v>
      </c>
      <c r="T70" s="6">
        <v>6687</v>
      </c>
    </row>
    <row r="71" spans="2:25" x14ac:dyDescent="0.2">
      <c r="B71" t="s">
        <v>69</v>
      </c>
      <c r="O71" s="6">
        <v>1972</v>
      </c>
      <c r="P71" s="6">
        <f>3958-O71</f>
        <v>1986</v>
      </c>
      <c r="Q71" s="6">
        <f>5953-P71-O71</f>
        <v>1995</v>
      </c>
      <c r="R71" s="6">
        <v>2014</v>
      </c>
      <c r="S71" s="6">
        <v>2156</v>
      </c>
      <c r="T71" s="6">
        <v>1979</v>
      </c>
    </row>
    <row r="72" spans="2:25" x14ac:dyDescent="0.2">
      <c r="B72" t="s">
        <v>70</v>
      </c>
      <c r="O72" s="6">
        <v>1830</v>
      </c>
      <c r="P72" s="6">
        <f>4379-O72</f>
        <v>2549</v>
      </c>
      <c r="Q72" s="6">
        <f>6757-P72-O72</f>
        <v>2378</v>
      </c>
      <c r="R72" s="6">
        <v>2406</v>
      </c>
      <c r="S72" s="6">
        <v>2498</v>
      </c>
      <c r="T72" s="6">
        <v>3351</v>
      </c>
    </row>
    <row r="73" spans="2:25" x14ac:dyDescent="0.2">
      <c r="B73" t="s">
        <v>71</v>
      </c>
      <c r="O73" s="6">
        <v>418</v>
      </c>
      <c r="P73" s="6">
        <f>647-O73</f>
        <v>229</v>
      </c>
      <c r="Q73" s="6">
        <f>-139-P73-O73</f>
        <v>-786</v>
      </c>
      <c r="R73" s="6">
        <v>748</v>
      </c>
      <c r="S73" s="6">
        <v>-563</v>
      </c>
      <c r="T73" s="6">
        <v>-453</v>
      </c>
    </row>
    <row r="74" spans="2:25" x14ac:dyDescent="0.2">
      <c r="B74" t="s">
        <v>55</v>
      </c>
      <c r="O74" s="6">
        <v>-66</v>
      </c>
      <c r="P74" s="6">
        <f>-88-O74</f>
        <v>-22</v>
      </c>
      <c r="Q74" s="6">
        <f>-161-P74-O74</f>
        <v>-73</v>
      </c>
      <c r="R74" s="6">
        <v>34</v>
      </c>
      <c r="S74" s="6">
        <v>-221</v>
      </c>
      <c r="T74" s="6">
        <v>189</v>
      </c>
    </row>
    <row r="75" spans="2:25" x14ac:dyDescent="0.2">
      <c r="B75" t="s">
        <v>72</v>
      </c>
      <c r="O75" s="6">
        <f>849-461-10-250-72-1681+6+210</f>
        <v>-1409</v>
      </c>
      <c r="P75" s="6">
        <f>-517-2313-195-134-133-200+9+184-O75</f>
        <v>-1890</v>
      </c>
      <c r="Q75" s="6">
        <f>-1072-2566-184+560-163+895+87+527-P75-O75</f>
        <v>1383</v>
      </c>
      <c r="R75" s="6">
        <f>-2038+817-165+876+151+2462+100+414</f>
        <v>2617</v>
      </c>
      <c r="S75" s="6">
        <f>2557+573-108-882-105+763-52-5</f>
        <v>2741</v>
      </c>
      <c r="T75" s="6">
        <f>-522-435-25+237+73+1180+24-88</f>
        <v>444</v>
      </c>
    </row>
    <row r="76" spans="2:25" x14ac:dyDescent="0.2">
      <c r="B76" t="s">
        <v>68</v>
      </c>
      <c r="O76" s="6">
        <f t="shared" ref="O76:T76" si="159">SUM(O70:O75)</f>
        <v>12242</v>
      </c>
      <c r="P76" s="6">
        <f t="shared" si="159"/>
        <v>13247</v>
      </c>
      <c r="Q76" s="6">
        <f t="shared" si="159"/>
        <v>14090</v>
      </c>
      <c r="R76" s="6">
        <f t="shared" si="159"/>
        <v>18104</v>
      </c>
      <c r="S76" s="6">
        <f t="shared" si="159"/>
        <v>14076</v>
      </c>
      <c r="T76" s="6">
        <f t="shared" si="159"/>
        <v>12197</v>
      </c>
    </row>
    <row r="77" spans="2:25" x14ac:dyDescent="0.2">
      <c r="S77" s="6"/>
      <c r="T77" s="6"/>
    </row>
    <row r="78" spans="2:25" s="3" customFormat="1" x14ac:dyDescent="0.2">
      <c r="B78" s="3" t="s">
        <v>73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>
        <v>-4272</v>
      </c>
      <c r="P78" s="6">
        <f>-8884-O78</f>
        <v>-4612</v>
      </c>
      <c r="Q78" s="6">
        <f>-13198-P78-O78</f>
        <v>-4314</v>
      </c>
      <c r="R78" s="6">
        <v>-5370</v>
      </c>
      <c r="S78" s="6">
        <f>-5441+126</f>
        <v>-5315</v>
      </c>
      <c r="T78" s="6">
        <f>-7572+44</f>
        <v>-7528</v>
      </c>
      <c r="U78" s="6"/>
      <c r="V78" s="6"/>
      <c r="W78" s="6"/>
      <c r="X78" s="6"/>
      <c r="Y78" s="6"/>
    </row>
    <row r="79" spans="2:25" s="3" customFormat="1" x14ac:dyDescent="0.2">
      <c r="B79" s="3" t="s">
        <v>74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f>-6231+1650+3981-2</f>
        <v>-602</v>
      </c>
      <c r="P79" s="6">
        <f>-16528+6337+6327-O79-62</f>
        <v>-3324</v>
      </c>
      <c r="Q79" s="6">
        <f>-24314+15331+9318-46-160-P79-O79</f>
        <v>4055</v>
      </c>
      <c r="R79" s="6">
        <f>-6093+16340+1598-2-123</f>
        <v>11720</v>
      </c>
      <c r="S79" s="6">
        <f>-4068+5065+402-10</f>
        <v>1389</v>
      </c>
      <c r="T79" s="6">
        <f>-2220+2648+511-7</f>
        <v>932</v>
      </c>
      <c r="U79" s="6"/>
      <c r="V79" s="6"/>
      <c r="W79" s="6"/>
      <c r="X79" s="6"/>
      <c r="Y79" s="6"/>
    </row>
    <row r="80" spans="2:25" s="3" customFormat="1" x14ac:dyDescent="0.2">
      <c r="B80" s="3" t="s">
        <v>75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0</v>
      </c>
      <c r="P80" s="6">
        <f>-259-O80</f>
        <v>-259</v>
      </c>
      <c r="Q80" s="6">
        <f>-330-P80-O80</f>
        <v>-71</v>
      </c>
      <c r="R80" s="6">
        <v>-521</v>
      </c>
      <c r="S80" s="6">
        <v>-853</v>
      </c>
      <c r="T80" s="6">
        <v>-363</v>
      </c>
      <c r="U80" s="6"/>
      <c r="V80" s="6"/>
      <c r="W80" s="6"/>
      <c r="X80" s="6"/>
      <c r="Y80" s="6"/>
    </row>
    <row r="81" spans="2:25" s="3" customFormat="1" x14ac:dyDescent="0.2">
      <c r="B81" s="3" t="s">
        <v>76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f t="shared" ref="O81:T81" si="160">SUM(O78:O80)</f>
        <v>-4874</v>
      </c>
      <c r="P81" s="6">
        <f t="shared" si="160"/>
        <v>-8195</v>
      </c>
      <c r="Q81" s="6">
        <f t="shared" si="160"/>
        <v>-330</v>
      </c>
      <c r="R81" s="6">
        <f t="shared" si="160"/>
        <v>5829</v>
      </c>
      <c r="S81" s="6">
        <f t="shared" si="160"/>
        <v>-4779</v>
      </c>
      <c r="T81" s="6">
        <f t="shared" si="160"/>
        <v>-6959</v>
      </c>
      <c r="U81" s="6"/>
      <c r="V81" s="6"/>
      <c r="W81" s="6"/>
      <c r="X81" s="6"/>
      <c r="Y81" s="6"/>
    </row>
    <row r="82" spans="2:25" s="3" customFormat="1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2:25" s="3" customFormat="1" x14ac:dyDescent="0.2">
      <c r="B83" s="3" t="s">
        <v>77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-1077</v>
      </c>
      <c r="P83" s="6">
        <f>-2432-O83</f>
        <v>-1355</v>
      </c>
      <c r="Q83" s="6">
        <f>-4007-P83-O83</f>
        <v>-1575</v>
      </c>
      <c r="R83" s="6">
        <v>-1507</v>
      </c>
      <c r="S83" s="6">
        <v>-925</v>
      </c>
      <c r="T83" s="6">
        <v>-1002</v>
      </c>
      <c r="U83" s="6"/>
      <c r="V83" s="6"/>
      <c r="W83" s="6"/>
      <c r="X83" s="6"/>
      <c r="Y83" s="6"/>
    </row>
    <row r="84" spans="2:25" s="7" customFormat="1" x14ac:dyDescent="0.2">
      <c r="B84" s="7" t="s">
        <v>78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>
        <v>-3939</v>
      </c>
      <c r="P84" s="8">
        <f>-11018-O84</f>
        <v>-7079</v>
      </c>
      <c r="Q84" s="8">
        <f>-24476-P84-O84</f>
        <v>-13458</v>
      </c>
      <c r="R84" s="8">
        <v>-20063</v>
      </c>
      <c r="S84" s="8">
        <v>-9506</v>
      </c>
      <c r="T84" s="8">
        <v>-5233</v>
      </c>
      <c r="U84" s="8"/>
      <c r="V84" s="8"/>
      <c r="W84" s="8"/>
      <c r="X84" s="8"/>
      <c r="Y84" s="8"/>
    </row>
    <row r="85" spans="2:25" s="3" customFormat="1" x14ac:dyDescent="0.2">
      <c r="B85" s="3" t="s">
        <v>55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f>-151+32-50</f>
        <v>-169</v>
      </c>
      <c r="P85" s="6">
        <f>-274-O85+3-13</f>
        <v>-115</v>
      </c>
      <c r="Q85" s="6">
        <f>-505+15-13-P85-O85</f>
        <v>-219</v>
      </c>
      <c r="R85" s="6">
        <v>-172</v>
      </c>
      <c r="S85" s="6">
        <f>-233+20-16</f>
        <v>-229</v>
      </c>
      <c r="T85" s="6">
        <f>-219-79-30</f>
        <v>-328</v>
      </c>
      <c r="U85" s="6"/>
      <c r="V85" s="6"/>
      <c r="W85" s="6"/>
      <c r="X85" s="6"/>
      <c r="Y85" s="6"/>
    </row>
    <row r="86" spans="2:25" s="3" customFormat="1" x14ac:dyDescent="0.2">
      <c r="B86" s="3" t="s">
        <v>79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f t="shared" ref="O86:Q86" si="161">SUM(O83:O85)</f>
        <v>-5185</v>
      </c>
      <c r="P86" s="6">
        <f t="shared" si="161"/>
        <v>-8549</v>
      </c>
      <c r="Q86" s="6">
        <f t="shared" si="161"/>
        <v>-15252</v>
      </c>
      <c r="R86" s="6">
        <f t="shared" ref="R86" si="162">SUM(R83:R85)</f>
        <v>-21742</v>
      </c>
      <c r="S86" s="6">
        <f>SUM(S83:S85)</f>
        <v>-10660</v>
      </c>
      <c r="T86" s="6">
        <f>SUM(T83:T85)</f>
        <v>-6563</v>
      </c>
      <c r="U86" s="6"/>
      <c r="V86" s="6"/>
      <c r="W86" s="6"/>
      <c r="X86" s="6"/>
      <c r="Y86" s="6"/>
    </row>
    <row r="87" spans="2:25" x14ac:dyDescent="0.2">
      <c r="B87" t="s">
        <v>80</v>
      </c>
      <c r="O87" s="1">
        <v>-246</v>
      </c>
      <c r="P87" s="1">
        <f>-129-O87</f>
        <v>117</v>
      </c>
      <c r="Q87" s="1">
        <f>-344-P87-O87</f>
        <v>-215</v>
      </c>
      <c r="R87" s="1">
        <v>-130</v>
      </c>
      <c r="S87" s="6">
        <v>-149</v>
      </c>
      <c r="T87" s="1">
        <v>-550</v>
      </c>
    </row>
    <row r="88" spans="2:25" x14ac:dyDescent="0.2">
      <c r="B88" t="s">
        <v>81</v>
      </c>
      <c r="O88" s="6">
        <f t="shared" ref="O88:T88" si="163">+O87+O86+O81+O76</f>
        <v>1937</v>
      </c>
      <c r="P88" s="6">
        <f t="shared" si="163"/>
        <v>-3380</v>
      </c>
      <c r="Q88" s="6">
        <f t="shared" si="163"/>
        <v>-1707</v>
      </c>
      <c r="R88" s="6">
        <f t="shared" si="163"/>
        <v>2061</v>
      </c>
      <c r="S88" s="6">
        <f t="shared" si="163"/>
        <v>-1512</v>
      </c>
      <c r="T88" s="6">
        <f t="shared" si="163"/>
        <v>-1875</v>
      </c>
    </row>
    <row r="89" spans="2:25" x14ac:dyDescent="0.2">
      <c r="S89" s="6"/>
    </row>
    <row r="90" spans="2:25" s="3" customFormat="1" x14ac:dyDescent="0.2">
      <c r="B90" s="3" t="s">
        <v>35</v>
      </c>
      <c r="C90" s="6"/>
      <c r="D90" s="6"/>
      <c r="E90" s="6"/>
      <c r="F90" s="6"/>
      <c r="G90" s="6"/>
      <c r="H90" s="6"/>
      <c r="I90" s="6">
        <v>43030</v>
      </c>
      <c r="J90" s="6">
        <v>44942</v>
      </c>
      <c r="K90" s="6"/>
      <c r="L90" s="6"/>
      <c r="M90" s="6"/>
      <c r="N90" s="6"/>
      <c r="O90" s="6"/>
      <c r="P90" s="6"/>
      <c r="Q90" s="6"/>
      <c r="R90" s="6">
        <v>71970</v>
      </c>
      <c r="S90" s="6">
        <v>77805</v>
      </c>
      <c r="T90" s="6">
        <v>83553</v>
      </c>
      <c r="U90" s="6"/>
      <c r="V90" s="6"/>
      <c r="W90" s="6"/>
      <c r="X90" s="6"/>
      <c r="Y90" s="6"/>
    </row>
    <row r="91" spans="2:25" x14ac:dyDescent="0.2">
      <c r="S91" s="6">
        <f>+S90-R90</f>
        <v>5835</v>
      </c>
      <c r="T91" s="6">
        <f>+T90-S90</f>
        <v>5748</v>
      </c>
    </row>
    <row r="92" spans="2:25" x14ac:dyDescent="0.2">
      <c r="S92" s="6"/>
      <c r="T92" s="6"/>
    </row>
    <row r="93" spans="2:25" x14ac:dyDescent="0.2">
      <c r="B93" t="s">
        <v>118</v>
      </c>
      <c r="O93" s="6">
        <f>+O76+O78</f>
        <v>7970</v>
      </c>
      <c r="P93" s="6">
        <f t="shared" ref="P93:S93" si="164">+P76+P78</f>
        <v>8635</v>
      </c>
      <c r="Q93" s="6">
        <f t="shared" si="164"/>
        <v>9776</v>
      </c>
      <c r="R93" s="6">
        <f t="shared" si="164"/>
        <v>12734</v>
      </c>
      <c r="S93" s="6">
        <f t="shared" si="164"/>
        <v>8761</v>
      </c>
      <c r="T93" s="6">
        <f>+T76+T78</f>
        <v>4669</v>
      </c>
    </row>
    <row r="94" spans="2:25" x14ac:dyDescent="0.2">
      <c r="B94" t="s">
        <v>119</v>
      </c>
      <c r="R94" s="6">
        <f t="shared" ref="R94:S94" si="165">SUM(O93:R93)</f>
        <v>39115</v>
      </c>
      <c r="S94" s="6">
        <f t="shared" si="165"/>
        <v>39906</v>
      </c>
      <c r="T94" s="6">
        <f>SUM(Q93:T93)</f>
        <v>35940</v>
      </c>
    </row>
    <row r="96" spans="2:25" x14ac:dyDescent="0.2">
      <c r="B96" t="s">
        <v>186</v>
      </c>
      <c r="Q96" s="1">
        <v>-2631</v>
      </c>
      <c r="U96" s="1">
        <v>-3672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ignoredErrors>
    <ignoredError sqref="R24:T24 N24:Q24" formulaRange="1"/>
    <ignoredError sqref="R8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RowHeight="12.75" x14ac:dyDescent="0.2"/>
  <cols>
    <col min="1" max="1" width="5" bestFit="1" customWidth="1"/>
    <col min="2" max="2" width="9.28515625" bestFit="1" customWidth="1"/>
    <col min="3" max="3" width="10.42578125" bestFit="1" customWidth="1"/>
  </cols>
  <sheetData>
    <row r="1" spans="1:8" x14ac:dyDescent="0.2">
      <c r="A1" t="s">
        <v>7</v>
      </c>
    </row>
    <row r="2" spans="1:8" x14ac:dyDescent="0.2">
      <c r="B2" t="s">
        <v>120</v>
      </c>
      <c r="C2" t="s">
        <v>122</v>
      </c>
      <c r="D2" t="s">
        <v>123</v>
      </c>
      <c r="E2" t="s">
        <v>125</v>
      </c>
      <c r="F2" t="s">
        <v>127</v>
      </c>
      <c r="G2" t="s">
        <v>129</v>
      </c>
      <c r="H2" t="s">
        <v>121</v>
      </c>
    </row>
    <row r="3" spans="1:8" x14ac:dyDescent="0.2">
      <c r="B3">
        <v>11449606</v>
      </c>
      <c r="C3" s="20">
        <v>44215</v>
      </c>
      <c r="D3" s="20">
        <v>44824</v>
      </c>
      <c r="E3" s="20" t="s">
        <v>126</v>
      </c>
      <c r="F3" s="20" t="s">
        <v>128</v>
      </c>
      <c r="G3">
        <v>3</v>
      </c>
      <c r="H3" t="s">
        <v>124</v>
      </c>
    </row>
    <row r="4" spans="1:8" x14ac:dyDescent="0.2">
      <c r="B4">
        <v>11449189</v>
      </c>
      <c r="C4" s="20">
        <v>43740</v>
      </c>
      <c r="D4" s="20">
        <v>44824</v>
      </c>
      <c r="E4" t="s">
        <v>126</v>
      </c>
      <c r="F4" t="s">
        <v>131</v>
      </c>
      <c r="G4">
        <v>4</v>
      </c>
      <c r="H4" t="s">
        <v>130</v>
      </c>
    </row>
    <row r="5" spans="1:8" x14ac:dyDescent="0.2">
      <c r="B5">
        <v>11448803</v>
      </c>
      <c r="C5" s="20">
        <v>43836</v>
      </c>
      <c r="D5" s="20">
        <v>44824</v>
      </c>
      <c r="E5" t="s">
        <v>132</v>
      </c>
      <c r="F5" t="s">
        <v>133</v>
      </c>
      <c r="G5">
        <v>3</v>
      </c>
      <c r="H5" t="s">
        <v>134</v>
      </c>
    </row>
    <row r="6" spans="1:8" x14ac:dyDescent="0.2">
      <c r="B6">
        <v>11442272</v>
      </c>
      <c r="C6" s="20">
        <v>43902</v>
      </c>
      <c r="D6" s="20">
        <v>44817</v>
      </c>
      <c r="E6" t="s">
        <v>126</v>
      </c>
      <c r="F6" t="s">
        <v>135</v>
      </c>
      <c r="G6">
        <v>3</v>
      </c>
      <c r="H6" t="s">
        <v>136</v>
      </c>
    </row>
    <row r="7" spans="1:8" x14ac:dyDescent="0.2">
      <c r="B7">
        <v>11441702</v>
      </c>
      <c r="C7" s="20">
        <v>43594</v>
      </c>
      <c r="D7" s="20">
        <v>44817</v>
      </c>
      <c r="E7" t="s">
        <v>137</v>
      </c>
      <c r="G7">
        <v>3</v>
      </c>
      <c r="H7" t="s">
        <v>138</v>
      </c>
    </row>
    <row r="8" spans="1:8" x14ac:dyDescent="0.2">
      <c r="B8">
        <v>11436793</v>
      </c>
      <c r="C8" s="20">
        <v>44239</v>
      </c>
      <c r="D8" s="20">
        <v>44810</v>
      </c>
      <c r="E8" t="s">
        <v>139</v>
      </c>
      <c r="F8" t="s">
        <v>140</v>
      </c>
      <c r="G8">
        <v>3</v>
      </c>
      <c r="H8" t="s">
        <v>141</v>
      </c>
    </row>
    <row r="9" spans="1:8" x14ac:dyDescent="0.2">
      <c r="B9">
        <v>11435820</v>
      </c>
      <c r="C9" s="20">
        <v>43601</v>
      </c>
      <c r="D9" s="20">
        <v>44810</v>
      </c>
      <c r="E9" t="s">
        <v>126</v>
      </c>
      <c r="F9" t="s">
        <v>142</v>
      </c>
      <c r="G9">
        <v>3</v>
      </c>
      <c r="H9" t="s">
        <v>143</v>
      </c>
    </row>
    <row r="10" spans="1:8" x14ac:dyDescent="0.2">
      <c r="B10">
        <v>11435448</v>
      </c>
      <c r="C10" s="20">
        <v>44071</v>
      </c>
      <c r="D10" s="20">
        <v>44810</v>
      </c>
      <c r="E10" t="s">
        <v>139</v>
      </c>
      <c r="F10" t="s">
        <v>144</v>
      </c>
      <c r="G10">
        <v>3</v>
      </c>
      <c r="H10" t="s">
        <v>145</v>
      </c>
    </row>
    <row r="11" spans="1:8" x14ac:dyDescent="0.2">
      <c r="B11">
        <v>11431955</v>
      </c>
      <c r="C11" s="20">
        <v>43802</v>
      </c>
      <c r="D11" s="20">
        <v>44803</v>
      </c>
      <c r="E11" t="s">
        <v>137</v>
      </c>
      <c r="F11" t="s">
        <v>147</v>
      </c>
      <c r="G11">
        <v>3</v>
      </c>
      <c r="H11" t="s">
        <v>146</v>
      </c>
    </row>
    <row r="12" spans="1:8" x14ac:dyDescent="0.2">
      <c r="B12">
        <v>11430398</v>
      </c>
      <c r="C12" s="20">
        <v>44455</v>
      </c>
      <c r="D12" s="20">
        <v>44803</v>
      </c>
      <c r="E12" t="s">
        <v>148</v>
      </c>
      <c r="F12" t="s">
        <v>149</v>
      </c>
      <c r="G12">
        <v>3</v>
      </c>
      <c r="H12" t="s">
        <v>150</v>
      </c>
    </row>
    <row r="13" spans="1:8" x14ac:dyDescent="0.2">
      <c r="B13">
        <v>11430141</v>
      </c>
      <c r="C13" s="20">
        <v>43844</v>
      </c>
      <c r="D13" s="20">
        <v>44803</v>
      </c>
      <c r="E13" t="s">
        <v>126</v>
      </c>
      <c r="F13" t="s">
        <v>152</v>
      </c>
      <c r="G13">
        <v>4</v>
      </c>
      <c r="H13" t="s">
        <v>151</v>
      </c>
    </row>
    <row r="14" spans="1:8" x14ac:dyDescent="0.2">
      <c r="B14">
        <v>11430085</v>
      </c>
      <c r="C14" s="20">
        <v>44096</v>
      </c>
      <c r="D14" s="20">
        <v>44803</v>
      </c>
      <c r="E14" t="s">
        <v>137</v>
      </c>
      <c r="F14" t="s">
        <v>153</v>
      </c>
      <c r="G14">
        <v>3</v>
      </c>
      <c r="H14" t="s">
        <v>154</v>
      </c>
    </row>
    <row r="15" spans="1:8" x14ac:dyDescent="0.2">
      <c r="B15">
        <v>11425523</v>
      </c>
      <c r="C15" s="20">
        <v>43931</v>
      </c>
      <c r="D15" s="20">
        <v>44796</v>
      </c>
      <c r="E15" t="s">
        <v>132</v>
      </c>
      <c r="F15" t="s">
        <v>155</v>
      </c>
      <c r="G15">
        <v>3</v>
      </c>
      <c r="H15" t="s">
        <v>156</v>
      </c>
    </row>
    <row r="16" spans="1:8" x14ac:dyDescent="0.2">
      <c r="B16">
        <v>11423621</v>
      </c>
      <c r="C16" s="20">
        <v>43972</v>
      </c>
      <c r="D16" s="20">
        <v>44796</v>
      </c>
      <c r="E16" t="s">
        <v>157</v>
      </c>
      <c r="F16" t="s">
        <v>158</v>
      </c>
      <c r="G16">
        <v>3</v>
      </c>
      <c r="H16" t="s">
        <v>159</v>
      </c>
    </row>
    <row r="17" spans="2:8" x14ac:dyDescent="0.2">
      <c r="B17">
        <v>11423616</v>
      </c>
      <c r="C17" s="20">
        <v>43917</v>
      </c>
      <c r="D17" s="20">
        <v>44796</v>
      </c>
      <c r="E17" t="s">
        <v>148</v>
      </c>
      <c r="F17" t="s">
        <v>160</v>
      </c>
      <c r="G17">
        <v>4</v>
      </c>
      <c r="H17" t="s">
        <v>161</v>
      </c>
    </row>
    <row r="18" spans="2:8" x14ac:dyDescent="0.2">
      <c r="B18">
        <v>11423520</v>
      </c>
      <c r="C18" s="20">
        <v>44134</v>
      </c>
      <c r="D18" s="20">
        <v>44796</v>
      </c>
      <c r="E18" t="s">
        <v>157</v>
      </c>
      <c r="F18" t="s">
        <v>162</v>
      </c>
      <c r="G18">
        <v>3</v>
      </c>
      <c r="H18" t="s">
        <v>163</v>
      </c>
    </row>
    <row r="19" spans="2:8" x14ac:dyDescent="0.2">
      <c r="B19">
        <v>11423152</v>
      </c>
      <c r="C19" s="20">
        <v>43690</v>
      </c>
      <c r="D19" s="20">
        <v>44796</v>
      </c>
      <c r="E19" t="s">
        <v>139</v>
      </c>
      <c r="G19">
        <v>3</v>
      </c>
      <c r="H19" t="s">
        <v>164</v>
      </c>
    </row>
    <row r="20" spans="2:8" x14ac:dyDescent="0.2">
      <c r="B20">
        <v>11422669</v>
      </c>
      <c r="C20" s="20">
        <v>43623</v>
      </c>
      <c r="D20" s="20">
        <v>44796</v>
      </c>
      <c r="E20" t="s">
        <v>126</v>
      </c>
      <c r="F20" t="s">
        <v>165</v>
      </c>
      <c r="G20">
        <v>4</v>
      </c>
      <c r="H20" t="s">
        <v>166</v>
      </c>
    </row>
    <row r="21" spans="2:8" x14ac:dyDescent="0.2">
      <c r="B21">
        <v>11422373</v>
      </c>
      <c r="C21" s="20">
        <v>43868</v>
      </c>
      <c r="D21" s="20">
        <v>44796</v>
      </c>
      <c r="E21" t="s">
        <v>139</v>
      </c>
      <c r="F21" t="s">
        <v>168</v>
      </c>
      <c r="G21">
        <v>3</v>
      </c>
      <c r="H21" t="s">
        <v>167</v>
      </c>
    </row>
    <row r="22" spans="2:8" x14ac:dyDescent="0.2">
      <c r="B22">
        <v>11417054</v>
      </c>
      <c r="C22" s="20">
        <v>44272</v>
      </c>
      <c r="D22" s="20">
        <v>44789</v>
      </c>
      <c r="E22" t="s">
        <v>148</v>
      </c>
      <c r="F22" t="s">
        <v>169</v>
      </c>
      <c r="G22">
        <v>3</v>
      </c>
      <c r="H22" t="s">
        <v>170</v>
      </c>
    </row>
    <row r="23" spans="2:8" x14ac:dyDescent="0.2">
      <c r="B23">
        <v>11416239</v>
      </c>
      <c r="C23" s="20">
        <v>44195</v>
      </c>
      <c r="D23" s="20">
        <v>44789</v>
      </c>
      <c r="E23" t="s">
        <v>157</v>
      </c>
      <c r="F23" t="s">
        <v>171</v>
      </c>
      <c r="G23">
        <v>3</v>
      </c>
      <c r="H23" t="s">
        <v>172</v>
      </c>
    </row>
    <row r="24" spans="2:8" x14ac:dyDescent="0.2">
      <c r="B24">
        <v>11416075</v>
      </c>
      <c r="C24" s="20">
        <v>43915</v>
      </c>
      <c r="D24" s="20">
        <v>44789</v>
      </c>
      <c r="E24" t="s">
        <v>139</v>
      </c>
      <c r="F24" t="s">
        <v>173</v>
      </c>
      <c r="G24">
        <v>5</v>
      </c>
      <c r="H24" t="s">
        <v>174</v>
      </c>
    </row>
    <row r="25" spans="2:8" x14ac:dyDescent="0.2">
      <c r="B25">
        <v>11416067</v>
      </c>
      <c r="C25" s="20">
        <v>44452</v>
      </c>
      <c r="D25" s="20">
        <v>44789</v>
      </c>
      <c r="E25" t="s">
        <v>132</v>
      </c>
      <c r="F25" t="s">
        <v>175</v>
      </c>
      <c r="G25">
        <v>3</v>
      </c>
      <c r="H25" t="s">
        <v>176</v>
      </c>
    </row>
    <row r="26" spans="2:8" x14ac:dyDescent="0.2">
      <c r="B26">
        <v>11415880</v>
      </c>
      <c r="C26" s="20">
        <v>43483</v>
      </c>
      <c r="D26" s="20">
        <v>44789</v>
      </c>
      <c r="E26" t="s">
        <v>137</v>
      </c>
      <c r="F26" t="s">
        <v>177</v>
      </c>
      <c r="G26">
        <v>3</v>
      </c>
      <c r="H26" t="s">
        <v>178</v>
      </c>
    </row>
    <row r="27" spans="2:8" x14ac:dyDescent="0.2">
      <c r="B27">
        <v>11415808</v>
      </c>
      <c r="C27" s="20">
        <v>43818</v>
      </c>
      <c r="D27" s="20">
        <v>44789</v>
      </c>
      <c r="E27" t="s">
        <v>137</v>
      </c>
      <c r="F27" t="s">
        <v>180</v>
      </c>
      <c r="G27">
        <v>3</v>
      </c>
      <c r="H27" t="s">
        <v>179</v>
      </c>
    </row>
    <row r="28" spans="2:8" x14ac:dyDescent="0.2">
      <c r="B28" t="s">
        <v>181</v>
      </c>
      <c r="C28" s="20">
        <v>44537</v>
      </c>
      <c r="D28" s="20">
        <v>44782</v>
      </c>
      <c r="E28" t="s">
        <v>139</v>
      </c>
      <c r="F28" t="s">
        <v>182</v>
      </c>
      <c r="G28">
        <v>3</v>
      </c>
      <c r="H28" t="s">
        <v>183</v>
      </c>
    </row>
    <row r="29" spans="2:8" x14ac:dyDescent="0.2">
      <c r="B29">
        <v>11412511</v>
      </c>
      <c r="C29" s="20">
        <v>43956</v>
      </c>
      <c r="D29" s="20">
        <v>44782</v>
      </c>
      <c r="E29" t="s">
        <v>132</v>
      </c>
      <c r="F29" t="s">
        <v>184</v>
      </c>
      <c r="G29">
        <v>3</v>
      </c>
      <c r="H29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Morton, Joshua</cp:lastModifiedBy>
  <dcterms:created xsi:type="dcterms:W3CDTF">2022-06-11T17:53:18Z</dcterms:created>
  <dcterms:modified xsi:type="dcterms:W3CDTF">2022-11-01T20:02:22Z</dcterms:modified>
</cp:coreProperties>
</file>