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76a65d58f2796f/Desktop/Personal Finance Plan/"/>
    </mc:Choice>
  </mc:AlternateContent>
  <xr:revisionPtr revIDLastSave="428" documentId="13_ncr:1_{2329A189-68AF-4DDE-862C-682261A6A84C}" xr6:coauthVersionLast="47" xr6:coauthVersionMax="47" xr10:uidLastSave="{70746520-C28B-42F7-91CF-6FF38A83480E}"/>
  <bookViews>
    <workbookView xWindow="-120" yWindow="-120" windowWidth="16440" windowHeight="28320" activeTab="1" xr2:uid="{98DB4D34-6C5E-4EDC-94BD-11F284BC6A83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" i="1" l="1"/>
  <c r="R22" i="1" s="1"/>
  <c r="S22" i="1" s="1"/>
  <c r="T22" i="1" s="1"/>
  <c r="U22" i="1" s="1"/>
  <c r="V22" i="1" s="1"/>
  <c r="W22" i="1" s="1"/>
  <c r="X22" i="1" s="1"/>
  <c r="Y22" i="1" s="1"/>
  <c r="Q21" i="1"/>
  <c r="R21" i="1" s="1"/>
  <c r="S21" i="1" s="1"/>
  <c r="T21" i="1" s="1"/>
  <c r="U21" i="1" s="1"/>
  <c r="V21" i="1" s="1"/>
  <c r="W21" i="1" s="1"/>
  <c r="X21" i="1" s="1"/>
  <c r="Y21" i="1" s="1"/>
  <c r="Q20" i="1"/>
  <c r="R20" i="1" s="1"/>
  <c r="S20" i="1" s="1"/>
  <c r="T20" i="1" s="1"/>
  <c r="U20" i="1" s="1"/>
  <c r="V20" i="1" s="1"/>
  <c r="W20" i="1" s="1"/>
  <c r="X20" i="1" s="1"/>
  <c r="Y20" i="1" s="1"/>
  <c r="Q19" i="1"/>
  <c r="R19" i="1" s="1"/>
  <c r="S19" i="1" s="1"/>
  <c r="T19" i="1" s="1"/>
  <c r="U19" i="1" s="1"/>
  <c r="V19" i="1" s="1"/>
  <c r="W19" i="1" s="1"/>
  <c r="X19" i="1" s="1"/>
  <c r="Y19" i="1" s="1"/>
  <c r="P22" i="1"/>
  <c r="P21" i="1"/>
  <c r="P20" i="1"/>
  <c r="P19" i="1"/>
  <c r="Q7" i="1"/>
  <c r="R7" i="1" s="1"/>
  <c r="S7" i="1" s="1"/>
  <c r="T7" i="1" s="1"/>
  <c r="U7" i="1" s="1"/>
  <c r="V7" i="1" s="1"/>
  <c r="W7" i="1" s="1"/>
  <c r="X7" i="1" s="1"/>
  <c r="Y7" i="1" s="1"/>
  <c r="Q6" i="1"/>
  <c r="R6" i="1" s="1"/>
  <c r="S6" i="1" s="1"/>
  <c r="T6" i="1" s="1"/>
  <c r="U6" i="1" s="1"/>
  <c r="V6" i="1" s="1"/>
  <c r="W6" i="1" s="1"/>
  <c r="X6" i="1" s="1"/>
  <c r="Y6" i="1" s="1"/>
  <c r="Q5" i="1"/>
  <c r="R5" i="1" s="1"/>
  <c r="S5" i="1" s="1"/>
  <c r="T5" i="1" s="1"/>
  <c r="U5" i="1" s="1"/>
  <c r="V5" i="1" s="1"/>
  <c r="W5" i="1" s="1"/>
  <c r="X5" i="1" s="1"/>
  <c r="Y5" i="1" s="1"/>
  <c r="P5" i="1"/>
  <c r="P7" i="1"/>
  <c r="P6" i="1"/>
  <c r="O7" i="1"/>
  <c r="O6" i="1"/>
  <c r="D4" i="2"/>
  <c r="D6" i="2"/>
  <c r="D7" i="2"/>
  <c r="D56" i="1"/>
  <c r="D54" i="1"/>
  <c r="D53" i="1"/>
  <c r="N34" i="1"/>
  <c r="N31" i="1"/>
  <c r="N30" i="1"/>
  <c r="N29" i="1"/>
  <c r="N28" i="1"/>
  <c r="N32" i="1" s="1"/>
  <c r="N41" i="1"/>
  <c r="N38" i="1"/>
  <c r="N22" i="1"/>
  <c r="N21" i="1"/>
  <c r="N23" i="1" s="1"/>
  <c r="N20" i="1"/>
  <c r="N19" i="1"/>
  <c r="N13" i="1"/>
  <c r="N12" i="1"/>
  <c r="N11" i="1"/>
  <c r="N6" i="1"/>
  <c r="N7" i="1"/>
  <c r="N5" i="1"/>
  <c r="F41" i="1"/>
  <c r="E41" i="1"/>
  <c r="D41" i="1"/>
  <c r="F38" i="1"/>
  <c r="E38" i="1"/>
  <c r="D38" i="1"/>
  <c r="F34" i="1"/>
  <c r="E34" i="1"/>
  <c r="D34" i="1"/>
  <c r="F30" i="1"/>
  <c r="F29" i="1"/>
  <c r="F28" i="1"/>
  <c r="E30" i="1"/>
  <c r="E29" i="1"/>
  <c r="E28" i="1"/>
  <c r="D30" i="1"/>
  <c r="D29" i="1"/>
  <c r="D28" i="1"/>
  <c r="F22" i="1"/>
  <c r="F21" i="1"/>
  <c r="F20" i="1"/>
  <c r="F19" i="1"/>
  <c r="E22" i="1"/>
  <c r="E21" i="1"/>
  <c r="E20" i="1"/>
  <c r="E19" i="1"/>
  <c r="D22" i="1"/>
  <c r="D21" i="1"/>
  <c r="D20" i="1"/>
  <c r="D19" i="1"/>
  <c r="F13" i="1"/>
  <c r="F12" i="1"/>
  <c r="F11" i="1"/>
  <c r="E13" i="1"/>
  <c r="E12" i="1"/>
  <c r="E11" i="1"/>
  <c r="D13" i="1"/>
  <c r="D12" i="1"/>
  <c r="D11" i="1"/>
  <c r="F7" i="1"/>
  <c r="F6" i="1"/>
  <c r="F5" i="1"/>
  <c r="E7" i="1"/>
  <c r="E6" i="1"/>
  <c r="E5" i="1"/>
  <c r="E8" i="1" s="1"/>
  <c r="D7" i="1"/>
  <c r="D6" i="1"/>
  <c r="D5" i="1"/>
  <c r="F8" i="1"/>
  <c r="D8" i="1"/>
  <c r="J41" i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J38" i="1"/>
  <c r="D5" i="2" s="1"/>
  <c r="M32" i="1"/>
  <c r="L32" i="1"/>
  <c r="K32" i="1"/>
  <c r="M23" i="1"/>
  <c r="L23" i="1"/>
  <c r="K23" i="1"/>
  <c r="M14" i="1"/>
  <c r="L14" i="1"/>
  <c r="K14" i="1"/>
  <c r="M8" i="1"/>
  <c r="L8" i="1"/>
  <c r="K8" i="1"/>
  <c r="K16" i="1" l="1"/>
  <c r="K25" i="1" s="1"/>
  <c r="O38" i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N14" i="1"/>
  <c r="K33" i="1"/>
  <c r="K35" i="1" s="1"/>
  <c r="K37" i="1" s="1"/>
  <c r="N8" i="1"/>
  <c r="N16" i="1" s="1"/>
  <c r="N25" i="1" s="1"/>
  <c r="N33" i="1" s="1"/>
  <c r="N35" i="1" s="1"/>
  <c r="E43" i="1"/>
  <c r="F43" i="1"/>
  <c r="M16" i="1"/>
  <c r="M25" i="1" s="1"/>
  <c r="M33" i="1" s="1"/>
  <c r="M35" i="1" s="1"/>
  <c r="M37" i="1" s="1"/>
  <c r="L16" i="1"/>
  <c r="L25" i="1" s="1"/>
  <c r="L33" i="1" s="1"/>
  <c r="L35" i="1" s="1"/>
  <c r="K40" i="1" l="1"/>
  <c r="N40" i="1"/>
  <c r="N37" i="1"/>
  <c r="M40" i="1"/>
  <c r="L40" i="1"/>
  <c r="L37" i="1"/>
  <c r="J34" i="1" l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J31" i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J30" i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J29" i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J28" i="1"/>
  <c r="O28" i="1" s="1"/>
  <c r="J22" i="1"/>
  <c r="O22" i="1" s="1"/>
  <c r="J21" i="1"/>
  <c r="O21" i="1" s="1"/>
  <c r="J20" i="1"/>
  <c r="O20" i="1" s="1"/>
  <c r="J19" i="1"/>
  <c r="O19" i="1" s="1"/>
  <c r="J13" i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J12" i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J11" i="1"/>
  <c r="O11" i="1" s="1"/>
  <c r="J7" i="1"/>
  <c r="J6" i="1"/>
  <c r="J5" i="1"/>
  <c r="O5" i="1" s="1"/>
  <c r="I32" i="1"/>
  <c r="H32" i="1"/>
  <c r="G32" i="1"/>
  <c r="F32" i="1"/>
  <c r="E32" i="1"/>
  <c r="D32" i="1"/>
  <c r="I23" i="1"/>
  <c r="H23" i="1"/>
  <c r="G23" i="1"/>
  <c r="F23" i="1"/>
  <c r="E23" i="1"/>
  <c r="D23" i="1"/>
  <c r="I14" i="1"/>
  <c r="H14" i="1"/>
  <c r="G14" i="1"/>
  <c r="F14" i="1"/>
  <c r="E14" i="1"/>
  <c r="D14" i="1"/>
  <c r="D16" i="1" s="1"/>
  <c r="D25" i="1" s="1"/>
  <c r="I8" i="1"/>
  <c r="H8" i="1"/>
  <c r="G8" i="1"/>
  <c r="G43" i="1" s="1"/>
  <c r="E3" i="1"/>
  <c r="F3" i="1" s="1"/>
  <c r="G3" i="1" s="1"/>
  <c r="H3" i="1" s="1"/>
  <c r="I3" i="1" s="1"/>
  <c r="J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H44" i="1" l="1"/>
  <c r="P28" i="1"/>
  <c r="O32" i="1"/>
  <c r="O8" i="1"/>
  <c r="H43" i="1"/>
  <c r="I43" i="1"/>
  <c r="P11" i="1"/>
  <c r="O14" i="1"/>
  <c r="O44" i="1" s="1"/>
  <c r="G44" i="1"/>
  <c r="O23" i="1"/>
  <c r="E16" i="1"/>
  <c r="E45" i="1" s="1"/>
  <c r="E44" i="1"/>
  <c r="F16" i="1"/>
  <c r="F44" i="1"/>
  <c r="I44" i="1"/>
  <c r="E25" i="1"/>
  <c r="E33" i="1" s="1"/>
  <c r="E35" i="1" s="1"/>
  <c r="J23" i="1"/>
  <c r="J14" i="1"/>
  <c r="J44" i="1" s="1"/>
  <c r="J8" i="1"/>
  <c r="J43" i="1" s="1"/>
  <c r="J32" i="1"/>
  <c r="D33" i="1"/>
  <c r="D35" i="1" s="1"/>
  <c r="D37" i="1" s="1"/>
  <c r="I16" i="1"/>
  <c r="H16" i="1"/>
  <c r="G16" i="1"/>
  <c r="F25" i="1" l="1"/>
  <c r="F33" i="1" s="1"/>
  <c r="F35" i="1" s="1"/>
  <c r="F45" i="1"/>
  <c r="P23" i="1"/>
  <c r="E40" i="1"/>
  <c r="E46" i="1"/>
  <c r="P8" i="1"/>
  <c r="G25" i="1"/>
  <c r="G33" i="1" s="1"/>
  <c r="G35" i="1" s="1"/>
  <c r="G45" i="1"/>
  <c r="P32" i="1"/>
  <c r="Q28" i="1"/>
  <c r="Q11" i="1"/>
  <c r="P14" i="1"/>
  <c r="P44" i="1" s="1"/>
  <c r="H25" i="1"/>
  <c r="H33" i="1" s="1"/>
  <c r="H35" i="1" s="1"/>
  <c r="H45" i="1"/>
  <c r="I25" i="1"/>
  <c r="I33" i="1" s="1"/>
  <c r="I35" i="1" s="1"/>
  <c r="I37" i="1" s="1"/>
  <c r="I45" i="1"/>
  <c r="O43" i="1"/>
  <c r="O16" i="1"/>
  <c r="Q8" i="1"/>
  <c r="J16" i="1"/>
  <c r="F40" i="1"/>
  <c r="E37" i="1"/>
  <c r="D40" i="1"/>
  <c r="O25" i="1" l="1"/>
  <c r="O33" i="1" s="1"/>
  <c r="O35" i="1" s="1"/>
  <c r="O45" i="1"/>
  <c r="Q43" i="1"/>
  <c r="R11" i="1"/>
  <c r="Q14" i="1"/>
  <c r="Q44" i="1" s="1"/>
  <c r="G40" i="1"/>
  <c r="G46" i="1"/>
  <c r="H40" i="1"/>
  <c r="H46" i="1"/>
  <c r="Q23" i="1"/>
  <c r="I40" i="1"/>
  <c r="I46" i="1"/>
  <c r="H37" i="1"/>
  <c r="J25" i="1"/>
  <c r="J33" i="1" s="1"/>
  <c r="J35" i="1" s="1"/>
  <c r="J37" i="1" s="1"/>
  <c r="J45" i="1"/>
  <c r="Q32" i="1"/>
  <c r="R28" i="1"/>
  <c r="G37" i="1"/>
  <c r="P43" i="1"/>
  <c r="P16" i="1"/>
  <c r="R8" i="1"/>
  <c r="F37" i="1"/>
  <c r="F46" i="1"/>
  <c r="J46" i="1" l="1"/>
  <c r="S28" i="1"/>
  <c r="R32" i="1"/>
  <c r="S11" i="1"/>
  <c r="R14" i="1"/>
  <c r="R44" i="1" s="1"/>
  <c r="Q16" i="1"/>
  <c r="R23" i="1"/>
  <c r="S8" i="1"/>
  <c r="R43" i="1"/>
  <c r="R16" i="1"/>
  <c r="P25" i="1"/>
  <c r="P33" i="1" s="1"/>
  <c r="P35" i="1" s="1"/>
  <c r="P46" i="1" s="1"/>
  <c r="P45" i="1"/>
  <c r="J40" i="1"/>
  <c r="O37" i="1"/>
  <c r="O40" i="1"/>
  <c r="O46" i="1"/>
  <c r="S23" i="1" l="1"/>
  <c r="Q25" i="1"/>
  <c r="Q33" i="1" s="1"/>
  <c r="Q35" i="1" s="1"/>
  <c r="Q45" i="1"/>
  <c r="T11" i="1"/>
  <c r="S14" i="1"/>
  <c r="S44" i="1" s="1"/>
  <c r="R45" i="1"/>
  <c r="R25" i="1"/>
  <c r="R33" i="1" s="1"/>
  <c r="R35" i="1" s="1"/>
  <c r="S43" i="1"/>
  <c r="S16" i="1"/>
  <c r="T28" i="1"/>
  <c r="S32" i="1"/>
  <c r="P37" i="1"/>
  <c r="P40" i="1"/>
  <c r="T8" i="1"/>
  <c r="U8" i="1" l="1"/>
  <c r="T43" i="1"/>
  <c r="U28" i="1"/>
  <c r="T32" i="1"/>
  <c r="S45" i="1"/>
  <c r="S25" i="1"/>
  <c r="S33" i="1" s="1"/>
  <c r="S35" i="1" s="1"/>
  <c r="R46" i="1"/>
  <c r="R37" i="1"/>
  <c r="R40" i="1"/>
  <c r="Q46" i="1"/>
  <c r="Q40" i="1"/>
  <c r="Q37" i="1"/>
  <c r="U11" i="1"/>
  <c r="T14" i="1"/>
  <c r="T44" i="1" s="1"/>
  <c r="T23" i="1"/>
  <c r="V11" i="1" l="1"/>
  <c r="U14" i="1"/>
  <c r="U44" i="1" s="1"/>
  <c r="S46" i="1"/>
  <c r="S37" i="1"/>
  <c r="S40" i="1"/>
  <c r="U23" i="1"/>
  <c r="U32" i="1"/>
  <c r="V28" i="1"/>
  <c r="U43" i="1"/>
  <c r="U16" i="1"/>
  <c r="T16" i="1"/>
  <c r="V8" i="1"/>
  <c r="V43" i="1" l="1"/>
  <c r="V32" i="1"/>
  <c r="W28" i="1"/>
  <c r="W8" i="1"/>
  <c r="U45" i="1"/>
  <c r="U25" i="1"/>
  <c r="U33" i="1" s="1"/>
  <c r="U35" i="1" s="1"/>
  <c r="T45" i="1"/>
  <c r="T25" i="1"/>
  <c r="T33" i="1" s="1"/>
  <c r="T35" i="1" s="1"/>
  <c r="V23" i="1"/>
  <c r="W11" i="1"/>
  <c r="V14" i="1"/>
  <c r="V44" i="1" s="1"/>
  <c r="W23" i="1" l="1"/>
  <c r="T46" i="1"/>
  <c r="T37" i="1"/>
  <c r="T40" i="1"/>
  <c r="W43" i="1"/>
  <c r="X11" i="1"/>
  <c r="W14" i="1"/>
  <c r="W44" i="1" s="1"/>
  <c r="V16" i="1"/>
  <c r="U46" i="1"/>
  <c r="U37" i="1"/>
  <c r="U40" i="1"/>
  <c r="Y8" i="1"/>
  <c r="X8" i="1"/>
  <c r="W32" i="1"/>
  <c r="X28" i="1"/>
  <c r="Y28" i="1" l="1"/>
  <c r="Y32" i="1" s="1"/>
  <c r="X32" i="1"/>
  <c r="X43" i="1"/>
  <c r="Y43" i="1"/>
  <c r="V45" i="1"/>
  <c r="V25" i="1"/>
  <c r="V33" i="1" s="1"/>
  <c r="V35" i="1" s="1"/>
  <c r="W16" i="1"/>
  <c r="Y11" i="1"/>
  <c r="Y14" i="1" s="1"/>
  <c r="Y44" i="1" s="1"/>
  <c r="X14" i="1"/>
  <c r="X44" i="1" s="1"/>
  <c r="Y23" i="1"/>
  <c r="X23" i="1"/>
  <c r="Y16" i="1" l="1"/>
  <c r="W45" i="1"/>
  <c r="W25" i="1"/>
  <c r="W33" i="1" s="1"/>
  <c r="W35" i="1" s="1"/>
  <c r="X16" i="1"/>
  <c r="V46" i="1"/>
  <c r="V40" i="1"/>
  <c r="V37" i="1"/>
  <c r="X45" i="1" l="1"/>
  <c r="X25" i="1"/>
  <c r="X33" i="1" s="1"/>
  <c r="X35" i="1" s="1"/>
  <c r="W46" i="1"/>
  <c r="W37" i="1"/>
  <c r="W40" i="1"/>
  <c r="Y45" i="1"/>
  <c r="Y25" i="1"/>
  <c r="Y33" i="1" s="1"/>
  <c r="Y35" i="1" s="1"/>
  <c r="D49" i="1" s="1"/>
  <c r="D50" i="1" s="1"/>
  <c r="D52" i="1" s="1"/>
  <c r="D55" i="1" s="1"/>
  <c r="D57" i="1" s="1"/>
  <c r="D58" i="1" s="1"/>
  <c r="Y46" i="1" l="1"/>
  <c r="Y40" i="1"/>
  <c r="Y37" i="1"/>
  <c r="X46" i="1"/>
  <c r="X40" i="1"/>
  <c r="X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tc={C4E093D6-D895-41D8-B3F0-1277524FA807}</author>
  </authors>
  <commentList>
    <comment ref="J3" authorId="0" shapeId="0" xr:uid="{C4E093D6-D895-41D8-B3F0-1277524FA807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Q4 estimate as of 1.2.2024 - need 2023 10-K report to finalize year end</t>
      </text>
    </comment>
  </commentList>
</comments>
</file>

<file path=xl/sharedStrings.xml><?xml version="1.0" encoding="utf-8"?>
<sst xmlns="http://schemas.openxmlformats.org/spreadsheetml/2006/main" count="61" uniqueCount="56">
  <si>
    <t>Main</t>
  </si>
  <si>
    <t>Revenue</t>
  </si>
  <si>
    <t>Subscription</t>
  </si>
  <si>
    <t>Product</t>
  </si>
  <si>
    <t>Services &amp; support</t>
  </si>
  <si>
    <t>Cost of Revenue</t>
  </si>
  <si>
    <t>Total cost of revenue</t>
  </si>
  <si>
    <t>Total revenue</t>
  </si>
  <si>
    <t>Gross Profit</t>
  </si>
  <si>
    <t>Operating Expenses</t>
  </si>
  <si>
    <t>Research &amp; development</t>
  </si>
  <si>
    <t>Sales &amp; marketing</t>
  </si>
  <si>
    <t>General and Admin.</t>
  </si>
  <si>
    <t>Amortization of intangibles</t>
  </si>
  <si>
    <t>Total Operating Expenses</t>
  </si>
  <si>
    <t>Operating Income</t>
  </si>
  <si>
    <t>Non-operating income (expense)</t>
  </si>
  <si>
    <t>Interest &amp; other income (expense), net</t>
  </si>
  <si>
    <t>Interest expense</t>
  </si>
  <si>
    <t>Investment gains (losses), net</t>
  </si>
  <si>
    <t>Total non-operating income (expense), net</t>
  </si>
  <si>
    <t>Income before income taxes</t>
  </si>
  <si>
    <t>Provision for income taxes</t>
  </si>
  <si>
    <t>Net Income</t>
  </si>
  <si>
    <t>Basic EPS</t>
  </si>
  <si>
    <t>Diluted net EPS</t>
  </si>
  <si>
    <t>Diluted shares used</t>
  </si>
  <si>
    <t>Basic shares used</t>
  </si>
  <si>
    <t>Price</t>
  </si>
  <si>
    <t>Shares</t>
  </si>
  <si>
    <t>Market cap</t>
  </si>
  <si>
    <t>Cash</t>
  </si>
  <si>
    <t>Debt</t>
  </si>
  <si>
    <t>Other</t>
  </si>
  <si>
    <t>2023 Q1</t>
  </si>
  <si>
    <t>2023 Q2</t>
  </si>
  <si>
    <t>2023 Q3</t>
  </si>
  <si>
    <t>YoY Revenue Growth</t>
  </si>
  <si>
    <t>YoY Cost of Revenue</t>
  </si>
  <si>
    <t>YoY Gross Porfit</t>
  </si>
  <si>
    <t>YoY Net Gain/(Loss)</t>
  </si>
  <si>
    <t>1.2.2024</t>
  </si>
  <si>
    <t>2023 Q4 (Est)</t>
  </si>
  <si>
    <t>ESTIMATES</t>
  </si>
  <si>
    <t>ACTUALS</t>
  </si>
  <si>
    <t>ADBE</t>
  </si>
  <si>
    <t>Terminal Value</t>
  </si>
  <si>
    <t>Enterprise Value</t>
  </si>
  <si>
    <t>(+) Cash &amp; Marketable securities</t>
  </si>
  <si>
    <t>(-) Debt</t>
  </si>
  <si>
    <t>Equity Value</t>
  </si>
  <si>
    <t>Shares outstanding</t>
  </si>
  <si>
    <t>Intrinsic Value</t>
  </si>
  <si>
    <t>Upside</t>
  </si>
  <si>
    <t>ALL NUMBERS PULLED OFF SEC EDGAR DATABASE - LOOK THERE FOR SUPPORT DOCS</t>
  </si>
  <si>
    <t>Price target as of 1.2.2024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</si>
</sst>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43" fontId="0" fillId="0" borderId="0" xfId="1" applyFont="1"/>
    <xf numFmtId="164" fontId="0" fillId="0" borderId="0" xfId="1" applyNumberFormat="1" applyFont="1"/>
    <xf numFmtId="164" fontId="2" fillId="0" borderId="0" xfId="1" applyNumberFormat="1" applyFont="1"/>
    <xf numFmtId="164" fontId="2" fillId="0" borderId="0" xfId="0" applyNumberFormat="1" applyFont="1"/>
    <xf numFmtId="164" fontId="2" fillId="0" borderId="2" xfId="0" applyNumberFormat="1" applyFont="1" applyBorder="1"/>
    <xf numFmtId="164" fontId="0" fillId="0" borderId="1" xfId="1" applyNumberFormat="1" applyFont="1" applyBorder="1"/>
    <xf numFmtId="164" fontId="0" fillId="0" borderId="0" xfId="1" applyNumberFormat="1" applyFont="1" applyFill="1" applyBorder="1"/>
    <xf numFmtId="0" fontId="0" fillId="0" borderId="2" xfId="0" applyBorder="1"/>
    <xf numFmtId="0" fontId="0" fillId="0" borderId="1" xfId="0" applyBorder="1"/>
    <xf numFmtId="43" fontId="0" fillId="0" borderId="0" xfId="0" applyNumberFormat="1"/>
    <xf numFmtId="0" fontId="3" fillId="3" borderId="0" xfId="0" applyFont="1" applyFill="1"/>
    <xf numFmtId="0" fontId="0" fillId="4" borderId="0" xfId="0" applyFill="1"/>
    <xf numFmtId="10" fontId="0" fillId="0" borderId="0" xfId="2" applyNumberFormat="1" applyFont="1"/>
    <xf numFmtId="0" fontId="0" fillId="5" borderId="0" xfId="0" applyFill="1"/>
    <xf numFmtId="164" fontId="2" fillId="5" borderId="0" xfId="1" applyNumberFormat="1" applyFont="1" applyFill="1"/>
    <xf numFmtId="164" fontId="2" fillId="5" borderId="0" xfId="0" applyNumberFormat="1" applyFont="1" applyFill="1"/>
    <xf numFmtId="164" fontId="0" fillId="5" borderId="1" xfId="1" applyNumberFormat="1" applyFont="1" applyFill="1" applyBorder="1"/>
    <xf numFmtId="164" fontId="2" fillId="5" borderId="2" xfId="0" applyNumberFormat="1" applyFont="1" applyFill="1" applyBorder="1"/>
    <xf numFmtId="43" fontId="0" fillId="5" borderId="0" xfId="0" applyNumberFormat="1" applyFill="1"/>
    <xf numFmtId="0" fontId="3" fillId="5" borderId="0" xfId="0" applyFont="1" applyFill="1"/>
    <xf numFmtId="164" fontId="0" fillId="5" borderId="0" xfId="0" applyNumberFormat="1" applyFill="1"/>
    <xf numFmtId="0" fontId="3" fillId="6" borderId="0" xfId="0" applyFont="1" applyFill="1"/>
    <xf numFmtId="164" fontId="0" fillId="2" borderId="0" xfId="1" applyNumberFormat="1" applyFont="1" applyFill="1"/>
    <xf numFmtId="164" fontId="2" fillId="2" borderId="0" xfId="1" applyNumberFormat="1" applyFont="1" applyFill="1"/>
    <xf numFmtId="0" fontId="0" fillId="2" borderId="0" xfId="0" applyFill="1"/>
    <xf numFmtId="164" fontId="2" fillId="2" borderId="0" xfId="0" applyNumberFormat="1" applyFont="1" applyFill="1"/>
    <xf numFmtId="164" fontId="0" fillId="2" borderId="1" xfId="1" applyNumberFormat="1" applyFont="1" applyFill="1" applyBorder="1"/>
    <xf numFmtId="164" fontId="2" fillId="2" borderId="2" xfId="0" applyNumberFormat="1" applyFont="1" applyFill="1" applyBorder="1"/>
    <xf numFmtId="43" fontId="0" fillId="2" borderId="0" xfId="1" applyFont="1" applyFill="1"/>
    <xf numFmtId="43" fontId="0" fillId="2" borderId="0" xfId="0" applyNumberFormat="1" applyFill="1"/>
    <xf numFmtId="0" fontId="2" fillId="5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3" fillId="7" borderId="0" xfId="0" applyFont="1" applyFill="1"/>
    <xf numFmtId="0" fontId="0" fillId="0" borderId="4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2" fillId="0" borderId="6" xfId="0" applyFont="1" applyBorder="1"/>
    <xf numFmtId="0" fontId="2" fillId="0" borderId="8" xfId="0" applyFont="1" applyBorder="1"/>
    <xf numFmtId="0" fontId="2" fillId="0" borderId="3" xfId="0" applyFont="1" applyBorder="1"/>
    <xf numFmtId="43" fontId="0" fillId="0" borderId="5" xfId="0" applyNumberFormat="1" applyBorder="1"/>
    <xf numFmtId="43" fontId="0" fillId="0" borderId="7" xfId="0" applyNumberFormat="1" applyBorder="1"/>
    <xf numFmtId="8" fontId="0" fillId="0" borderId="7" xfId="0" applyNumberFormat="1" applyBorder="1"/>
    <xf numFmtId="10" fontId="0" fillId="0" borderId="10" xfId="2" applyNumberFormat="1" applyFont="1" applyBorder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</cellXfs>
  <cellStyles count="3">
    <cellStyle name="Comma" xfId="1" builtinId="3"/>
    <cellStyle name="Normal" xfId="0" builtinId="0"/>
    <cellStyle name="Percent" xfId="2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hua Morton" id="{74FFA509-99D1-48D8-919E-BCD5C5A40873}" userId="4b76a65d58f2796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3" dT="2024-01-02T16:26:15.83" personId="{74FFA509-99D1-48D8-919E-BCD5C5A40873}" id="{C4E093D6-D895-41D8-B3F0-1277524FA807}">
    <text>Includes Q4 estimate as of 1.2.2024 - need 2023 10-K report to finalize year end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6522-BF36-49E7-9437-DC1FA3C3359D}">
  <dimension ref="C3:E7"/>
  <sheetViews>
    <sheetView workbookViewId="0">
      <selection activeCell="D5" sqref="D5"/>
    </sheetView>
  </sheetViews>
  <sheetFormatPr defaultRowHeight="15" x14ac:dyDescent="0.25"/>
  <cols>
    <col min="3" max="3" width="10.7109375" bestFit="1" customWidth="1"/>
    <col min="4" max="4" width="12" bestFit="1" customWidth="1"/>
  </cols>
  <sheetData>
    <row r="3" spans="3:5" x14ac:dyDescent="0.25">
      <c r="C3" t="s">
        <v>28</v>
      </c>
      <c r="D3">
        <v>577.91</v>
      </c>
      <c r="E3" t="s">
        <v>41</v>
      </c>
    </row>
    <row r="4" spans="3:5" x14ac:dyDescent="0.25">
      <c r="C4" t="s">
        <v>29</v>
      </c>
      <c r="D4">
        <f>Model!J38</f>
        <v>457.25</v>
      </c>
    </row>
    <row r="5" spans="3:5" x14ac:dyDescent="0.25">
      <c r="C5" t="s">
        <v>30</v>
      </c>
      <c r="D5">
        <f>D4*D3</f>
        <v>264249.34749999997</v>
      </c>
    </row>
    <row r="6" spans="3:5" x14ac:dyDescent="0.25">
      <c r="C6" t="s">
        <v>31</v>
      </c>
      <c r="D6">
        <f>6601</f>
        <v>6601</v>
      </c>
      <c r="E6" t="s">
        <v>36</v>
      </c>
    </row>
    <row r="7" spans="3:5" x14ac:dyDescent="0.25">
      <c r="C7" t="s">
        <v>32</v>
      </c>
      <c r="D7">
        <f>3633</f>
        <v>3633</v>
      </c>
      <c r="E7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03F1-9D2E-45BC-893E-3454B56D3A49}">
  <dimension ref="A1:Y62"/>
  <sheetViews>
    <sheetView tabSelected="1" zoomScale="70" zoomScaleNormal="70" workbookViewId="0">
      <selection activeCell="E58" sqref="E58"/>
    </sheetView>
  </sheetViews>
  <sheetFormatPr defaultRowHeight="15" outlineLevelCol="1" x14ac:dyDescent="0.25"/>
  <cols>
    <col min="2" max="2" width="40" bestFit="1" customWidth="1"/>
    <col min="3" max="3" width="2.28515625" customWidth="1"/>
    <col min="4" max="4" width="16.28515625" bestFit="1" customWidth="1"/>
    <col min="5" max="5" width="15.28515625" bestFit="1" customWidth="1"/>
    <col min="6" max="6" width="16.28515625" bestFit="1" customWidth="1"/>
    <col min="7" max="10" width="11" bestFit="1" customWidth="1"/>
    <col min="11" max="13" width="9.5703125" customWidth="1" outlineLevel="1"/>
    <col min="14" max="14" width="13.140625" bestFit="1" customWidth="1" outlineLevel="1"/>
    <col min="15" max="17" width="12.42578125" bestFit="1" customWidth="1"/>
    <col min="18" max="20" width="12" bestFit="1" customWidth="1"/>
    <col min="21" max="23" width="12.42578125" bestFit="1" customWidth="1"/>
    <col min="24" max="24" width="12" bestFit="1" customWidth="1"/>
    <col min="25" max="25" width="12.42578125" bestFit="1" customWidth="1"/>
  </cols>
  <sheetData>
    <row r="1" spans="1:25" x14ac:dyDescent="0.25">
      <c r="D1" s="33" t="s">
        <v>44</v>
      </c>
      <c r="E1" s="33"/>
      <c r="F1" s="33"/>
      <c r="G1" s="33"/>
      <c r="H1" s="33"/>
      <c r="I1" s="33"/>
      <c r="J1" s="33"/>
      <c r="K1" s="33"/>
      <c r="L1" s="33"/>
      <c r="M1" s="33"/>
      <c r="N1" s="32" t="s">
        <v>43</v>
      </c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3" spans="1:25" s="21" customFormat="1" x14ac:dyDescent="0.25">
      <c r="A3" s="34" t="s">
        <v>0</v>
      </c>
      <c r="B3" s="34"/>
      <c r="C3" s="34"/>
      <c r="D3" s="34">
        <v>2017</v>
      </c>
      <c r="E3" s="34">
        <f>D3+1</f>
        <v>2018</v>
      </c>
      <c r="F3" s="34">
        <f t="shared" ref="F3:J3" si="0">E3+1</f>
        <v>2019</v>
      </c>
      <c r="G3" s="34">
        <f t="shared" si="0"/>
        <v>2020</v>
      </c>
      <c r="H3" s="34">
        <f t="shared" si="0"/>
        <v>2021</v>
      </c>
      <c r="I3" s="34">
        <f t="shared" si="0"/>
        <v>2022</v>
      </c>
      <c r="J3" s="23">
        <f t="shared" si="0"/>
        <v>2023</v>
      </c>
      <c r="K3" s="12" t="s">
        <v>34</v>
      </c>
      <c r="L3" s="12" t="s">
        <v>35</v>
      </c>
      <c r="M3" s="12" t="s">
        <v>36</v>
      </c>
      <c r="N3" s="21" t="s">
        <v>42</v>
      </c>
      <c r="O3" s="21">
        <f>J3+1</f>
        <v>2024</v>
      </c>
      <c r="P3" s="21">
        <f>O3+1</f>
        <v>2025</v>
      </c>
      <c r="Q3" s="21">
        <f t="shared" ref="Q3:Z3" si="1">P3+1</f>
        <v>2026</v>
      </c>
      <c r="R3" s="21">
        <f t="shared" si="1"/>
        <v>2027</v>
      </c>
      <c r="S3" s="21">
        <f t="shared" si="1"/>
        <v>2028</v>
      </c>
      <c r="T3" s="21">
        <f t="shared" si="1"/>
        <v>2029</v>
      </c>
      <c r="U3" s="21">
        <f t="shared" si="1"/>
        <v>2030</v>
      </c>
      <c r="V3" s="21">
        <f t="shared" si="1"/>
        <v>2031</v>
      </c>
      <c r="W3" s="21">
        <f t="shared" si="1"/>
        <v>2032</v>
      </c>
      <c r="X3" s="21">
        <f t="shared" si="1"/>
        <v>2033</v>
      </c>
      <c r="Y3" s="21">
        <f t="shared" si="1"/>
        <v>2034</v>
      </c>
    </row>
    <row r="4" spans="1:25" x14ac:dyDescent="0.25">
      <c r="A4" s="1" t="s">
        <v>1</v>
      </c>
      <c r="B4" s="1"/>
      <c r="C4" s="1"/>
    </row>
    <row r="5" spans="1:25" x14ac:dyDescent="0.25">
      <c r="B5" t="s">
        <v>2</v>
      </c>
      <c r="D5" s="3">
        <f>6133869/1000</f>
        <v>6133.8689999999997</v>
      </c>
      <c r="E5" s="3">
        <f>7922152/1000</f>
        <v>7922.152</v>
      </c>
      <c r="F5" s="3">
        <f>9994463/1000</f>
        <v>9994.4629999999997</v>
      </c>
      <c r="G5" s="3">
        <v>11626</v>
      </c>
      <c r="H5" s="3">
        <v>14573</v>
      </c>
      <c r="I5" s="3">
        <v>16388</v>
      </c>
      <c r="J5" s="3">
        <f>SUM(K5:N5)</f>
        <v>18268</v>
      </c>
      <c r="K5" s="24">
        <v>4373</v>
      </c>
      <c r="L5" s="24">
        <v>4517</v>
      </c>
      <c r="M5" s="24">
        <v>4631</v>
      </c>
      <c r="N5" s="20">
        <f>ROUND(M5*1.025,)</f>
        <v>4747</v>
      </c>
      <c r="O5" s="11">
        <f>ROUND(J5*1.1,)</f>
        <v>20095</v>
      </c>
      <c r="P5" s="11">
        <f>ROUND(O5*1.1,)</f>
        <v>22105</v>
      </c>
      <c r="Q5" s="11">
        <f t="shared" ref="Q5:Y5" si="2">ROUND(P5*1.1,)</f>
        <v>24316</v>
      </c>
      <c r="R5" s="11">
        <f t="shared" si="2"/>
        <v>26748</v>
      </c>
      <c r="S5" s="11">
        <f t="shared" si="2"/>
        <v>29423</v>
      </c>
      <c r="T5" s="11">
        <f t="shared" si="2"/>
        <v>32365</v>
      </c>
      <c r="U5" s="11">
        <f t="shared" si="2"/>
        <v>35602</v>
      </c>
      <c r="V5" s="11">
        <f t="shared" si="2"/>
        <v>39162</v>
      </c>
      <c r="W5" s="11">
        <f t="shared" si="2"/>
        <v>43078</v>
      </c>
      <c r="X5" s="11">
        <f t="shared" si="2"/>
        <v>47386</v>
      </c>
      <c r="Y5" s="11">
        <f t="shared" si="2"/>
        <v>52125</v>
      </c>
    </row>
    <row r="6" spans="1:25" x14ac:dyDescent="0.25">
      <c r="B6" t="s">
        <v>3</v>
      </c>
      <c r="D6" s="3">
        <f>706767/1000</f>
        <v>706.76700000000005</v>
      </c>
      <c r="E6" s="3">
        <f>622153/1000</f>
        <v>622.15300000000002</v>
      </c>
      <c r="F6" s="3">
        <f>647788/1000</f>
        <v>647.78800000000001</v>
      </c>
      <c r="G6" s="3">
        <v>507</v>
      </c>
      <c r="H6" s="3">
        <v>555</v>
      </c>
      <c r="I6" s="3">
        <v>532</v>
      </c>
      <c r="J6" s="3">
        <f t="shared" ref="J6:J7" si="3">SUM(K6:N6)</f>
        <v>444</v>
      </c>
      <c r="K6" s="24">
        <v>120</v>
      </c>
      <c r="L6" s="24">
        <v>130</v>
      </c>
      <c r="M6" s="24">
        <v>96</v>
      </c>
      <c r="N6" s="20">
        <f>ROUND(M6*1.025,)</f>
        <v>98</v>
      </c>
      <c r="O6" s="11">
        <f>ROUND(J6*1.07,)</f>
        <v>475</v>
      </c>
      <c r="P6" s="11">
        <f>ROUND(O6*1.07,)</f>
        <v>508</v>
      </c>
      <c r="Q6" s="11">
        <f t="shared" ref="Q6:Y6" si="4">ROUND(P6*1.07,)</f>
        <v>544</v>
      </c>
      <c r="R6" s="11">
        <f t="shared" si="4"/>
        <v>582</v>
      </c>
      <c r="S6" s="11">
        <f t="shared" si="4"/>
        <v>623</v>
      </c>
      <c r="T6" s="11">
        <f t="shared" si="4"/>
        <v>667</v>
      </c>
      <c r="U6" s="11">
        <f t="shared" si="4"/>
        <v>714</v>
      </c>
      <c r="V6" s="11">
        <f t="shared" si="4"/>
        <v>764</v>
      </c>
      <c r="W6" s="11">
        <f t="shared" si="4"/>
        <v>817</v>
      </c>
      <c r="X6" s="11">
        <f t="shared" si="4"/>
        <v>874</v>
      </c>
      <c r="Y6" s="11">
        <f t="shared" si="4"/>
        <v>935</v>
      </c>
    </row>
    <row r="7" spans="1:25" x14ac:dyDescent="0.25">
      <c r="B7" t="s">
        <v>4</v>
      </c>
      <c r="D7" s="3">
        <f>460869/1000</f>
        <v>460.86900000000003</v>
      </c>
      <c r="E7" s="3">
        <f>485703/1000</f>
        <v>485.70299999999997</v>
      </c>
      <c r="F7" s="3">
        <f>529046/1000</f>
        <v>529.04600000000005</v>
      </c>
      <c r="G7" s="3">
        <v>735</v>
      </c>
      <c r="H7" s="3">
        <v>657</v>
      </c>
      <c r="I7" s="3">
        <v>686</v>
      </c>
      <c r="J7" s="3">
        <f t="shared" si="3"/>
        <v>659</v>
      </c>
      <c r="K7" s="24">
        <v>162</v>
      </c>
      <c r="L7" s="24">
        <v>169</v>
      </c>
      <c r="M7" s="24">
        <v>163</v>
      </c>
      <c r="N7" s="20">
        <f>ROUND(M7*1.015,)</f>
        <v>165</v>
      </c>
      <c r="O7" s="11">
        <f>ROUND(J7*1.07,)</f>
        <v>705</v>
      </c>
      <c r="P7" s="11">
        <f>ROUND(O7*1.07,)</f>
        <v>754</v>
      </c>
      <c r="Q7" s="11">
        <f t="shared" ref="Q7:Y7" si="5">ROUND(P7*1.07,)</f>
        <v>807</v>
      </c>
      <c r="R7" s="11">
        <f t="shared" si="5"/>
        <v>863</v>
      </c>
      <c r="S7" s="11">
        <f t="shared" si="5"/>
        <v>923</v>
      </c>
      <c r="T7" s="11">
        <f t="shared" si="5"/>
        <v>988</v>
      </c>
      <c r="U7" s="11">
        <f t="shared" si="5"/>
        <v>1057</v>
      </c>
      <c r="V7" s="11">
        <f t="shared" si="5"/>
        <v>1131</v>
      </c>
      <c r="W7" s="11">
        <f t="shared" si="5"/>
        <v>1210</v>
      </c>
      <c r="X7" s="11">
        <f t="shared" si="5"/>
        <v>1295</v>
      </c>
      <c r="Y7" s="11">
        <f t="shared" si="5"/>
        <v>1386</v>
      </c>
    </row>
    <row r="8" spans="1:25" x14ac:dyDescent="0.25">
      <c r="B8" s="1" t="s">
        <v>7</v>
      </c>
      <c r="C8" s="1"/>
      <c r="D8" s="4">
        <f>SUM(D5:D7)</f>
        <v>7301.5049999999992</v>
      </c>
      <c r="E8" s="4">
        <f>SUM(E5:E7)</f>
        <v>9030.0079999999998</v>
      </c>
      <c r="F8" s="4">
        <f>SUM(F5:F7)</f>
        <v>11171.297</v>
      </c>
      <c r="G8" s="4">
        <f t="shared" ref="E8:Y8" si="6">SUM(G5:G7)</f>
        <v>12868</v>
      </c>
      <c r="H8" s="4">
        <f t="shared" si="6"/>
        <v>15785</v>
      </c>
      <c r="I8" s="4">
        <f t="shared" si="6"/>
        <v>17606</v>
      </c>
      <c r="J8" s="4">
        <f t="shared" si="6"/>
        <v>19371</v>
      </c>
      <c r="K8" s="25">
        <f t="shared" si="6"/>
        <v>4655</v>
      </c>
      <c r="L8" s="25">
        <f t="shared" si="6"/>
        <v>4816</v>
      </c>
      <c r="M8" s="25">
        <f t="shared" si="6"/>
        <v>4890</v>
      </c>
      <c r="N8" s="16">
        <f t="shared" si="6"/>
        <v>5010</v>
      </c>
      <c r="O8" s="4">
        <f t="shared" si="6"/>
        <v>21275</v>
      </c>
      <c r="P8" s="4">
        <f t="shared" si="6"/>
        <v>23367</v>
      </c>
      <c r="Q8" s="4">
        <f t="shared" si="6"/>
        <v>25667</v>
      </c>
      <c r="R8" s="4">
        <f t="shared" si="6"/>
        <v>28193</v>
      </c>
      <c r="S8" s="4">
        <f t="shared" si="6"/>
        <v>30969</v>
      </c>
      <c r="T8" s="4">
        <f t="shared" si="6"/>
        <v>34020</v>
      </c>
      <c r="U8" s="4">
        <f t="shared" si="6"/>
        <v>37373</v>
      </c>
      <c r="V8" s="4">
        <f t="shared" si="6"/>
        <v>41057</v>
      </c>
      <c r="W8" s="4">
        <f t="shared" si="6"/>
        <v>45105</v>
      </c>
      <c r="X8" s="4">
        <f t="shared" si="6"/>
        <v>49555</v>
      </c>
      <c r="Y8" s="4">
        <f t="shared" si="6"/>
        <v>54446</v>
      </c>
    </row>
    <row r="9" spans="1:25" x14ac:dyDescent="0.25">
      <c r="K9" s="26"/>
      <c r="L9" s="26"/>
      <c r="M9" s="26"/>
      <c r="N9" s="15"/>
    </row>
    <row r="10" spans="1:25" x14ac:dyDescent="0.25">
      <c r="A10" s="1" t="s">
        <v>5</v>
      </c>
      <c r="B10" s="1"/>
      <c r="C10" s="1"/>
      <c r="K10" s="26"/>
      <c r="L10" s="26"/>
      <c r="M10" s="26"/>
      <c r="N10" s="15"/>
    </row>
    <row r="11" spans="1:25" x14ac:dyDescent="0.25">
      <c r="B11" t="s">
        <v>2</v>
      </c>
      <c r="D11" s="3">
        <f>623048/1000</f>
        <v>623.048</v>
      </c>
      <c r="E11" s="3">
        <f>807221/1000</f>
        <v>807.221</v>
      </c>
      <c r="F11" s="3">
        <f>1222520/1000</f>
        <v>1222.52</v>
      </c>
      <c r="G11" s="3">
        <v>1108</v>
      </c>
      <c r="H11" s="3">
        <v>1374</v>
      </c>
      <c r="I11" s="3">
        <v>1646</v>
      </c>
      <c r="J11" s="3">
        <f>SUM(K11:N11)</f>
        <v>1771</v>
      </c>
      <c r="K11" s="24">
        <v>434</v>
      </c>
      <c r="L11" s="24">
        <v>436</v>
      </c>
      <c r="M11" s="24">
        <v>447</v>
      </c>
      <c r="N11" s="20">
        <f>ROUND(M11*1.015,)</f>
        <v>454</v>
      </c>
      <c r="O11" s="11">
        <f>ROUND(J11*1.05,)</f>
        <v>1860</v>
      </c>
      <c r="P11" s="11">
        <f>ROUND(O11*1.05,)</f>
        <v>1953</v>
      </c>
      <c r="Q11" s="11">
        <f t="shared" ref="Q11:Y11" si="7">ROUND(P11*1.05,)</f>
        <v>2051</v>
      </c>
      <c r="R11" s="11">
        <f t="shared" si="7"/>
        <v>2154</v>
      </c>
      <c r="S11" s="11">
        <f t="shared" si="7"/>
        <v>2262</v>
      </c>
      <c r="T11" s="11">
        <f t="shared" si="7"/>
        <v>2375</v>
      </c>
      <c r="U11" s="11">
        <f t="shared" si="7"/>
        <v>2494</v>
      </c>
      <c r="V11" s="11">
        <f t="shared" si="7"/>
        <v>2619</v>
      </c>
      <c r="W11" s="11">
        <f t="shared" si="7"/>
        <v>2750</v>
      </c>
      <c r="X11" s="11">
        <f t="shared" si="7"/>
        <v>2888</v>
      </c>
      <c r="Y11" s="11">
        <f t="shared" si="7"/>
        <v>3032</v>
      </c>
    </row>
    <row r="12" spans="1:25" x14ac:dyDescent="0.25">
      <c r="B12" t="s">
        <v>3</v>
      </c>
      <c r="D12" s="3">
        <f>57082/1000</f>
        <v>57.082000000000001</v>
      </c>
      <c r="E12" s="3">
        <f>46009/1000</f>
        <v>46.009</v>
      </c>
      <c r="F12" s="3">
        <f>39625/1000</f>
        <v>39.625</v>
      </c>
      <c r="G12" s="3">
        <v>36</v>
      </c>
      <c r="H12" s="3">
        <v>41</v>
      </c>
      <c r="I12" s="3">
        <v>35</v>
      </c>
      <c r="J12" s="3">
        <f t="shared" ref="J12:J13" si="8">SUM(K12:N12)</f>
        <v>30</v>
      </c>
      <c r="K12" s="24">
        <v>8</v>
      </c>
      <c r="L12" s="24">
        <v>8</v>
      </c>
      <c r="M12" s="24">
        <v>7</v>
      </c>
      <c r="N12" s="20">
        <f t="shared" ref="N12:N13" si="9">ROUND(M12*1.015,)</f>
        <v>7</v>
      </c>
      <c r="O12" s="11">
        <f>ROUND(J12*1.05,)</f>
        <v>32</v>
      </c>
      <c r="P12" s="11">
        <f>ROUND(O12*1.05,)</f>
        <v>34</v>
      </c>
      <c r="Q12" s="11">
        <f t="shared" ref="Q12:Y12" si="10">ROUND(P12*1.05,)</f>
        <v>36</v>
      </c>
      <c r="R12" s="11">
        <f t="shared" si="10"/>
        <v>38</v>
      </c>
      <c r="S12" s="11">
        <f t="shared" si="10"/>
        <v>40</v>
      </c>
      <c r="T12" s="11">
        <f t="shared" si="10"/>
        <v>42</v>
      </c>
      <c r="U12" s="11">
        <f t="shared" si="10"/>
        <v>44</v>
      </c>
      <c r="V12" s="11">
        <f t="shared" si="10"/>
        <v>46</v>
      </c>
      <c r="W12" s="11">
        <f t="shared" si="10"/>
        <v>48</v>
      </c>
      <c r="X12" s="11">
        <f t="shared" si="10"/>
        <v>50</v>
      </c>
      <c r="Y12" s="11">
        <f t="shared" si="10"/>
        <v>53</v>
      </c>
    </row>
    <row r="13" spans="1:25" x14ac:dyDescent="0.25">
      <c r="B13" t="s">
        <v>4</v>
      </c>
      <c r="D13" s="3">
        <f>330361/1000</f>
        <v>330.36099999999999</v>
      </c>
      <c r="E13" s="3">
        <f>341769/1000</f>
        <v>341.76900000000001</v>
      </c>
      <c r="F13" s="3">
        <f>410575/1000</f>
        <v>410.57499999999999</v>
      </c>
      <c r="G13" s="3">
        <v>578</v>
      </c>
      <c r="H13" s="3">
        <v>450</v>
      </c>
      <c r="I13" s="3">
        <v>484</v>
      </c>
      <c r="J13" s="3">
        <f t="shared" si="8"/>
        <v>508</v>
      </c>
      <c r="K13" s="24">
        <v>126</v>
      </c>
      <c r="L13" s="24">
        <v>128</v>
      </c>
      <c r="M13" s="24">
        <v>126</v>
      </c>
      <c r="N13" s="20">
        <f t="shared" si="9"/>
        <v>128</v>
      </c>
      <c r="O13" s="11">
        <f>ROUND(J13*1.05,)</f>
        <v>533</v>
      </c>
      <c r="P13" s="11">
        <f>ROUND(O13*1.05,)</f>
        <v>560</v>
      </c>
      <c r="Q13" s="11">
        <f t="shared" ref="Q13:Y13" si="11">ROUND(P13*1.05,)</f>
        <v>588</v>
      </c>
      <c r="R13" s="11">
        <f t="shared" si="11"/>
        <v>617</v>
      </c>
      <c r="S13" s="11">
        <f t="shared" si="11"/>
        <v>648</v>
      </c>
      <c r="T13" s="11">
        <f t="shared" si="11"/>
        <v>680</v>
      </c>
      <c r="U13" s="11">
        <f t="shared" si="11"/>
        <v>714</v>
      </c>
      <c r="V13" s="11">
        <f t="shared" si="11"/>
        <v>750</v>
      </c>
      <c r="W13" s="11">
        <f t="shared" si="11"/>
        <v>788</v>
      </c>
      <c r="X13" s="11">
        <f t="shared" si="11"/>
        <v>827</v>
      </c>
      <c r="Y13" s="11">
        <f t="shared" si="11"/>
        <v>868</v>
      </c>
    </row>
    <row r="14" spans="1:25" x14ac:dyDescent="0.25">
      <c r="B14" s="1" t="s">
        <v>6</v>
      </c>
      <c r="C14" s="1"/>
      <c r="D14" s="4">
        <f>SUM(D11:D13)</f>
        <v>1010.491</v>
      </c>
      <c r="E14" s="4">
        <f t="shared" ref="E14:Y14" si="12">SUM(E11:E13)</f>
        <v>1194.999</v>
      </c>
      <c r="F14" s="4">
        <f t="shared" si="12"/>
        <v>1672.72</v>
      </c>
      <c r="G14" s="4">
        <f t="shared" si="12"/>
        <v>1722</v>
      </c>
      <c r="H14" s="4">
        <f t="shared" si="12"/>
        <v>1865</v>
      </c>
      <c r="I14" s="4">
        <f t="shared" si="12"/>
        <v>2165</v>
      </c>
      <c r="J14" s="4">
        <f t="shared" si="12"/>
        <v>2309</v>
      </c>
      <c r="K14" s="25">
        <f t="shared" si="12"/>
        <v>568</v>
      </c>
      <c r="L14" s="25">
        <f t="shared" si="12"/>
        <v>572</v>
      </c>
      <c r="M14" s="25">
        <f t="shared" si="12"/>
        <v>580</v>
      </c>
      <c r="N14" s="16">
        <f t="shared" si="12"/>
        <v>589</v>
      </c>
      <c r="O14" s="4">
        <f t="shared" si="12"/>
        <v>2425</v>
      </c>
      <c r="P14" s="4">
        <f t="shared" si="12"/>
        <v>2547</v>
      </c>
      <c r="Q14" s="4">
        <f t="shared" si="12"/>
        <v>2675</v>
      </c>
      <c r="R14" s="4">
        <f t="shared" si="12"/>
        <v>2809</v>
      </c>
      <c r="S14" s="4">
        <f t="shared" si="12"/>
        <v>2950</v>
      </c>
      <c r="T14" s="4">
        <f t="shared" si="12"/>
        <v>3097</v>
      </c>
      <c r="U14" s="4">
        <f t="shared" si="12"/>
        <v>3252</v>
      </c>
      <c r="V14" s="4">
        <f t="shared" si="12"/>
        <v>3415</v>
      </c>
      <c r="W14" s="4">
        <f t="shared" si="12"/>
        <v>3586</v>
      </c>
      <c r="X14" s="4">
        <f t="shared" si="12"/>
        <v>3765</v>
      </c>
      <c r="Y14" s="4">
        <f t="shared" si="12"/>
        <v>3953</v>
      </c>
    </row>
    <row r="15" spans="1:25" x14ac:dyDescent="0.25">
      <c r="K15" s="26"/>
      <c r="L15" s="26"/>
      <c r="M15" s="26"/>
      <c r="N15" s="15"/>
    </row>
    <row r="16" spans="1:25" x14ac:dyDescent="0.25">
      <c r="B16" s="1" t="s">
        <v>8</v>
      </c>
      <c r="C16" s="1"/>
      <c r="D16" s="5">
        <f>+D8-D14</f>
        <v>6291.0139999999992</v>
      </c>
      <c r="E16" s="5">
        <f t="shared" ref="E16:Y16" si="13">+E8-E14</f>
        <v>7835.009</v>
      </c>
      <c r="F16" s="5">
        <f t="shared" si="13"/>
        <v>9498.5770000000011</v>
      </c>
      <c r="G16" s="5">
        <f t="shared" si="13"/>
        <v>11146</v>
      </c>
      <c r="H16" s="5">
        <f t="shared" si="13"/>
        <v>13920</v>
      </c>
      <c r="I16" s="5">
        <f t="shared" si="13"/>
        <v>15441</v>
      </c>
      <c r="J16" s="5">
        <f t="shared" si="13"/>
        <v>17062</v>
      </c>
      <c r="K16" s="27">
        <f t="shared" si="13"/>
        <v>4087</v>
      </c>
      <c r="L16" s="27">
        <f t="shared" si="13"/>
        <v>4244</v>
      </c>
      <c r="M16" s="27">
        <f t="shared" si="13"/>
        <v>4310</v>
      </c>
      <c r="N16" s="17">
        <f t="shared" si="13"/>
        <v>4421</v>
      </c>
      <c r="O16" s="5">
        <f t="shared" si="13"/>
        <v>18850</v>
      </c>
      <c r="P16" s="5">
        <f t="shared" si="13"/>
        <v>20820</v>
      </c>
      <c r="Q16" s="5">
        <f t="shared" si="13"/>
        <v>22992</v>
      </c>
      <c r="R16" s="5">
        <f t="shared" si="13"/>
        <v>25384</v>
      </c>
      <c r="S16" s="5">
        <f t="shared" si="13"/>
        <v>28019</v>
      </c>
      <c r="T16" s="5">
        <f t="shared" si="13"/>
        <v>30923</v>
      </c>
      <c r="U16" s="5">
        <f t="shared" si="13"/>
        <v>34121</v>
      </c>
      <c r="V16" s="5">
        <f t="shared" si="13"/>
        <v>37642</v>
      </c>
      <c r="W16" s="5">
        <f t="shared" si="13"/>
        <v>41519</v>
      </c>
      <c r="X16" s="5">
        <f t="shared" si="13"/>
        <v>45790</v>
      </c>
      <c r="Y16" s="5">
        <f t="shared" si="13"/>
        <v>50493</v>
      </c>
    </row>
    <row r="17" spans="1:25" x14ac:dyDescent="0.25">
      <c r="K17" s="26"/>
      <c r="L17" s="26"/>
      <c r="M17" s="26"/>
      <c r="N17" s="15"/>
    </row>
    <row r="18" spans="1:25" x14ac:dyDescent="0.25">
      <c r="A18" s="1" t="s">
        <v>9</v>
      </c>
      <c r="B18" s="1"/>
      <c r="C18" s="1"/>
      <c r="K18" s="26"/>
      <c r="L18" s="26"/>
      <c r="M18" s="26"/>
      <c r="N18" s="15"/>
    </row>
    <row r="19" spans="1:25" x14ac:dyDescent="0.25">
      <c r="B19" t="s">
        <v>10</v>
      </c>
      <c r="D19" s="3">
        <f>1224059/1000</f>
        <v>1224.059</v>
      </c>
      <c r="E19" s="3">
        <f>1537812/1000</f>
        <v>1537.8119999999999</v>
      </c>
      <c r="F19" s="3">
        <f>1930228/1000</f>
        <v>1930.2280000000001</v>
      </c>
      <c r="G19" s="3">
        <v>2188</v>
      </c>
      <c r="H19" s="3">
        <v>2540</v>
      </c>
      <c r="I19" s="3">
        <v>2987</v>
      </c>
      <c r="J19" s="3">
        <f>SUM(K19:N19)</f>
        <v>3478</v>
      </c>
      <c r="K19" s="24">
        <v>827</v>
      </c>
      <c r="L19" s="24">
        <v>876</v>
      </c>
      <c r="M19" s="24">
        <v>881</v>
      </c>
      <c r="N19" s="20">
        <f t="shared" ref="N19:N22" si="14">ROUND(M19*1.015,)</f>
        <v>894</v>
      </c>
      <c r="O19" s="11">
        <f>ROUND(J19*1.07,)</f>
        <v>3721</v>
      </c>
      <c r="P19" s="11">
        <f>ROUND(O19*1.06,)</f>
        <v>3944</v>
      </c>
      <c r="Q19" s="11">
        <f t="shared" ref="Q19:Y19" si="15">ROUND(P19*1.06,)</f>
        <v>4181</v>
      </c>
      <c r="R19" s="11">
        <f t="shared" si="15"/>
        <v>4432</v>
      </c>
      <c r="S19" s="11">
        <f t="shared" si="15"/>
        <v>4698</v>
      </c>
      <c r="T19" s="11">
        <f t="shared" si="15"/>
        <v>4980</v>
      </c>
      <c r="U19" s="11">
        <f t="shared" si="15"/>
        <v>5279</v>
      </c>
      <c r="V19" s="11">
        <f t="shared" si="15"/>
        <v>5596</v>
      </c>
      <c r="W19" s="11">
        <f t="shared" si="15"/>
        <v>5932</v>
      </c>
      <c r="X19" s="11">
        <f t="shared" si="15"/>
        <v>6288</v>
      </c>
      <c r="Y19" s="11">
        <f t="shared" si="15"/>
        <v>6665</v>
      </c>
    </row>
    <row r="20" spans="1:25" x14ac:dyDescent="0.25">
      <c r="B20" t="s">
        <v>11</v>
      </c>
      <c r="D20" s="3">
        <f>2197592/1000</f>
        <v>2197.5920000000001</v>
      </c>
      <c r="E20" s="3">
        <f>2620829/1000</f>
        <v>2620.8290000000002</v>
      </c>
      <c r="F20" s="3">
        <f>3244347/1000</f>
        <v>3244.3470000000002</v>
      </c>
      <c r="G20" s="3">
        <v>3591</v>
      </c>
      <c r="H20" s="3">
        <v>4321</v>
      </c>
      <c r="I20" s="3">
        <v>4968</v>
      </c>
      <c r="J20" s="3">
        <f t="shared" ref="J20:J22" si="16">SUM(K20:N20)</f>
        <v>5340</v>
      </c>
      <c r="K20" s="24">
        <v>1301</v>
      </c>
      <c r="L20" s="24">
        <v>1345</v>
      </c>
      <c r="M20" s="24">
        <v>1337</v>
      </c>
      <c r="N20" s="20">
        <f t="shared" si="14"/>
        <v>1357</v>
      </c>
      <c r="O20" s="11">
        <f>ROUND(J20*1.07,)</f>
        <v>5714</v>
      </c>
      <c r="P20" s="11">
        <f>ROUND(O20*1.06,)</f>
        <v>6057</v>
      </c>
      <c r="Q20" s="11">
        <f t="shared" ref="Q20:Y20" si="17">ROUND(P20*1.06,)</f>
        <v>6420</v>
      </c>
      <c r="R20" s="11">
        <f t="shared" si="17"/>
        <v>6805</v>
      </c>
      <c r="S20" s="11">
        <f t="shared" si="17"/>
        <v>7213</v>
      </c>
      <c r="T20" s="11">
        <f t="shared" si="17"/>
        <v>7646</v>
      </c>
      <c r="U20" s="11">
        <f t="shared" si="17"/>
        <v>8105</v>
      </c>
      <c r="V20" s="11">
        <f t="shared" si="17"/>
        <v>8591</v>
      </c>
      <c r="W20" s="11">
        <f t="shared" si="17"/>
        <v>9106</v>
      </c>
      <c r="X20" s="11">
        <f t="shared" si="17"/>
        <v>9652</v>
      </c>
      <c r="Y20" s="11">
        <f t="shared" si="17"/>
        <v>10231</v>
      </c>
    </row>
    <row r="21" spans="1:25" x14ac:dyDescent="0.25">
      <c r="B21" t="s">
        <v>12</v>
      </c>
      <c r="D21" s="3">
        <f>624706/1000</f>
        <v>624.70600000000002</v>
      </c>
      <c r="E21" s="3">
        <f>744898/1000</f>
        <v>744.89800000000002</v>
      </c>
      <c r="F21" s="3">
        <f>880637/1000</f>
        <v>880.63699999999994</v>
      </c>
      <c r="G21" s="3">
        <v>968</v>
      </c>
      <c r="H21" s="3">
        <v>1085</v>
      </c>
      <c r="I21" s="3">
        <v>1219</v>
      </c>
      <c r="J21" s="3">
        <f t="shared" si="16"/>
        <v>1399</v>
      </c>
      <c r="K21" s="24">
        <v>331</v>
      </c>
      <c r="L21" s="24">
        <v>357</v>
      </c>
      <c r="M21" s="24">
        <v>353</v>
      </c>
      <c r="N21" s="20">
        <f t="shared" si="14"/>
        <v>358</v>
      </c>
      <c r="O21" s="11">
        <f>ROUND(J21*1.07,)</f>
        <v>1497</v>
      </c>
      <c r="P21" s="11">
        <f>ROUND(O21*1.06,)</f>
        <v>1587</v>
      </c>
      <c r="Q21" s="11">
        <f t="shared" ref="Q21:Y21" si="18">ROUND(P21*1.06,)</f>
        <v>1682</v>
      </c>
      <c r="R21" s="11">
        <f t="shared" si="18"/>
        <v>1783</v>
      </c>
      <c r="S21" s="11">
        <f t="shared" si="18"/>
        <v>1890</v>
      </c>
      <c r="T21" s="11">
        <f t="shared" si="18"/>
        <v>2003</v>
      </c>
      <c r="U21" s="11">
        <f t="shared" si="18"/>
        <v>2123</v>
      </c>
      <c r="V21" s="11">
        <f t="shared" si="18"/>
        <v>2250</v>
      </c>
      <c r="W21" s="11">
        <f t="shared" si="18"/>
        <v>2385</v>
      </c>
      <c r="X21" s="11">
        <f t="shared" si="18"/>
        <v>2528</v>
      </c>
      <c r="Y21" s="11">
        <f t="shared" si="18"/>
        <v>2680</v>
      </c>
    </row>
    <row r="22" spans="1:25" x14ac:dyDescent="0.25">
      <c r="B22" t="s">
        <v>13</v>
      </c>
      <c r="D22" s="3">
        <f>76562/1000</f>
        <v>76.561999999999998</v>
      </c>
      <c r="E22" s="3">
        <f>91101/1000</f>
        <v>91.100999999999999</v>
      </c>
      <c r="F22" s="3">
        <f>175244/1000</f>
        <v>175.244</v>
      </c>
      <c r="G22" s="3">
        <v>162</v>
      </c>
      <c r="H22" s="3">
        <v>172</v>
      </c>
      <c r="I22" s="3">
        <v>169</v>
      </c>
      <c r="J22" s="3">
        <f t="shared" si="16"/>
        <v>169</v>
      </c>
      <c r="K22" s="24">
        <v>42</v>
      </c>
      <c r="L22" s="24">
        <v>42</v>
      </c>
      <c r="M22" s="24">
        <v>42</v>
      </c>
      <c r="N22" s="20">
        <f t="shared" si="14"/>
        <v>43</v>
      </c>
      <c r="O22" s="11">
        <f>ROUND(J22*1.07,)</f>
        <v>181</v>
      </c>
      <c r="P22" s="11">
        <f>ROUND(O22*1.06,)</f>
        <v>192</v>
      </c>
      <c r="Q22" s="11">
        <f t="shared" ref="Q22:Y22" si="19">ROUND(P22*1.06,)</f>
        <v>204</v>
      </c>
      <c r="R22" s="11">
        <f t="shared" si="19"/>
        <v>216</v>
      </c>
      <c r="S22" s="11">
        <f t="shared" si="19"/>
        <v>229</v>
      </c>
      <c r="T22" s="11">
        <f t="shared" si="19"/>
        <v>243</v>
      </c>
      <c r="U22" s="11">
        <f t="shared" si="19"/>
        <v>258</v>
      </c>
      <c r="V22" s="11">
        <f t="shared" si="19"/>
        <v>273</v>
      </c>
      <c r="W22" s="11">
        <f t="shared" si="19"/>
        <v>289</v>
      </c>
      <c r="X22" s="11">
        <f t="shared" si="19"/>
        <v>306</v>
      </c>
      <c r="Y22" s="11">
        <f t="shared" si="19"/>
        <v>324</v>
      </c>
    </row>
    <row r="23" spans="1:25" x14ac:dyDescent="0.25">
      <c r="B23" s="1" t="s">
        <v>14</v>
      </c>
      <c r="C23" s="1"/>
      <c r="D23" s="4">
        <f>SUM(D19:D22)</f>
        <v>4122.9189999999999</v>
      </c>
      <c r="E23" s="4">
        <f t="shared" ref="E23:O23" si="20">SUM(E19:E22)</f>
        <v>4994.6399999999994</v>
      </c>
      <c r="F23" s="4">
        <f t="shared" si="20"/>
        <v>6230.4560000000001</v>
      </c>
      <c r="G23" s="4">
        <f t="shared" si="20"/>
        <v>6909</v>
      </c>
      <c r="H23" s="4">
        <f t="shared" si="20"/>
        <v>8118</v>
      </c>
      <c r="I23" s="4">
        <f t="shared" si="20"/>
        <v>9343</v>
      </c>
      <c r="J23" s="4">
        <f t="shared" si="20"/>
        <v>10386</v>
      </c>
      <c r="K23" s="25">
        <f t="shared" si="20"/>
        <v>2501</v>
      </c>
      <c r="L23" s="25">
        <f t="shared" si="20"/>
        <v>2620</v>
      </c>
      <c r="M23" s="25">
        <f t="shared" si="20"/>
        <v>2613</v>
      </c>
      <c r="N23" s="16">
        <f t="shared" si="20"/>
        <v>2652</v>
      </c>
      <c r="O23" s="4">
        <f t="shared" si="20"/>
        <v>11113</v>
      </c>
      <c r="P23" s="4">
        <f t="shared" ref="P23:Y23" si="21">SUM(P19:P22)</f>
        <v>11780</v>
      </c>
      <c r="Q23" s="4">
        <f t="shared" si="21"/>
        <v>12487</v>
      </c>
      <c r="R23" s="4">
        <f t="shared" si="21"/>
        <v>13236</v>
      </c>
      <c r="S23" s="4">
        <f t="shared" si="21"/>
        <v>14030</v>
      </c>
      <c r="T23" s="4">
        <f t="shared" si="21"/>
        <v>14872</v>
      </c>
      <c r="U23" s="4">
        <f t="shared" si="21"/>
        <v>15765</v>
      </c>
      <c r="V23" s="4">
        <f t="shared" si="21"/>
        <v>16710</v>
      </c>
      <c r="W23" s="4">
        <f t="shared" si="21"/>
        <v>17712</v>
      </c>
      <c r="X23" s="4">
        <f t="shared" si="21"/>
        <v>18774</v>
      </c>
      <c r="Y23" s="4">
        <f t="shared" si="21"/>
        <v>19900</v>
      </c>
    </row>
    <row r="24" spans="1:25" x14ac:dyDescent="0.25">
      <c r="K24" s="26"/>
      <c r="L24" s="26"/>
      <c r="M24" s="26"/>
      <c r="N24" s="15"/>
    </row>
    <row r="25" spans="1:25" x14ac:dyDescent="0.25">
      <c r="B25" s="1" t="s">
        <v>15</v>
      </c>
      <c r="C25" s="1"/>
      <c r="D25" s="5">
        <f>+D16-D23</f>
        <v>2168.0949999999993</v>
      </c>
      <c r="E25" s="5">
        <f t="shared" ref="E25:O25" si="22">+E16-E23</f>
        <v>2840.3690000000006</v>
      </c>
      <c r="F25" s="5">
        <f t="shared" si="22"/>
        <v>3268.121000000001</v>
      </c>
      <c r="G25" s="5">
        <f t="shared" si="22"/>
        <v>4237</v>
      </c>
      <c r="H25" s="5">
        <f t="shared" si="22"/>
        <v>5802</v>
      </c>
      <c r="I25" s="5">
        <f t="shared" si="22"/>
        <v>6098</v>
      </c>
      <c r="J25" s="5">
        <f t="shared" si="22"/>
        <v>6676</v>
      </c>
      <c r="K25" s="27">
        <f t="shared" si="22"/>
        <v>1586</v>
      </c>
      <c r="L25" s="27">
        <f t="shared" si="22"/>
        <v>1624</v>
      </c>
      <c r="M25" s="27">
        <f t="shared" si="22"/>
        <v>1697</v>
      </c>
      <c r="N25" s="17">
        <f t="shared" si="22"/>
        <v>1769</v>
      </c>
      <c r="O25" s="5">
        <f t="shared" si="22"/>
        <v>7737</v>
      </c>
      <c r="P25" s="5">
        <f t="shared" ref="P25:Y25" si="23">+P16-P23</f>
        <v>9040</v>
      </c>
      <c r="Q25" s="5">
        <f t="shared" si="23"/>
        <v>10505</v>
      </c>
      <c r="R25" s="5">
        <f t="shared" si="23"/>
        <v>12148</v>
      </c>
      <c r="S25" s="5">
        <f t="shared" si="23"/>
        <v>13989</v>
      </c>
      <c r="T25" s="5">
        <f t="shared" si="23"/>
        <v>16051</v>
      </c>
      <c r="U25" s="5">
        <f t="shared" si="23"/>
        <v>18356</v>
      </c>
      <c r="V25" s="5">
        <f t="shared" si="23"/>
        <v>20932</v>
      </c>
      <c r="W25" s="5">
        <f t="shared" si="23"/>
        <v>23807</v>
      </c>
      <c r="X25" s="5">
        <f t="shared" si="23"/>
        <v>27016</v>
      </c>
      <c r="Y25" s="5">
        <f t="shared" si="23"/>
        <v>30593</v>
      </c>
    </row>
    <row r="26" spans="1:25" x14ac:dyDescent="0.25">
      <c r="K26" s="26"/>
      <c r="L26" s="26"/>
      <c r="M26" s="26"/>
      <c r="N26" s="15"/>
    </row>
    <row r="27" spans="1:25" x14ac:dyDescent="0.25">
      <c r="B27" s="1" t="s">
        <v>16</v>
      </c>
      <c r="C27" s="1"/>
      <c r="K27" s="26"/>
      <c r="L27" s="26"/>
      <c r="M27" s="26"/>
      <c r="N27" s="15"/>
    </row>
    <row r="28" spans="1:25" x14ac:dyDescent="0.25">
      <c r="B28" t="s">
        <v>17</v>
      </c>
      <c r="D28" s="3">
        <f>36395/1000</f>
        <v>36.395000000000003</v>
      </c>
      <c r="E28" s="3">
        <f>39536/1000</f>
        <v>39.536000000000001</v>
      </c>
      <c r="F28" s="3">
        <f>42255/1000</f>
        <v>42.255000000000003</v>
      </c>
      <c r="G28" s="3">
        <v>0</v>
      </c>
      <c r="H28" s="3">
        <v>0</v>
      </c>
      <c r="I28" s="3">
        <v>0</v>
      </c>
      <c r="J28" s="3">
        <f>SUM(K28:N28)</f>
        <v>0</v>
      </c>
      <c r="K28" s="24">
        <v>0</v>
      </c>
      <c r="L28" s="24">
        <v>0</v>
      </c>
      <c r="M28" s="24">
        <v>0</v>
      </c>
      <c r="N28" s="20">
        <f t="shared" ref="N28:N31" si="24">ROUND(M28*1.015,)</f>
        <v>0</v>
      </c>
      <c r="O28" s="11">
        <f>ROUND(J28*1.02,)</f>
        <v>0</v>
      </c>
      <c r="P28" s="11">
        <f>ROUND(O28*1.02,)</f>
        <v>0</v>
      </c>
      <c r="Q28" s="11">
        <f t="shared" ref="Q28:Y28" si="25">ROUND(P28*1.02,)</f>
        <v>0</v>
      </c>
      <c r="R28" s="11">
        <f t="shared" si="25"/>
        <v>0</v>
      </c>
      <c r="S28" s="11">
        <f t="shared" si="25"/>
        <v>0</v>
      </c>
      <c r="T28" s="11">
        <f t="shared" si="25"/>
        <v>0</v>
      </c>
      <c r="U28" s="11">
        <f t="shared" si="25"/>
        <v>0</v>
      </c>
      <c r="V28" s="11">
        <f t="shared" si="25"/>
        <v>0</v>
      </c>
      <c r="W28" s="11">
        <f t="shared" si="25"/>
        <v>0</v>
      </c>
      <c r="X28" s="11">
        <f t="shared" si="25"/>
        <v>0</v>
      </c>
      <c r="Y28" s="11">
        <f t="shared" si="25"/>
        <v>0</v>
      </c>
    </row>
    <row r="29" spans="1:25" x14ac:dyDescent="0.25">
      <c r="B29" t="s">
        <v>18</v>
      </c>
      <c r="D29" s="3">
        <f>-74402/1000</f>
        <v>-74.402000000000001</v>
      </c>
      <c r="E29" s="3">
        <f>-89242/1000</f>
        <v>-89.242000000000004</v>
      </c>
      <c r="F29" s="3">
        <f>-157214/1000</f>
        <v>-157.214</v>
      </c>
      <c r="G29" s="3">
        <v>-116</v>
      </c>
      <c r="H29" s="3">
        <v>-113</v>
      </c>
      <c r="I29" s="3">
        <v>-112</v>
      </c>
      <c r="J29" s="3">
        <f t="shared" ref="J29:J31" si="26">SUM(K29:N29)</f>
        <v>-112</v>
      </c>
      <c r="K29" s="24">
        <v>-32</v>
      </c>
      <c r="L29" s="24">
        <v>-26</v>
      </c>
      <c r="M29" s="24">
        <v>-27</v>
      </c>
      <c r="N29" s="20">
        <f t="shared" si="24"/>
        <v>-27</v>
      </c>
      <c r="O29" s="11">
        <f t="shared" ref="O29:O31" si="27">ROUND(J29*1.02,)</f>
        <v>-114</v>
      </c>
      <c r="P29" s="11">
        <f t="shared" ref="P29:Y31" si="28">ROUND(O29*1.02,)</f>
        <v>-116</v>
      </c>
      <c r="Q29" s="11">
        <f t="shared" si="28"/>
        <v>-118</v>
      </c>
      <c r="R29" s="11">
        <f t="shared" si="28"/>
        <v>-120</v>
      </c>
      <c r="S29" s="11">
        <f t="shared" si="28"/>
        <v>-122</v>
      </c>
      <c r="T29" s="11">
        <f t="shared" si="28"/>
        <v>-124</v>
      </c>
      <c r="U29" s="11">
        <f t="shared" si="28"/>
        <v>-126</v>
      </c>
      <c r="V29" s="11">
        <f t="shared" si="28"/>
        <v>-129</v>
      </c>
      <c r="W29" s="11">
        <f t="shared" si="28"/>
        <v>-132</v>
      </c>
      <c r="X29" s="11">
        <f t="shared" si="28"/>
        <v>-135</v>
      </c>
      <c r="Y29" s="11">
        <f t="shared" si="28"/>
        <v>-138</v>
      </c>
    </row>
    <row r="30" spans="1:25" x14ac:dyDescent="0.25">
      <c r="B30" t="s">
        <v>19</v>
      </c>
      <c r="D30" s="3">
        <f>7553/1000</f>
        <v>7.5529999999999999</v>
      </c>
      <c r="E30" s="3">
        <f>3213/1000</f>
        <v>3.2130000000000001</v>
      </c>
      <c r="F30" s="3">
        <f>51579/1000</f>
        <v>51.579000000000001</v>
      </c>
      <c r="G30" s="3">
        <v>13</v>
      </c>
      <c r="H30" s="3">
        <v>16</v>
      </c>
      <c r="I30" s="3">
        <v>-19</v>
      </c>
      <c r="J30" s="3">
        <f t="shared" si="26"/>
        <v>18</v>
      </c>
      <c r="K30" s="24">
        <v>1</v>
      </c>
      <c r="L30" s="24">
        <v>5</v>
      </c>
      <c r="M30" s="24">
        <v>6</v>
      </c>
      <c r="N30" s="20">
        <f t="shared" si="24"/>
        <v>6</v>
      </c>
      <c r="O30" s="11">
        <f t="shared" si="27"/>
        <v>18</v>
      </c>
      <c r="P30" s="11">
        <f t="shared" si="28"/>
        <v>18</v>
      </c>
      <c r="Q30" s="11">
        <f t="shared" si="28"/>
        <v>18</v>
      </c>
      <c r="R30" s="11">
        <f t="shared" si="28"/>
        <v>18</v>
      </c>
      <c r="S30" s="11">
        <f t="shared" si="28"/>
        <v>18</v>
      </c>
      <c r="T30" s="11">
        <f t="shared" si="28"/>
        <v>18</v>
      </c>
      <c r="U30" s="11">
        <f t="shared" si="28"/>
        <v>18</v>
      </c>
      <c r="V30" s="11">
        <f t="shared" si="28"/>
        <v>18</v>
      </c>
      <c r="W30" s="11">
        <f t="shared" si="28"/>
        <v>18</v>
      </c>
      <c r="X30" s="11">
        <f t="shared" si="28"/>
        <v>18</v>
      </c>
      <c r="Y30" s="11">
        <f t="shared" si="28"/>
        <v>18</v>
      </c>
    </row>
    <row r="31" spans="1:25" x14ac:dyDescent="0.25">
      <c r="B31" t="s">
        <v>33</v>
      </c>
      <c r="D31" s="3">
        <v>0</v>
      </c>
      <c r="E31" s="3">
        <v>0</v>
      </c>
      <c r="F31" s="3">
        <v>0</v>
      </c>
      <c r="G31" s="3">
        <v>42</v>
      </c>
      <c r="H31" s="3">
        <v>0</v>
      </c>
      <c r="I31" s="3">
        <v>41</v>
      </c>
      <c r="J31" s="3">
        <f t="shared" si="26"/>
        <v>225</v>
      </c>
      <c r="K31" s="24">
        <v>43</v>
      </c>
      <c r="L31" s="24">
        <v>47</v>
      </c>
      <c r="M31" s="24">
        <v>67</v>
      </c>
      <c r="N31" s="20">
        <f t="shared" si="24"/>
        <v>68</v>
      </c>
      <c r="O31" s="11">
        <f t="shared" si="27"/>
        <v>230</v>
      </c>
      <c r="P31" s="11">
        <f t="shared" si="28"/>
        <v>235</v>
      </c>
      <c r="Q31" s="11">
        <f t="shared" si="28"/>
        <v>240</v>
      </c>
      <c r="R31" s="11">
        <f t="shared" si="28"/>
        <v>245</v>
      </c>
      <c r="S31" s="11">
        <f t="shared" si="28"/>
        <v>250</v>
      </c>
      <c r="T31" s="11">
        <f t="shared" si="28"/>
        <v>255</v>
      </c>
      <c r="U31" s="11">
        <f t="shared" si="28"/>
        <v>260</v>
      </c>
      <c r="V31" s="11">
        <f t="shared" si="28"/>
        <v>265</v>
      </c>
      <c r="W31" s="11">
        <f t="shared" si="28"/>
        <v>270</v>
      </c>
      <c r="X31" s="11">
        <f t="shared" si="28"/>
        <v>275</v>
      </c>
      <c r="Y31" s="11">
        <f t="shared" si="28"/>
        <v>281</v>
      </c>
    </row>
    <row r="32" spans="1:25" x14ac:dyDescent="0.25">
      <c r="B32" s="10" t="s">
        <v>20</v>
      </c>
      <c r="C32" s="10"/>
      <c r="D32" s="7">
        <f>SUM(D28:D31)</f>
        <v>-30.453999999999997</v>
      </c>
      <c r="E32" s="7">
        <f t="shared" ref="E32:J32" si="29">SUM(E28:E31)</f>
        <v>-46.493000000000002</v>
      </c>
      <c r="F32" s="7">
        <f t="shared" si="29"/>
        <v>-63.38</v>
      </c>
      <c r="G32" s="7">
        <f t="shared" si="29"/>
        <v>-61</v>
      </c>
      <c r="H32" s="7">
        <f t="shared" si="29"/>
        <v>-97</v>
      </c>
      <c r="I32" s="7">
        <f t="shared" si="29"/>
        <v>-90</v>
      </c>
      <c r="J32" s="7">
        <f t="shared" si="29"/>
        <v>131</v>
      </c>
      <c r="K32" s="28">
        <f t="shared" ref="K32:Y32" si="30">SUM(K28:K31)</f>
        <v>12</v>
      </c>
      <c r="L32" s="28">
        <f t="shared" si="30"/>
        <v>26</v>
      </c>
      <c r="M32" s="28">
        <f t="shared" si="30"/>
        <v>46</v>
      </c>
      <c r="N32" s="18">
        <f t="shared" si="30"/>
        <v>47</v>
      </c>
      <c r="O32" s="7">
        <f t="shared" si="30"/>
        <v>134</v>
      </c>
      <c r="P32" s="7">
        <f t="shared" si="30"/>
        <v>137</v>
      </c>
      <c r="Q32" s="7">
        <f t="shared" si="30"/>
        <v>140</v>
      </c>
      <c r="R32" s="7">
        <f t="shared" si="30"/>
        <v>143</v>
      </c>
      <c r="S32" s="7">
        <f t="shared" si="30"/>
        <v>146</v>
      </c>
      <c r="T32" s="7">
        <f t="shared" si="30"/>
        <v>149</v>
      </c>
      <c r="U32" s="7">
        <f t="shared" si="30"/>
        <v>152</v>
      </c>
      <c r="V32" s="7">
        <f t="shared" si="30"/>
        <v>154</v>
      </c>
      <c r="W32" s="7">
        <f t="shared" si="30"/>
        <v>156</v>
      </c>
      <c r="X32" s="7">
        <f t="shared" si="30"/>
        <v>158</v>
      </c>
      <c r="Y32" s="7">
        <f t="shared" si="30"/>
        <v>161</v>
      </c>
    </row>
    <row r="33" spans="1:25" ht="15.75" thickBot="1" x14ac:dyDescent="0.3">
      <c r="A33" s="1" t="s">
        <v>21</v>
      </c>
      <c r="B33" s="9"/>
      <c r="C33" s="9"/>
      <c r="D33" s="6">
        <f>+D25+D32</f>
        <v>2137.6409999999992</v>
      </c>
      <c r="E33" s="6">
        <f t="shared" ref="E33:J33" si="31">+E25+E32</f>
        <v>2793.8760000000007</v>
      </c>
      <c r="F33" s="6">
        <f t="shared" si="31"/>
        <v>3204.7410000000009</v>
      </c>
      <c r="G33" s="6">
        <f t="shared" si="31"/>
        <v>4176</v>
      </c>
      <c r="H33" s="6">
        <f t="shared" si="31"/>
        <v>5705</v>
      </c>
      <c r="I33" s="6">
        <f t="shared" si="31"/>
        <v>6008</v>
      </c>
      <c r="J33" s="6">
        <f t="shared" si="31"/>
        <v>6807</v>
      </c>
      <c r="K33" s="29">
        <f t="shared" ref="K33:O33" si="32">+K25+K32</f>
        <v>1598</v>
      </c>
      <c r="L33" s="29">
        <f t="shared" si="32"/>
        <v>1650</v>
      </c>
      <c r="M33" s="29">
        <f t="shared" si="32"/>
        <v>1743</v>
      </c>
      <c r="N33" s="19">
        <f t="shared" si="32"/>
        <v>1816</v>
      </c>
      <c r="O33" s="6">
        <f t="shared" si="32"/>
        <v>7871</v>
      </c>
      <c r="P33" s="6">
        <f t="shared" ref="P33:Y33" si="33">+P25+P32</f>
        <v>9177</v>
      </c>
      <c r="Q33" s="6">
        <f t="shared" si="33"/>
        <v>10645</v>
      </c>
      <c r="R33" s="6">
        <f t="shared" si="33"/>
        <v>12291</v>
      </c>
      <c r="S33" s="6">
        <f t="shared" si="33"/>
        <v>14135</v>
      </c>
      <c r="T33" s="6">
        <f t="shared" si="33"/>
        <v>16200</v>
      </c>
      <c r="U33" s="6">
        <f t="shared" si="33"/>
        <v>18508</v>
      </c>
      <c r="V33" s="6">
        <f t="shared" si="33"/>
        <v>21086</v>
      </c>
      <c r="W33" s="6">
        <f t="shared" si="33"/>
        <v>23963</v>
      </c>
      <c r="X33" s="6">
        <f t="shared" si="33"/>
        <v>27174</v>
      </c>
      <c r="Y33" s="6">
        <f t="shared" si="33"/>
        <v>30754</v>
      </c>
    </row>
    <row r="34" spans="1:25" x14ac:dyDescent="0.25">
      <c r="B34" t="s">
        <v>22</v>
      </c>
      <c r="D34" s="8">
        <f>443687/1000</f>
        <v>443.68700000000001</v>
      </c>
      <c r="E34" s="8">
        <f>203102/1000</f>
        <v>203.102</v>
      </c>
      <c r="F34" s="8">
        <f>253283/1000</f>
        <v>253.28299999999999</v>
      </c>
      <c r="G34" s="8">
        <v>-1084</v>
      </c>
      <c r="H34" s="8">
        <v>883</v>
      </c>
      <c r="I34" s="8">
        <v>1252</v>
      </c>
      <c r="J34" s="2">
        <f>SUM(K34:N34)</f>
        <v>1391</v>
      </c>
      <c r="K34" s="30">
        <v>351</v>
      </c>
      <c r="L34" s="30">
        <v>355</v>
      </c>
      <c r="M34" s="30">
        <v>340</v>
      </c>
      <c r="N34" s="20">
        <f t="shared" ref="N34" si="34">ROUND(M34*1.015,)</f>
        <v>345</v>
      </c>
      <c r="O34" s="11">
        <f>ROUND(J34*1.035,)</f>
        <v>1440</v>
      </c>
      <c r="P34" s="11">
        <f t="shared" ref="P34:Y34" si="35">ROUND(O34*1.02,)</f>
        <v>1469</v>
      </c>
      <c r="Q34" s="11">
        <f t="shared" si="35"/>
        <v>1498</v>
      </c>
      <c r="R34" s="11">
        <f t="shared" si="35"/>
        <v>1528</v>
      </c>
      <c r="S34" s="11">
        <f t="shared" si="35"/>
        <v>1559</v>
      </c>
      <c r="T34" s="11">
        <f t="shared" si="35"/>
        <v>1590</v>
      </c>
      <c r="U34" s="11">
        <f t="shared" si="35"/>
        <v>1622</v>
      </c>
      <c r="V34" s="11">
        <f t="shared" si="35"/>
        <v>1654</v>
      </c>
      <c r="W34" s="11">
        <f t="shared" si="35"/>
        <v>1687</v>
      </c>
      <c r="X34" s="11">
        <f t="shared" si="35"/>
        <v>1721</v>
      </c>
      <c r="Y34" s="11">
        <f t="shared" si="35"/>
        <v>1755</v>
      </c>
    </row>
    <row r="35" spans="1:25" ht="15.75" thickBot="1" x14ac:dyDescent="0.3">
      <c r="A35" s="1" t="s">
        <v>23</v>
      </c>
      <c r="B35" s="9"/>
      <c r="C35" s="9"/>
      <c r="D35" s="6">
        <f>D33-D34</f>
        <v>1693.9539999999993</v>
      </c>
      <c r="E35" s="6">
        <f t="shared" ref="E35:J35" si="36">E33-E34</f>
        <v>2590.7740000000008</v>
      </c>
      <c r="F35" s="6">
        <f t="shared" si="36"/>
        <v>2951.458000000001</v>
      </c>
      <c r="G35" s="6">
        <f t="shared" si="36"/>
        <v>5260</v>
      </c>
      <c r="H35" s="6">
        <f t="shared" si="36"/>
        <v>4822</v>
      </c>
      <c r="I35" s="6">
        <f t="shared" si="36"/>
        <v>4756</v>
      </c>
      <c r="J35" s="6">
        <f t="shared" si="36"/>
        <v>5416</v>
      </c>
      <c r="K35" s="29">
        <f t="shared" ref="K35:O35" si="37">K33-K34</f>
        <v>1247</v>
      </c>
      <c r="L35" s="29">
        <f t="shared" si="37"/>
        <v>1295</v>
      </c>
      <c r="M35" s="29">
        <f t="shared" si="37"/>
        <v>1403</v>
      </c>
      <c r="N35" s="19">
        <f t="shared" si="37"/>
        <v>1471</v>
      </c>
      <c r="O35" s="6">
        <f t="shared" si="37"/>
        <v>6431</v>
      </c>
      <c r="P35" s="6">
        <f t="shared" ref="P35:Y35" si="38">P33-P34</f>
        <v>7708</v>
      </c>
      <c r="Q35" s="6">
        <f t="shared" si="38"/>
        <v>9147</v>
      </c>
      <c r="R35" s="6">
        <f t="shared" si="38"/>
        <v>10763</v>
      </c>
      <c r="S35" s="6">
        <f t="shared" si="38"/>
        <v>12576</v>
      </c>
      <c r="T35" s="6">
        <f t="shared" si="38"/>
        <v>14610</v>
      </c>
      <c r="U35" s="6">
        <f t="shared" si="38"/>
        <v>16886</v>
      </c>
      <c r="V35" s="6">
        <f t="shared" si="38"/>
        <v>19432</v>
      </c>
      <c r="W35" s="6">
        <f t="shared" si="38"/>
        <v>22276</v>
      </c>
      <c r="X35" s="6">
        <f t="shared" si="38"/>
        <v>25453</v>
      </c>
      <c r="Y35" s="6">
        <f t="shared" si="38"/>
        <v>28999</v>
      </c>
    </row>
    <row r="36" spans="1:25" x14ac:dyDescent="0.25">
      <c r="K36" s="26"/>
      <c r="L36" s="26"/>
      <c r="M36" s="26"/>
      <c r="N36" s="15"/>
    </row>
    <row r="37" spans="1:25" x14ac:dyDescent="0.25">
      <c r="B37" t="s">
        <v>24</v>
      </c>
      <c r="D37" s="11">
        <f>D35/D38</f>
        <v>3.4316130234668725</v>
      </c>
      <c r="E37" s="11">
        <f t="shared" ref="E37:O37" si="39">E35/E38</f>
        <v>5.2812150912011493</v>
      </c>
      <c r="F37" s="11">
        <f t="shared" si="39"/>
        <v>6.0693247458826116</v>
      </c>
      <c r="G37" s="11">
        <f t="shared" si="39"/>
        <v>10.935550935550935</v>
      </c>
      <c r="H37" s="11">
        <f t="shared" si="39"/>
        <v>10.109014675052411</v>
      </c>
      <c r="I37" s="11">
        <f t="shared" si="39"/>
        <v>10.119148936170212</v>
      </c>
      <c r="J37" s="11">
        <f t="shared" si="39"/>
        <v>11.844723892837616</v>
      </c>
      <c r="K37" s="31">
        <f t="shared" si="39"/>
        <v>2.7167755991285403</v>
      </c>
      <c r="L37" s="31">
        <f t="shared" si="39"/>
        <v>2.8275109170305677</v>
      </c>
      <c r="M37" s="31">
        <f t="shared" si="39"/>
        <v>3.0767543859649122</v>
      </c>
      <c r="N37" s="20">
        <f t="shared" si="39"/>
        <v>3.2258771929824563</v>
      </c>
      <c r="O37" s="11">
        <f t="shared" si="39"/>
        <v>14.072210065645514</v>
      </c>
      <c r="P37" s="11">
        <f t="shared" ref="P37:Y37" si="40">P35/P38</f>
        <v>16.866520787746172</v>
      </c>
      <c r="Q37" s="11">
        <f t="shared" si="40"/>
        <v>20.015317286652078</v>
      </c>
      <c r="R37" s="11">
        <f t="shared" si="40"/>
        <v>23.551422319474835</v>
      </c>
      <c r="S37" s="11">
        <f t="shared" si="40"/>
        <v>27.518599562363239</v>
      </c>
      <c r="T37" s="11">
        <f t="shared" si="40"/>
        <v>31.969365426695841</v>
      </c>
      <c r="U37" s="11">
        <f t="shared" si="40"/>
        <v>36.949671772428886</v>
      </c>
      <c r="V37" s="11">
        <f t="shared" si="40"/>
        <v>42.520787746170676</v>
      </c>
      <c r="W37" s="11">
        <f t="shared" si="40"/>
        <v>48.74398249452954</v>
      </c>
      <c r="X37" s="11">
        <f t="shared" si="40"/>
        <v>55.695842450765866</v>
      </c>
      <c r="Y37" s="11">
        <f t="shared" si="40"/>
        <v>63.455142231947484</v>
      </c>
    </row>
    <row r="38" spans="1:25" x14ac:dyDescent="0.25">
      <c r="B38" t="s">
        <v>27</v>
      </c>
      <c r="D38" s="3">
        <f>493632/1000</f>
        <v>493.63200000000001</v>
      </c>
      <c r="E38" s="3">
        <f>490564/1000</f>
        <v>490.56400000000002</v>
      </c>
      <c r="F38" s="3">
        <f>486291/1000</f>
        <v>486.291</v>
      </c>
      <c r="G38" s="3">
        <v>481</v>
      </c>
      <c r="H38" s="3">
        <v>477</v>
      </c>
      <c r="I38" s="3">
        <v>470</v>
      </c>
      <c r="J38" s="3">
        <f>AVERAGE(K38:N38)</f>
        <v>457.25</v>
      </c>
      <c r="K38" s="24">
        <v>459</v>
      </c>
      <c r="L38" s="24">
        <v>458</v>
      </c>
      <c r="M38" s="24">
        <v>456</v>
      </c>
      <c r="N38" s="22">
        <f>M38</f>
        <v>456</v>
      </c>
      <c r="O38" s="11">
        <f>ROUND(J38,)</f>
        <v>457</v>
      </c>
      <c r="P38" s="11">
        <f>O38</f>
        <v>457</v>
      </c>
      <c r="Q38" s="11">
        <f t="shared" ref="Q38:Y38" si="41">P38</f>
        <v>457</v>
      </c>
      <c r="R38" s="11">
        <f t="shared" si="41"/>
        <v>457</v>
      </c>
      <c r="S38" s="11">
        <f t="shared" si="41"/>
        <v>457</v>
      </c>
      <c r="T38" s="11">
        <f t="shared" si="41"/>
        <v>457</v>
      </c>
      <c r="U38" s="11">
        <f t="shared" si="41"/>
        <v>457</v>
      </c>
      <c r="V38" s="11">
        <f t="shared" si="41"/>
        <v>457</v>
      </c>
      <c r="W38" s="11">
        <f t="shared" si="41"/>
        <v>457</v>
      </c>
      <c r="X38" s="11">
        <f t="shared" si="41"/>
        <v>457</v>
      </c>
      <c r="Y38" s="11">
        <f t="shared" si="41"/>
        <v>457</v>
      </c>
    </row>
    <row r="39" spans="1:25" x14ac:dyDescent="0.25">
      <c r="K39" s="26"/>
      <c r="L39" s="26"/>
      <c r="M39" s="26"/>
      <c r="N39" s="15"/>
    </row>
    <row r="40" spans="1:25" x14ac:dyDescent="0.25">
      <c r="B40" t="s">
        <v>25</v>
      </c>
      <c r="D40" s="11">
        <f>D35/D41</f>
        <v>3.3803158106891908</v>
      </c>
      <c r="E40" s="11">
        <f t="shared" ref="E40:O40" si="42">E35/E41</f>
        <v>5.20399804757725</v>
      </c>
      <c r="F40" s="11">
        <f t="shared" si="42"/>
        <v>6.0041214715240105</v>
      </c>
      <c r="G40" s="11">
        <f t="shared" si="42"/>
        <v>10.845360824742269</v>
      </c>
      <c r="H40" s="11">
        <f t="shared" si="42"/>
        <v>10.024948024948024</v>
      </c>
      <c r="I40" s="11">
        <f t="shared" si="42"/>
        <v>10.097664543524417</v>
      </c>
      <c r="J40" s="11">
        <f t="shared" si="42"/>
        <v>11.793140990745782</v>
      </c>
      <c r="K40" s="31">
        <f t="shared" si="42"/>
        <v>2.7108695652173913</v>
      </c>
      <c r="L40" s="31">
        <f t="shared" si="42"/>
        <v>2.8213507625272332</v>
      </c>
      <c r="M40" s="31">
        <f t="shared" si="42"/>
        <v>3.056644880174292</v>
      </c>
      <c r="N40" s="20">
        <f t="shared" si="42"/>
        <v>3.20479302832244</v>
      </c>
      <c r="O40" s="11">
        <f t="shared" si="42"/>
        <v>14.010893246187363</v>
      </c>
      <c r="P40" s="11">
        <f t="shared" ref="P40:Y40" si="43">P35/P41</f>
        <v>16.793028322440087</v>
      </c>
      <c r="Q40" s="11">
        <f t="shared" si="43"/>
        <v>19.928104575163399</v>
      </c>
      <c r="R40" s="11">
        <f t="shared" si="43"/>
        <v>23.44880174291939</v>
      </c>
      <c r="S40" s="11">
        <f t="shared" si="43"/>
        <v>27.398692810457515</v>
      </c>
      <c r="T40" s="11">
        <f t="shared" si="43"/>
        <v>31.830065359477125</v>
      </c>
      <c r="U40" s="11">
        <f t="shared" si="43"/>
        <v>36.788671023965144</v>
      </c>
      <c r="V40" s="11">
        <f t="shared" si="43"/>
        <v>42.335511982570807</v>
      </c>
      <c r="W40" s="11">
        <f t="shared" si="43"/>
        <v>48.531590413943356</v>
      </c>
      <c r="X40" s="11">
        <f t="shared" si="43"/>
        <v>55.453159041394336</v>
      </c>
      <c r="Y40" s="11">
        <f t="shared" si="43"/>
        <v>63.178649237472769</v>
      </c>
    </row>
    <row r="41" spans="1:25" x14ac:dyDescent="0.25">
      <c r="B41" t="s">
        <v>26</v>
      </c>
      <c r="D41" s="3">
        <f>501123/1000</f>
        <v>501.12299999999999</v>
      </c>
      <c r="E41" s="3">
        <f>497843/1000</f>
        <v>497.84300000000002</v>
      </c>
      <c r="F41" s="3">
        <f>491572/1000</f>
        <v>491.572</v>
      </c>
      <c r="G41" s="3">
        <v>485</v>
      </c>
      <c r="H41" s="3">
        <v>481</v>
      </c>
      <c r="I41" s="3">
        <v>471</v>
      </c>
      <c r="J41" s="3">
        <f>AVERAGE(K41:N41)</f>
        <v>459.25</v>
      </c>
      <c r="K41" s="24">
        <v>460</v>
      </c>
      <c r="L41" s="24">
        <v>459</v>
      </c>
      <c r="M41" s="24">
        <v>459</v>
      </c>
      <c r="N41" s="22">
        <f>M41</f>
        <v>459</v>
      </c>
      <c r="O41" s="11">
        <f>ROUND(J41,)</f>
        <v>459</v>
      </c>
      <c r="P41" s="11">
        <f>O41</f>
        <v>459</v>
      </c>
      <c r="Q41" s="11">
        <f t="shared" ref="Q41:Y41" si="44">P41</f>
        <v>459</v>
      </c>
      <c r="R41" s="11">
        <f t="shared" si="44"/>
        <v>459</v>
      </c>
      <c r="S41" s="11">
        <f t="shared" si="44"/>
        <v>459</v>
      </c>
      <c r="T41" s="11">
        <f t="shared" si="44"/>
        <v>459</v>
      </c>
      <c r="U41" s="11">
        <f t="shared" si="44"/>
        <v>459</v>
      </c>
      <c r="V41" s="11">
        <f t="shared" si="44"/>
        <v>459</v>
      </c>
      <c r="W41" s="11">
        <f t="shared" si="44"/>
        <v>459</v>
      </c>
      <c r="X41" s="11">
        <f t="shared" si="44"/>
        <v>459</v>
      </c>
      <c r="Y41" s="11">
        <f t="shared" si="44"/>
        <v>459</v>
      </c>
    </row>
    <row r="42" spans="1:25" x14ac:dyDescent="0.25">
      <c r="K42" s="26"/>
      <c r="L42" s="26"/>
      <c r="M42" s="26"/>
      <c r="N42" s="15"/>
    </row>
    <row r="43" spans="1:25" x14ac:dyDescent="0.25">
      <c r="B43" t="s">
        <v>37</v>
      </c>
      <c r="D43" s="13"/>
      <c r="E43" s="14">
        <f>(E8-D8)/D8</f>
        <v>0.23673242708181405</v>
      </c>
      <c r="F43" s="14">
        <f>(F8-E8)/E8</f>
        <v>0.23713035470178995</v>
      </c>
      <c r="G43" s="14">
        <f>(G8-F8)/F8</f>
        <v>0.15188057393872881</v>
      </c>
      <c r="H43" s="14">
        <f>(H8-G8)/G8</f>
        <v>0.22668635374572582</v>
      </c>
      <c r="I43" s="14">
        <f>(I8-H8)/H8</f>
        <v>0.11536268609439342</v>
      </c>
      <c r="J43" s="14">
        <f>(J8-I8)/I8</f>
        <v>0.10024991480177212</v>
      </c>
      <c r="K43" s="26"/>
      <c r="L43" s="26"/>
      <c r="M43" s="26"/>
      <c r="N43" s="15"/>
      <c r="O43" s="14">
        <f>(O8-J8)/J8</f>
        <v>9.8291260131123839E-2</v>
      </c>
      <c r="P43" s="14">
        <f>(P8-O8)/O8</f>
        <v>9.8331374853113981E-2</v>
      </c>
      <c r="Q43" s="14">
        <f>(Q8-P8)/P8</f>
        <v>9.8429408995592077E-2</v>
      </c>
      <c r="R43" s="14">
        <f t="shared" ref="R43:Y43" si="45">(R8-Q8)/Q8</f>
        <v>9.8414306307710295E-2</v>
      </c>
      <c r="S43" s="14">
        <f t="shared" si="45"/>
        <v>9.8464157769659139E-2</v>
      </c>
      <c r="T43" s="14">
        <f t="shared" si="45"/>
        <v>9.8517872711421095E-2</v>
      </c>
      <c r="U43" s="14">
        <f t="shared" si="45"/>
        <v>9.8559670781893011E-2</v>
      </c>
      <c r="V43" s="14">
        <f t="shared" si="45"/>
        <v>9.8573836727048933E-2</v>
      </c>
      <c r="W43" s="14">
        <f t="shared" si="45"/>
        <v>9.8594636724553666E-2</v>
      </c>
      <c r="X43" s="14">
        <f t="shared" si="45"/>
        <v>9.8658685289879172E-2</v>
      </c>
      <c r="Y43" s="14">
        <f t="shared" si="45"/>
        <v>9.8698415901523562E-2</v>
      </c>
    </row>
    <row r="44" spans="1:25" x14ac:dyDescent="0.25">
      <c r="B44" t="s">
        <v>38</v>
      </c>
      <c r="D44" s="13"/>
      <c r="E44" s="14">
        <f>(E14-D14)/D14</f>
        <v>0.18259242289144589</v>
      </c>
      <c r="F44" s="14">
        <f t="shared" ref="F44:J44" si="46">(F14-E14)/E14</f>
        <v>0.39976686172959142</v>
      </c>
      <c r="G44" s="14">
        <f t="shared" si="46"/>
        <v>2.9460997656511532E-2</v>
      </c>
      <c r="H44" s="14">
        <f t="shared" si="46"/>
        <v>8.3042973286875724E-2</v>
      </c>
      <c r="I44" s="14">
        <f t="shared" si="46"/>
        <v>0.16085790884718498</v>
      </c>
      <c r="J44" s="14">
        <f t="shared" ref="J44" si="47">(J14-I14)/I14</f>
        <v>6.6512702078521946E-2</v>
      </c>
      <c r="K44" s="26"/>
      <c r="L44" s="26"/>
      <c r="M44" s="26"/>
      <c r="N44" s="15"/>
      <c r="O44" s="14">
        <f>(O14-J14)/J14</f>
        <v>5.0238198354265913E-2</v>
      </c>
      <c r="P44" s="14">
        <f>(P14-O14)/O14</f>
        <v>5.0309278350515463E-2</v>
      </c>
      <c r="Q44" s="14">
        <f>(Q14-P14)/P14</f>
        <v>5.0255202198665097E-2</v>
      </c>
      <c r="R44" s="14">
        <f t="shared" ref="R44:Y44" si="48">(R14-Q14)/Q14</f>
        <v>5.0093457943925231E-2</v>
      </c>
      <c r="S44" s="14">
        <f t="shared" si="48"/>
        <v>5.019579921680313E-2</v>
      </c>
      <c r="T44" s="14">
        <f t="shared" si="48"/>
        <v>4.983050847457627E-2</v>
      </c>
      <c r="U44" s="14">
        <f t="shared" si="48"/>
        <v>5.0048433968356475E-2</v>
      </c>
      <c r="V44" s="14">
        <f t="shared" si="48"/>
        <v>5.0123001230012301E-2</v>
      </c>
      <c r="W44" s="14">
        <f t="shared" si="48"/>
        <v>5.0073206442166909E-2</v>
      </c>
      <c r="X44" s="14">
        <f t="shared" si="48"/>
        <v>4.9916341327384275E-2</v>
      </c>
      <c r="Y44" s="14">
        <f t="shared" si="48"/>
        <v>4.9933598937583E-2</v>
      </c>
    </row>
    <row r="45" spans="1:25" x14ac:dyDescent="0.25">
      <c r="B45" t="s">
        <v>39</v>
      </c>
      <c r="D45" s="13"/>
      <c r="E45" s="14">
        <f>(E16-D16)/D16</f>
        <v>0.24542863837212903</v>
      </c>
      <c r="F45" s="14">
        <f t="shared" ref="F45:I45" si="49">(F16-E16)/E16</f>
        <v>0.21232496350674276</v>
      </c>
      <c r="G45" s="14">
        <f t="shared" si="49"/>
        <v>0.17343892669396677</v>
      </c>
      <c r="H45" s="14">
        <f t="shared" si="49"/>
        <v>0.24887852144267</v>
      </c>
      <c r="I45" s="14">
        <f t="shared" si="49"/>
        <v>0.10926724137931035</v>
      </c>
      <c r="J45" s="14">
        <f t="shared" ref="J45" si="50">(J16-I16)/I16</f>
        <v>0.10498024739330354</v>
      </c>
      <c r="K45" s="26"/>
      <c r="L45" s="26"/>
      <c r="M45" s="26"/>
      <c r="N45" s="15"/>
      <c r="O45" s="14">
        <f>(O16-J16)/J16</f>
        <v>0.1047942796858516</v>
      </c>
      <c r="P45" s="14">
        <f>(P16-O16)/O16</f>
        <v>0.10450928381962865</v>
      </c>
      <c r="Q45" s="14">
        <f>(Q16-P16)/P16</f>
        <v>0.10432276657060519</v>
      </c>
      <c r="R45" s="14">
        <f t="shared" ref="R45:Y45" si="51">(R16-Q16)/Q16</f>
        <v>0.10403618649965206</v>
      </c>
      <c r="S45" s="14">
        <f t="shared" si="51"/>
        <v>0.10380554680113457</v>
      </c>
      <c r="T45" s="14">
        <f t="shared" si="51"/>
        <v>0.10364395588707663</v>
      </c>
      <c r="U45" s="14">
        <f t="shared" si="51"/>
        <v>0.10341816770688485</v>
      </c>
      <c r="V45" s="14">
        <f t="shared" si="51"/>
        <v>0.10319158289616365</v>
      </c>
      <c r="W45" s="14">
        <f t="shared" si="51"/>
        <v>0.10299665267520323</v>
      </c>
      <c r="X45" s="14">
        <f t="shared" si="51"/>
        <v>0.10286856619860786</v>
      </c>
      <c r="Y45" s="14">
        <f t="shared" si="51"/>
        <v>0.10270801485040403</v>
      </c>
    </row>
    <row r="46" spans="1:25" x14ac:dyDescent="0.25">
      <c r="B46" t="s">
        <v>40</v>
      </c>
      <c r="D46" s="13"/>
      <c r="E46" s="14">
        <f>(E35-D35)/D35</f>
        <v>0.52942405756000566</v>
      </c>
      <c r="F46" s="14">
        <f t="shared" ref="F46:I46" si="52">(F35-E35)/E35</f>
        <v>0.13921862732913023</v>
      </c>
      <c r="G46" s="14">
        <f t="shared" si="52"/>
        <v>0.78217003257373074</v>
      </c>
      <c r="H46" s="14">
        <f t="shared" si="52"/>
        <v>-8.3269961977186308E-2</v>
      </c>
      <c r="I46" s="14">
        <f t="shared" si="52"/>
        <v>-1.3687266694317711E-2</v>
      </c>
      <c r="J46" s="14">
        <f t="shared" ref="J46" si="53">(J35-I35)/I35</f>
        <v>0.13877207737594618</v>
      </c>
      <c r="K46" s="26"/>
      <c r="L46" s="26"/>
      <c r="M46" s="26"/>
      <c r="N46" s="15"/>
      <c r="O46" s="14">
        <f>(O35-J35)/J35</f>
        <v>0.18740768094534713</v>
      </c>
      <c r="P46" s="14">
        <f>(P35-O35)/O35</f>
        <v>0.1985694293266988</v>
      </c>
      <c r="Q46" s="14">
        <f>(Q35-P35)/P35</f>
        <v>0.18668915412558382</v>
      </c>
      <c r="R46" s="14">
        <f t="shared" ref="R46:Y46" si="54">(R35-Q35)/Q35</f>
        <v>0.17666994643052367</v>
      </c>
      <c r="S46" s="14">
        <f t="shared" si="54"/>
        <v>0.16844745888692744</v>
      </c>
      <c r="T46" s="14">
        <f t="shared" si="54"/>
        <v>0.16173664122137404</v>
      </c>
      <c r="U46" s="14">
        <f t="shared" si="54"/>
        <v>0.15578370978781655</v>
      </c>
      <c r="V46" s="14">
        <f t="shared" si="54"/>
        <v>0.1507757905957598</v>
      </c>
      <c r="W46" s="14">
        <f t="shared" si="54"/>
        <v>0.14635652531906135</v>
      </c>
      <c r="X46" s="14">
        <f t="shared" si="54"/>
        <v>0.14261985993894774</v>
      </c>
      <c r="Y46" s="14">
        <f t="shared" si="54"/>
        <v>0.13931560130436491</v>
      </c>
    </row>
    <row r="48" spans="1:25" ht="15.75" thickBot="1" x14ac:dyDescent="0.3"/>
    <row r="49" spans="2:6" x14ac:dyDescent="0.25">
      <c r="B49" s="42" t="s">
        <v>45</v>
      </c>
      <c r="C49" s="35"/>
      <c r="D49" s="43">
        <f>Y35*(1+0.055)/(0.1-0.055)</f>
        <v>679865.44444444438</v>
      </c>
    </row>
    <row r="50" spans="2:6" x14ac:dyDescent="0.25">
      <c r="B50" s="36" t="s">
        <v>46</v>
      </c>
      <c r="C50" s="37"/>
      <c r="D50" s="44">
        <f>SUM(D49,Y35)</f>
        <v>708864.44444444438</v>
      </c>
    </row>
    <row r="51" spans="2:6" x14ac:dyDescent="0.25">
      <c r="B51" s="36"/>
      <c r="C51" s="37"/>
      <c r="D51" s="38"/>
    </row>
    <row r="52" spans="2:6" x14ac:dyDescent="0.25">
      <c r="B52" s="36" t="s">
        <v>47</v>
      </c>
      <c r="C52" s="37"/>
      <c r="D52" s="45">
        <f>NPV(0.1,N35:Y35,D50)</f>
        <v>288170.59455513896</v>
      </c>
    </row>
    <row r="53" spans="2:6" x14ac:dyDescent="0.25">
      <c r="B53" s="36" t="s">
        <v>48</v>
      </c>
      <c r="C53" s="37"/>
      <c r="D53" s="38">
        <f>Main!D6</f>
        <v>6601</v>
      </c>
    </row>
    <row r="54" spans="2:6" x14ac:dyDescent="0.25">
      <c r="B54" s="36" t="s">
        <v>49</v>
      </c>
      <c r="C54" s="37"/>
      <c r="D54" s="38">
        <f>Main!D7</f>
        <v>3633</v>
      </c>
    </row>
    <row r="55" spans="2:6" x14ac:dyDescent="0.25">
      <c r="B55" s="36" t="s">
        <v>50</v>
      </c>
      <c r="C55" s="37"/>
      <c r="D55" s="45">
        <f>D52+D53-D54</f>
        <v>291138.59455513896</v>
      </c>
    </row>
    <row r="56" spans="2:6" x14ac:dyDescent="0.25">
      <c r="B56" s="36" t="s">
        <v>51</v>
      </c>
      <c r="C56" s="37"/>
      <c r="D56" s="38">
        <f>Main!D4</f>
        <v>457.25</v>
      </c>
    </row>
    <row r="57" spans="2:6" x14ac:dyDescent="0.25">
      <c r="B57" s="40" t="s">
        <v>52</v>
      </c>
      <c r="C57" s="37"/>
      <c r="D57" s="45">
        <f>D55/D56</f>
        <v>636.71644517252912</v>
      </c>
      <c r="E57" t="s">
        <v>55</v>
      </c>
    </row>
    <row r="58" spans="2:6" ht="15.75" thickBot="1" x14ac:dyDescent="0.3">
      <c r="B58" s="41" t="s">
        <v>53</v>
      </c>
      <c r="C58" s="39"/>
      <c r="D58" s="46">
        <f>D57/Main!D3-1</f>
        <v>0.10175709915476316</v>
      </c>
    </row>
    <row r="61" spans="2:6" ht="15.75" thickBot="1" x14ac:dyDescent="0.3"/>
    <row r="62" spans="2:6" ht="15.75" thickBot="1" x14ac:dyDescent="0.3">
      <c r="B62" s="47" t="s">
        <v>54</v>
      </c>
      <c r="C62" s="48"/>
      <c r="D62" s="48"/>
      <c r="E62" s="48"/>
      <c r="F62" s="49"/>
    </row>
  </sheetData>
  <mergeCells count="2">
    <mergeCell ref="N1:Y1"/>
    <mergeCell ref="D1:M1"/>
  </mergeCells>
  <conditionalFormatting sqref="D58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Morton, Josh</dc:creator>
  <cp:lastModifiedBy>Joshua Morton</cp:lastModifiedBy>
  <dcterms:created xsi:type="dcterms:W3CDTF">2023-12-29T17:51:24Z</dcterms:created>
  <dcterms:modified xsi:type="dcterms:W3CDTF">2024-01-02T18:16:07Z</dcterms:modified>
</cp:coreProperties>
</file>