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784B433B-EA8A-415C-B0C5-D98C0320CCDE}" xr6:coauthVersionLast="47" xr6:coauthVersionMax="47" xr10:uidLastSave="{00000000-0000-0000-0000-000000000000}"/>
  <bookViews>
    <workbookView xWindow="-28920" yWindow="-120" windowWidth="29040" windowHeight="15720" activeTab="1" xr2:uid="{44634A57-3BF8-4089-B90A-5A965AF05115}"/>
  </bookViews>
  <sheets>
    <sheet name="Main" sheetId="1" r:id="rId1"/>
    <sheet name="Model" sheetId="2" r:id="rId2"/>
    <sheet name="SUPPORTING DOCS -&gt;" sheetId="3" r:id="rId3"/>
    <sheet name="INCOME_STATEMENT_HISTORICAL" sheetId="4" r:id="rId4"/>
    <sheet name="BALANCE_SHEET_HISTORIC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M38" i="2"/>
  <c r="L7" i="2"/>
  <c r="M7" i="2" s="1"/>
  <c r="N7" i="2" s="1"/>
  <c r="K7" i="2"/>
  <c r="J7" i="2"/>
  <c r="J3" i="2"/>
  <c r="K3" i="2" s="1"/>
  <c r="L3" i="2" s="1"/>
  <c r="M3" i="2" s="1"/>
  <c r="N3" i="2" s="1"/>
  <c r="N12" i="2"/>
  <c r="M12" i="2"/>
  <c r="L12" i="2"/>
  <c r="K12" i="2"/>
  <c r="N4" i="2"/>
  <c r="M4" i="2"/>
  <c r="L4" i="2"/>
  <c r="K4" i="2"/>
  <c r="J4" i="2"/>
  <c r="L11" i="2"/>
  <c r="M11" i="2" s="1"/>
  <c r="N11" i="2" s="1"/>
  <c r="K11" i="2"/>
  <c r="N6" i="2"/>
  <c r="M6" i="2"/>
  <c r="L6" i="2"/>
  <c r="K6" i="2"/>
  <c r="J6" i="2"/>
  <c r="M44" i="2"/>
  <c r="M42" i="2"/>
  <c r="M41" i="2"/>
  <c r="C4" i="1"/>
  <c r="C5" i="1"/>
  <c r="C6" i="1"/>
  <c r="C7" i="1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D33" i="2"/>
  <c r="H33" i="2"/>
  <c r="G33" i="2"/>
  <c r="F33" i="2"/>
  <c r="E33" i="2"/>
  <c r="C33" i="2"/>
  <c r="N46" i="2"/>
  <c r="N40" i="2"/>
  <c r="N45" i="2"/>
  <c r="N39" i="2"/>
  <c r="N44" i="2"/>
  <c r="N43" i="2"/>
  <c r="N42" i="2"/>
  <c r="N41" i="2"/>
  <c r="N38" i="2"/>
  <c r="L30" i="2" l="1"/>
  <c r="M30" i="2" s="1"/>
  <c r="N30" i="2" s="1"/>
  <c r="L29" i="2"/>
  <c r="M29" i="2" s="1"/>
  <c r="N29" i="2" s="1"/>
  <c r="K30" i="2"/>
  <c r="K29" i="2"/>
  <c r="J30" i="2"/>
  <c r="J29" i="2"/>
  <c r="N15" i="2"/>
  <c r="L20" i="2"/>
  <c r="M20" i="2" s="1"/>
  <c r="N20" i="2" s="1"/>
  <c r="K20" i="2"/>
  <c r="J20" i="2"/>
  <c r="M18" i="2"/>
  <c r="N18" i="2" s="1"/>
  <c r="L18" i="2"/>
  <c r="K18" i="2"/>
  <c r="J18" i="2"/>
  <c r="M15" i="2"/>
  <c r="L15" i="2"/>
  <c r="K15" i="2"/>
  <c r="J15" i="2"/>
  <c r="L14" i="2"/>
  <c r="K14" i="2"/>
  <c r="J14" i="2"/>
  <c r="M13" i="2"/>
  <c r="N13" i="2" s="1"/>
  <c r="L13" i="2"/>
  <c r="K13" i="2"/>
  <c r="J13" i="2"/>
  <c r="N14" i="2"/>
  <c r="J12" i="2"/>
  <c r="J11" i="2"/>
  <c r="K8" i="2"/>
  <c r="J8" i="2"/>
  <c r="K1" i="2"/>
  <c r="L1" i="2" s="1"/>
  <c r="M1" i="2" s="1"/>
  <c r="N1" i="2" s="1"/>
  <c r="H17" i="2"/>
  <c r="H14" i="2"/>
  <c r="G14" i="2"/>
  <c r="F14" i="2"/>
  <c r="E14" i="2"/>
  <c r="D14" i="2"/>
  <c r="C14" i="2"/>
  <c r="B14" i="2"/>
  <c r="H5" i="2"/>
  <c r="G5" i="2"/>
  <c r="F5" i="2"/>
  <c r="E5" i="2"/>
  <c r="H8" i="2"/>
  <c r="G8" i="2"/>
  <c r="F8" i="2"/>
  <c r="E8" i="2"/>
  <c r="D8" i="2"/>
  <c r="C8" i="2"/>
  <c r="B8" i="2"/>
  <c r="D5" i="2"/>
  <c r="D9" i="2" s="1"/>
  <c r="D17" i="2" s="1"/>
  <c r="D19" i="2" s="1"/>
  <c r="C5" i="2"/>
  <c r="C9" i="2" s="1"/>
  <c r="C17" i="2" s="1"/>
  <c r="C19" i="2" s="1"/>
  <c r="B5" i="2"/>
  <c r="B9" i="2" s="1"/>
  <c r="B17" i="2" s="1"/>
  <c r="B19" i="2" s="1"/>
  <c r="C2" i="2"/>
  <c r="D2" i="2" s="1"/>
  <c r="E2" i="2" s="1"/>
  <c r="F2" i="2" s="1"/>
  <c r="G2" i="2" s="1"/>
  <c r="H2" i="2" s="1"/>
  <c r="M14" i="2" l="1"/>
  <c r="L8" i="2"/>
  <c r="M8" i="2"/>
  <c r="N8" i="2"/>
  <c r="J5" i="2"/>
  <c r="J9" i="2" s="1"/>
  <c r="K5" i="2"/>
  <c r="B26" i="2"/>
  <c r="B21" i="2"/>
  <c r="B25" i="2"/>
  <c r="C21" i="2"/>
  <c r="C26" i="2"/>
  <c r="C25" i="2"/>
  <c r="D21" i="2"/>
  <c r="D25" i="2"/>
  <c r="D26" i="2"/>
  <c r="H9" i="2"/>
  <c r="H19" i="2" s="1"/>
  <c r="H26" i="2" s="1"/>
  <c r="G9" i="2"/>
  <c r="G17" i="2" s="1"/>
  <c r="G19" i="2" s="1"/>
  <c r="E9" i="2"/>
  <c r="E17" i="2" s="1"/>
  <c r="E19" i="2" s="1"/>
  <c r="F9" i="2"/>
  <c r="F17" i="2" s="1"/>
  <c r="F19" i="2" s="1"/>
  <c r="K9" i="2" l="1"/>
  <c r="K17" i="2" s="1"/>
  <c r="K33" i="2"/>
  <c r="J17" i="2"/>
  <c r="J35" i="2"/>
  <c r="L5" i="2"/>
  <c r="G21" i="2"/>
  <c r="G26" i="2"/>
  <c r="G25" i="2"/>
  <c r="E21" i="2"/>
  <c r="E25" i="2"/>
  <c r="E26" i="2"/>
  <c r="F21" i="2"/>
  <c r="F25" i="2"/>
  <c r="F26" i="2"/>
  <c r="H21" i="2"/>
  <c r="H25" i="2"/>
  <c r="M5" i="2" l="1"/>
  <c r="M9" i="2" s="1"/>
  <c r="M17" i="2" s="1"/>
  <c r="N5" i="2"/>
  <c r="K35" i="2"/>
  <c r="L9" i="2"/>
  <c r="L35" i="2" s="1"/>
  <c r="L33" i="2"/>
  <c r="K19" i="2"/>
  <c r="K34" i="2"/>
  <c r="J19" i="2"/>
  <c r="J34" i="2"/>
  <c r="M33" i="2" l="1"/>
  <c r="L17" i="2"/>
  <c r="L19" i="2" s="1"/>
  <c r="M35" i="2"/>
  <c r="N9" i="2"/>
  <c r="N33" i="2"/>
  <c r="J21" i="2"/>
  <c r="J25" i="2"/>
  <c r="J26" i="2"/>
  <c r="M19" i="2"/>
  <c r="M34" i="2"/>
  <c r="K21" i="2"/>
  <c r="K25" i="2"/>
  <c r="K26" i="2"/>
  <c r="L34" i="2" l="1"/>
  <c r="N17" i="2"/>
  <c r="N35" i="2"/>
  <c r="M21" i="2"/>
  <c r="M25" i="2"/>
  <c r="M26" i="2"/>
  <c r="L25" i="2"/>
  <c r="L21" i="2"/>
  <c r="L26" i="2"/>
  <c r="N34" i="2" l="1"/>
  <c r="N19" i="2"/>
  <c r="N21" i="2" l="1"/>
  <c r="M39" i="2"/>
  <c r="N25" i="2"/>
  <c r="N26" i="2"/>
  <c r="M43" i="2" l="1"/>
  <c r="M45" i="2" s="1"/>
  <c r="M46" i="2" s="1"/>
</calcChain>
</file>

<file path=xl/sharedStrings.xml><?xml version="1.0" encoding="utf-8"?>
<sst xmlns="http://schemas.openxmlformats.org/spreadsheetml/2006/main" count="50" uniqueCount="43">
  <si>
    <t>Stock</t>
  </si>
  <si>
    <t>Price</t>
  </si>
  <si>
    <t>Shares</t>
  </si>
  <si>
    <t>Market cap</t>
  </si>
  <si>
    <t>Cash</t>
  </si>
  <si>
    <t>Debt</t>
  </si>
  <si>
    <t>WMT</t>
  </si>
  <si>
    <t>Main</t>
  </si>
  <si>
    <t>Net sales</t>
  </si>
  <si>
    <t>Membership &amp; other income</t>
  </si>
  <si>
    <t>Total Revenue</t>
  </si>
  <si>
    <t>Cost of sales</t>
  </si>
  <si>
    <t>Operating, selling, gen, admin</t>
  </si>
  <si>
    <t>Total costs &amp; expenses</t>
  </si>
  <si>
    <t>Operating income</t>
  </si>
  <si>
    <t>Capital lease &amp; financing obligations</t>
  </si>
  <si>
    <t>Interest expenses:</t>
  </si>
  <si>
    <t>Interest income</t>
  </si>
  <si>
    <t>Interest, net</t>
  </si>
  <si>
    <t>Loss on extinguishment of debt</t>
  </si>
  <si>
    <t>Income before income taxes</t>
  </si>
  <si>
    <t>Provision for income taxes</t>
  </si>
  <si>
    <t xml:space="preserve">Consolidated net income </t>
  </si>
  <si>
    <t>Consolidated net income attributable to noncontrolling interest</t>
  </si>
  <si>
    <t>Consolidated net income attributable to walmart</t>
  </si>
  <si>
    <t>EPS</t>
  </si>
  <si>
    <t>Basic</t>
  </si>
  <si>
    <t>Diluted</t>
  </si>
  <si>
    <t>Number of shares</t>
  </si>
  <si>
    <t>FY end 7/31</t>
  </si>
  <si>
    <t>Other gains &amp; losses</t>
  </si>
  <si>
    <t>Estimates</t>
  </si>
  <si>
    <t>Revenue y/y</t>
  </si>
  <si>
    <t>Gross Margin</t>
  </si>
  <si>
    <t>Operating Margin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</si>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</sst>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3" fillId="0" borderId="0" xfId="3"/>
    <xf numFmtId="0" fontId="2" fillId="0" borderId="0" xfId="0" applyFont="1"/>
    <xf numFmtId="0" fontId="4" fillId="2" borderId="0" xfId="0" applyFont="1" applyFill="1"/>
    <xf numFmtId="2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2" fillId="0" borderId="0" xfId="1" applyFont="1"/>
    <xf numFmtId="0" fontId="2" fillId="0" borderId="1" xfId="0" applyFont="1" applyBorder="1"/>
    <xf numFmtId="0" fontId="2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43" fontId="0" fillId="0" borderId="5" xfId="0" applyNumberFormat="1" applyBorder="1"/>
    <xf numFmtId="0" fontId="0" fillId="0" borderId="0" xfId="0" applyBorder="1"/>
    <xf numFmtId="43" fontId="0" fillId="0" borderId="6" xfId="0" applyNumberFormat="1" applyBorder="1"/>
    <xf numFmtId="8" fontId="0" fillId="0" borderId="6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2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19050</xdr:rowOff>
    </xdr:from>
    <xdr:to>
      <xdr:col>8</xdr:col>
      <xdr:colOff>85725</xdr:colOff>
      <xdr:row>37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C246EE-6B5F-AC90-3162-1E1482CC337A}"/>
            </a:ext>
          </a:extLst>
        </xdr:cNvPr>
        <xdr:cNvCxnSpPr/>
      </xdr:nvCxnSpPr>
      <xdr:spPr>
        <a:xfrm>
          <a:off x="8420100" y="19050"/>
          <a:ext cx="0" cy="7029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30</xdr:row>
      <xdr:rowOff>85725</xdr:rowOff>
    </xdr:from>
    <xdr:to>
      <xdr:col>23</xdr:col>
      <xdr:colOff>561975</xdr:colOff>
      <xdr:row>30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94C1297-EAC9-0939-908C-F032EE9F89AB}"/>
            </a:ext>
          </a:extLst>
        </xdr:cNvPr>
        <xdr:cNvCxnSpPr/>
      </xdr:nvCxnSpPr>
      <xdr:spPr>
        <a:xfrm flipV="1">
          <a:off x="28575" y="5800725"/>
          <a:ext cx="17640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38224</xdr:rowOff>
    </xdr:from>
    <xdr:to>
      <xdr:col>23</xdr:col>
      <xdr:colOff>297814</xdr:colOff>
      <xdr:row>37</xdr:row>
      <xdr:rowOff>48891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CC7A38-74EE-8039-B83F-C6D4DC4E5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228724"/>
          <a:ext cx="13766164" cy="686866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38</xdr:col>
      <xdr:colOff>467981</xdr:colOff>
      <xdr:row>43</xdr:row>
      <xdr:rowOff>182117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EE91F7-0F5E-11F4-6C7E-2B3957B12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190500"/>
          <a:ext cx="9002381" cy="8183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440679</xdr:colOff>
      <xdr:row>46</xdr:row>
      <xdr:rowOff>163118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FE1EE1-F5FE-4900-7F36-1703BCF4F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8119079" cy="854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533F-AACA-4F80-81DD-70C7ED4E633B}">
  <dimension ref="B2:D7"/>
  <sheetViews>
    <sheetView workbookViewId="0"/>
  </sheetViews>
  <sheetFormatPr defaultRowHeight="15" x14ac:dyDescent="0.25"/>
  <cols>
    <col min="2" max="2" width="10.7109375" bestFit="1" customWidth="1"/>
    <col min="4" max="4" width="10.7109375" bestFit="1" customWidth="1"/>
  </cols>
  <sheetData>
    <row r="2" spans="2:4" x14ac:dyDescent="0.25">
      <c r="B2" t="s">
        <v>0</v>
      </c>
      <c r="C2" t="s">
        <v>6</v>
      </c>
    </row>
    <row r="3" spans="2:4" x14ac:dyDescent="0.25">
      <c r="B3" t="s">
        <v>1</v>
      </c>
      <c r="C3">
        <v>142.5</v>
      </c>
      <c r="D3" s="1">
        <v>44878</v>
      </c>
    </row>
    <row r="4" spans="2:4" x14ac:dyDescent="0.25">
      <c r="B4" t="s">
        <v>2</v>
      </c>
      <c r="C4">
        <f>Model!H29</f>
        <v>2792</v>
      </c>
    </row>
    <row r="5" spans="2:4" x14ac:dyDescent="0.25">
      <c r="B5" t="s">
        <v>3</v>
      </c>
      <c r="C5">
        <f>C3*C4</f>
        <v>397860</v>
      </c>
    </row>
    <row r="6" spans="2:4" x14ac:dyDescent="0.25">
      <c r="B6" t="s">
        <v>4</v>
      </c>
      <c r="C6">
        <f>14760+8280</f>
        <v>23040</v>
      </c>
    </row>
    <row r="7" spans="2:4" x14ac:dyDescent="0.25">
      <c r="B7" t="s">
        <v>5</v>
      </c>
      <c r="C7">
        <f>2830+34864</f>
        <v>37694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891D-9596-4529-888C-F71EE71EA30E}">
  <sheetPr>
    <tabColor theme="5" tint="0.59999389629810485"/>
  </sheetPr>
  <dimension ref="A1:N46"/>
  <sheetViews>
    <sheetView tabSelected="1" topLeftCell="A15" workbookViewId="0">
      <pane xSplit="1" topLeftCell="B1" activePane="topRight" state="frozen"/>
      <selection pane="topRight"/>
    </sheetView>
  </sheetViews>
  <sheetFormatPr defaultRowHeight="15" x14ac:dyDescent="0.25"/>
  <cols>
    <col min="1" max="1" width="59" bestFit="1" customWidth="1"/>
    <col min="2" max="8" width="11.5703125" bestFit="1" customWidth="1"/>
    <col min="9" max="9" width="3.5703125" customWidth="1"/>
    <col min="10" max="12" width="11.5703125" bestFit="1" customWidth="1"/>
    <col min="13" max="13" width="11.85546875" bestFit="1" customWidth="1"/>
    <col min="14" max="14" width="11.5703125" bestFit="1" customWidth="1"/>
  </cols>
  <sheetData>
    <row r="1" spans="1:14" x14ac:dyDescent="0.25">
      <c r="A1" s="2" t="s">
        <v>7</v>
      </c>
      <c r="H1" t="s">
        <v>29</v>
      </c>
      <c r="J1" s="4">
        <v>2023</v>
      </c>
      <c r="K1" s="4">
        <f>J1+1</f>
        <v>2024</v>
      </c>
      <c r="L1" s="4">
        <f t="shared" ref="L1:N2" si="0">K1+1</f>
        <v>2025</v>
      </c>
      <c r="M1" s="4">
        <f t="shared" si="0"/>
        <v>2026</v>
      </c>
      <c r="N1" s="4">
        <f t="shared" si="0"/>
        <v>2027</v>
      </c>
    </row>
    <row r="2" spans="1:14" s="4" customFormat="1" x14ac:dyDescent="0.25">
      <c r="B2" s="4">
        <v>2016</v>
      </c>
      <c r="C2" s="4">
        <f>B2+1</f>
        <v>2017</v>
      </c>
      <c r="D2" s="4">
        <f t="shared" ref="D2:H2" si="1">C2+1</f>
        <v>2018</v>
      </c>
      <c r="E2" s="4">
        <f t="shared" si="1"/>
        <v>2019</v>
      </c>
      <c r="F2" s="4">
        <f t="shared" si="1"/>
        <v>2020</v>
      </c>
      <c r="G2" s="4">
        <f t="shared" si="1"/>
        <v>2021</v>
      </c>
      <c r="H2" s="4">
        <f t="shared" si="1"/>
        <v>2022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</row>
    <row r="3" spans="1:14" x14ac:dyDescent="0.25">
      <c r="A3" t="s">
        <v>8</v>
      </c>
      <c r="B3" s="7">
        <v>478614</v>
      </c>
      <c r="C3" s="7">
        <v>481317</v>
      </c>
      <c r="D3" s="7">
        <v>495761</v>
      </c>
      <c r="E3" s="7">
        <v>510329</v>
      </c>
      <c r="F3" s="7">
        <v>519926</v>
      </c>
      <c r="G3" s="7">
        <v>555233</v>
      </c>
      <c r="H3" s="7">
        <v>567762</v>
      </c>
      <c r="I3" s="7"/>
      <c r="J3" s="7">
        <f>H3*1.06</f>
        <v>601827.72</v>
      </c>
      <c r="K3" s="7">
        <f>J3*1.05</f>
        <v>631919.10600000003</v>
      </c>
      <c r="L3" s="7">
        <f>K3*1.05</f>
        <v>663515.06130000006</v>
      </c>
      <c r="M3" s="7">
        <f>L3*1.05</f>
        <v>696690.81436500011</v>
      </c>
      <c r="N3" s="7">
        <f>M3*1.04</f>
        <v>724558.44693960017</v>
      </c>
    </row>
    <row r="4" spans="1:14" x14ac:dyDescent="0.25">
      <c r="A4" t="s">
        <v>9</v>
      </c>
      <c r="B4" s="7">
        <v>3516</v>
      </c>
      <c r="C4" s="7">
        <v>4556</v>
      </c>
      <c r="D4" s="7">
        <v>4582</v>
      </c>
      <c r="E4" s="7">
        <v>4076</v>
      </c>
      <c r="F4" s="7">
        <v>4038</v>
      </c>
      <c r="G4" s="7">
        <v>3918</v>
      </c>
      <c r="H4" s="7">
        <v>4992</v>
      </c>
      <c r="I4" s="7"/>
      <c r="J4" s="7">
        <f>H4*1.05</f>
        <v>5241.6000000000004</v>
      </c>
      <c r="K4" s="7">
        <f>J4*1.04</f>
        <v>5451.2640000000001</v>
      </c>
      <c r="L4" s="7">
        <f>K4*1.04</f>
        <v>5669.3145600000007</v>
      </c>
      <c r="M4" s="7">
        <f>L4*1.04</f>
        <v>5896.0871424000006</v>
      </c>
      <c r="N4" s="7">
        <f>M4*1.04</f>
        <v>6131.9306280960009</v>
      </c>
    </row>
    <row r="5" spans="1:14" s="3" customFormat="1" x14ac:dyDescent="0.25">
      <c r="A5" s="3" t="s">
        <v>10</v>
      </c>
      <c r="B5" s="8">
        <f>SUM(B3:B4)</f>
        <v>482130</v>
      </c>
      <c r="C5" s="8">
        <f t="shared" ref="C5:D5" si="2">SUM(C3:C4)</f>
        <v>485873</v>
      </c>
      <c r="D5" s="8">
        <f t="shared" si="2"/>
        <v>500343</v>
      </c>
      <c r="E5" s="8">
        <f t="shared" ref="E5" si="3">SUM(E3:E4)</f>
        <v>514405</v>
      </c>
      <c r="F5" s="8">
        <f t="shared" ref="F5" si="4">SUM(F3:F4)</f>
        <v>523964</v>
      </c>
      <c r="G5" s="8">
        <f t="shared" ref="G5" si="5">SUM(G3:G4)</f>
        <v>559151</v>
      </c>
      <c r="H5" s="8">
        <f t="shared" ref="H5" si="6">SUM(H3:H4)</f>
        <v>572754</v>
      </c>
      <c r="I5" s="8"/>
      <c r="J5" s="8">
        <f t="shared" ref="J5" si="7">SUM(J3:J4)</f>
        <v>607069.31999999995</v>
      </c>
      <c r="K5" s="8">
        <f t="shared" ref="K5" si="8">SUM(K3:K4)</f>
        <v>637370.37</v>
      </c>
      <c r="L5" s="8">
        <f t="shared" ref="L5" si="9">SUM(L3:L4)</f>
        <v>669184.37586000003</v>
      </c>
      <c r="M5" s="8">
        <f t="shared" ref="M5" si="10">SUM(M3:M4)</f>
        <v>702586.90150740009</v>
      </c>
      <c r="N5" s="8">
        <f t="shared" ref="N5" si="11">SUM(N3:N4)</f>
        <v>730690.37756769615</v>
      </c>
    </row>
    <row r="6" spans="1:14" x14ac:dyDescent="0.25">
      <c r="A6" t="s">
        <v>11</v>
      </c>
      <c r="B6" s="7">
        <v>360984</v>
      </c>
      <c r="C6" s="7">
        <v>361256</v>
      </c>
      <c r="D6" s="7">
        <v>373396</v>
      </c>
      <c r="E6" s="7">
        <v>385301</v>
      </c>
      <c r="F6" s="7">
        <v>394605</v>
      </c>
      <c r="G6" s="7">
        <v>420315</v>
      </c>
      <c r="H6" s="7">
        <v>429000</v>
      </c>
      <c r="I6" s="7"/>
      <c r="J6" s="7">
        <f>H6*1.07</f>
        <v>459030</v>
      </c>
      <c r="K6" s="7">
        <f>J6*1.06</f>
        <v>486571.80000000005</v>
      </c>
      <c r="L6" s="7">
        <f>K6*1.05</f>
        <v>510900.39000000007</v>
      </c>
      <c r="M6" s="7">
        <f>L6*1.05</f>
        <v>536445.40950000007</v>
      </c>
      <c r="N6" s="7">
        <f>M6*1.04</f>
        <v>557903.22588000004</v>
      </c>
    </row>
    <row r="7" spans="1:14" x14ac:dyDescent="0.25">
      <c r="A7" t="s">
        <v>12</v>
      </c>
      <c r="B7" s="7">
        <v>97041</v>
      </c>
      <c r="C7" s="7">
        <v>101853</v>
      </c>
      <c r="D7" s="7">
        <v>106510</v>
      </c>
      <c r="E7" s="7">
        <v>107147</v>
      </c>
      <c r="F7" s="7">
        <v>108791</v>
      </c>
      <c r="G7" s="7">
        <v>116288</v>
      </c>
      <c r="H7" s="7">
        <v>117812</v>
      </c>
      <c r="I7" s="7"/>
      <c r="J7" s="7">
        <f>H7*1.03</f>
        <v>121346.36</v>
      </c>
      <c r="K7" s="7">
        <f>J7*1.03</f>
        <v>124986.75080000001</v>
      </c>
      <c r="L7" s="7">
        <f t="shared" ref="L7:N7" si="12">K7*1.03</f>
        <v>128736.35332400001</v>
      </c>
      <c r="M7" s="7">
        <f t="shared" si="12"/>
        <v>132598.44392372001</v>
      </c>
      <c r="N7" s="7">
        <f t="shared" si="12"/>
        <v>136576.39724143161</v>
      </c>
    </row>
    <row r="8" spans="1:14" s="3" customFormat="1" x14ac:dyDescent="0.25">
      <c r="A8" s="3" t="s">
        <v>13</v>
      </c>
      <c r="B8" s="8">
        <f>SUM(B6:B7)</f>
        <v>458025</v>
      </c>
      <c r="C8" s="8">
        <f t="shared" ref="C8:D8" si="13">SUM(C6:C7)</f>
        <v>463109</v>
      </c>
      <c r="D8" s="8">
        <f t="shared" si="13"/>
        <v>479906</v>
      </c>
      <c r="E8" s="8">
        <f t="shared" ref="E8" si="14">SUM(E6:E7)</f>
        <v>492448</v>
      </c>
      <c r="F8" s="8">
        <f t="shared" ref="F8" si="15">SUM(F6:F7)</f>
        <v>503396</v>
      </c>
      <c r="G8" s="8">
        <f t="shared" ref="G8" si="16">SUM(G6:G7)</f>
        <v>536603</v>
      </c>
      <c r="H8" s="8">
        <f t="shared" ref="H8" si="17">SUM(H6:H7)</f>
        <v>546812</v>
      </c>
      <c r="I8" s="8"/>
      <c r="J8" s="8">
        <f t="shared" ref="J8" si="18">SUM(J6:J7)</f>
        <v>580376.36</v>
      </c>
      <c r="K8" s="8">
        <f t="shared" ref="K8" si="19">SUM(K6:K7)</f>
        <v>611558.55080000008</v>
      </c>
      <c r="L8" s="8">
        <f t="shared" ref="L8" si="20">SUM(L6:L7)</f>
        <v>639636.74332400004</v>
      </c>
      <c r="M8" s="8">
        <f t="shared" ref="M8" si="21">SUM(M6:M7)</f>
        <v>669043.85342372011</v>
      </c>
      <c r="N8" s="8">
        <f t="shared" ref="N8" si="22">SUM(N6:N7)</f>
        <v>694479.62312143168</v>
      </c>
    </row>
    <row r="9" spans="1:14" s="3" customFormat="1" x14ac:dyDescent="0.25">
      <c r="A9" s="3" t="s">
        <v>14</v>
      </c>
      <c r="B9" s="8">
        <f>+B5-B8</f>
        <v>24105</v>
      </c>
      <c r="C9" s="8">
        <f t="shared" ref="C9:H9" si="23">+C5-C8</f>
        <v>22764</v>
      </c>
      <c r="D9" s="8">
        <f t="shared" si="23"/>
        <v>20437</v>
      </c>
      <c r="E9" s="8">
        <f t="shared" si="23"/>
        <v>21957</v>
      </c>
      <c r="F9" s="8">
        <f t="shared" si="23"/>
        <v>20568</v>
      </c>
      <c r="G9" s="8">
        <f t="shared" si="23"/>
        <v>22548</v>
      </c>
      <c r="H9" s="8">
        <f t="shared" si="23"/>
        <v>25942</v>
      </c>
      <c r="I9" s="8"/>
      <c r="J9" s="8">
        <f t="shared" ref="J9" si="24">+J5-J8</f>
        <v>26692.959999999963</v>
      </c>
      <c r="K9" s="8">
        <f t="shared" ref="K9" si="25">+K5-K8</f>
        <v>25811.819199999911</v>
      </c>
      <c r="L9" s="8">
        <f t="shared" ref="L9" si="26">+L5-L8</f>
        <v>29547.63253599999</v>
      </c>
      <c r="M9" s="8">
        <f t="shared" ref="M9" si="27">+M5-M8</f>
        <v>33543.048083679983</v>
      </c>
      <c r="N9" s="8">
        <f t="shared" ref="N9" si="28">+N5-N8</f>
        <v>36210.754446264473</v>
      </c>
    </row>
    <row r="10" spans="1:14" x14ac:dyDescent="0.25">
      <c r="A10" s="3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t="s">
        <v>5</v>
      </c>
      <c r="B11" s="7">
        <v>2027</v>
      </c>
      <c r="C11" s="7">
        <v>2044</v>
      </c>
      <c r="D11" s="7">
        <v>1978</v>
      </c>
      <c r="E11" s="7">
        <v>1975</v>
      </c>
      <c r="F11" s="7">
        <v>2262</v>
      </c>
      <c r="G11" s="7">
        <v>1976</v>
      </c>
      <c r="H11" s="7">
        <v>1674</v>
      </c>
      <c r="I11" s="7"/>
      <c r="J11" s="7">
        <f>H11*1.025</f>
        <v>1715.85</v>
      </c>
      <c r="K11" s="7">
        <f>J11*1.025</f>
        <v>1758.7462499999997</v>
      </c>
      <c r="L11" s="7">
        <f t="shared" ref="L11:N11" si="29">K11*1.025</f>
        <v>1802.7149062499996</v>
      </c>
      <c r="M11" s="7">
        <f t="shared" si="29"/>
        <v>1847.7827789062494</v>
      </c>
      <c r="N11" s="7">
        <f t="shared" si="29"/>
        <v>1893.9773483789054</v>
      </c>
    </row>
    <row r="12" spans="1:14" x14ac:dyDescent="0.25">
      <c r="A12" t="s">
        <v>15</v>
      </c>
      <c r="B12" s="7">
        <v>521</v>
      </c>
      <c r="C12" s="7">
        <v>323</v>
      </c>
      <c r="D12" s="7">
        <v>352</v>
      </c>
      <c r="E12" s="7">
        <v>371</v>
      </c>
      <c r="F12" s="7">
        <v>337</v>
      </c>
      <c r="G12" s="7">
        <v>339</v>
      </c>
      <c r="H12" s="7">
        <v>320</v>
      </c>
      <c r="I12" s="7"/>
      <c r="J12" s="7">
        <f>H12*1.015</f>
        <v>324.79999999999995</v>
      </c>
      <c r="K12" s="7">
        <f>J12*1.015</f>
        <v>329.67199999999991</v>
      </c>
      <c r="L12" s="7">
        <f>K12*1.015</f>
        <v>334.61707999999987</v>
      </c>
      <c r="M12" s="7">
        <f>L12*1.015</f>
        <v>339.63633619999985</v>
      </c>
      <c r="N12" s="7">
        <f>M12*1.015</f>
        <v>344.73088124299983</v>
      </c>
    </row>
    <row r="13" spans="1:14" x14ac:dyDescent="0.25">
      <c r="A13" t="s">
        <v>17</v>
      </c>
      <c r="B13" s="7">
        <v>-81</v>
      </c>
      <c r="C13" s="7">
        <v>-100</v>
      </c>
      <c r="D13" s="7">
        <v>-152</v>
      </c>
      <c r="E13" s="7">
        <v>-217</v>
      </c>
      <c r="F13" s="7">
        <v>-189</v>
      </c>
      <c r="G13" s="7">
        <v>-121</v>
      </c>
      <c r="H13" s="7">
        <v>-158</v>
      </c>
      <c r="I13" s="7"/>
      <c r="J13" s="7">
        <f>H13*1.01</f>
        <v>-159.58000000000001</v>
      </c>
      <c r="K13" s="7">
        <f>J13-(J13*0.02)</f>
        <v>-156.38840000000002</v>
      </c>
      <c r="L13" s="7">
        <f>K13-(K13*0.04)</f>
        <v>-150.13286400000001</v>
      </c>
      <c r="M13" s="7">
        <f t="shared" ref="M13:N13" si="30">L13-(L13*0.04)</f>
        <v>-144.12754944000002</v>
      </c>
      <c r="N13" s="7">
        <f t="shared" si="30"/>
        <v>-138.36244746240001</v>
      </c>
    </row>
    <row r="14" spans="1:14" s="3" customFormat="1" x14ac:dyDescent="0.25">
      <c r="A14" s="3" t="s">
        <v>18</v>
      </c>
      <c r="B14" s="8">
        <f>SUM(B11:B13)</f>
        <v>2467</v>
      </c>
      <c r="C14" s="8">
        <f t="shared" ref="C14:H14" si="31">SUM(C11:C13)</f>
        <v>2267</v>
      </c>
      <c r="D14" s="8">
        <f t="shared" si="31"/>
        <v>2178</v>
      </c>
      <c r="E14" s="8">
        <f t="shared" si="31"/>
        <v>2129</v>
      </c>
      <c r="F14" s="8">
        <f t="shared" si="31"/>
        <v>2410</v>
      </c>
      <c r="G14" s="8">
        <f t="shared" si="31"/>
        <v>2194</v>
      </c>
      <c r="H14" s="8">
        <f t="shared" si="31"/>
        <v>1836</v>
      </c>
      <c r="I14" s="8"/>
      <c r="J14" s="8">
        <f t="shared" ref="J14" si="32">SUM(J11:J13)</f>
        <v>1881.07</v>
      </c>
      <c r="K14" s="8">
        <f t="shared" ref="K14" si="33">SUM(K11:K13)</f>
        <v>1932.0298499999997</v>
      </c>
      <c r="L14" s="8">
        <f t="shared" ref="L14" si="34">SUM(L11:L13)</f>
        <v>1987.1991222499994</v>
      </c>
      <c r="M14" s="8">
        <f t="shared" ref="M14" si="35">SUM(M11:M13)</f>
        <v>2043.2915656662492</v>
      </c>
      <c r="N14" s="8">
        <f t="shared" ref="N14" si="36">SUM(N11:N13)</f>
        <v>2100.3457821595052</v>
      </c>
    </row>
    <row r="15" spans="1:14" x14ac:dyDescent="0.25">
      <c r="A15" t="s">
        <v>19</v>
      </c>
      <c r="B15" s="7">
        <v>0</v>
      </c>
      <c r="C15" s="7">
        <v>0</v>
      </c>
      <c r="D15" s="7">
        <v>3136</v>
      </c>
      <c r="E15" s="7">
        <v>8368</v>
      </c>
      <c r="F15" s="7">
        <v>-1958</v>
      </c>
      <c r="G15" s="7">
        <v>-210</v>
      </c>
      <c r="H15" s="7">
        <v>2410</v>
      </c>
      <c r="I15" s="7"/>
      <c r="J15" s="7">
        <f>H15*1.015</f>
        <v>2446.1499999999996</v>
      </c>
      <c r="K15" s="7">
        <f>J15*1.02</f>
        <v>2495.0729999999999</v>
      </c>
      <c r="L15" s="7">
        <f>K15-(K15*0.5)</f>
        <v>1247.5364999999999</v>
      </c>
      <c r="M15" s="7">
        <f>L15*1.04</f>
        <v>1297.43796</v>
      </c>
      <c r="N15" s="7">
        <f>M15*1.03</f>
        <v>1336.3610988</v>
      </c>
    </row>
    <row r="16" spans="1:14" x14ac:dyDescent="0.25">
      <c r="A16" t="s">
        <v>30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3000</v>
      </c>
      <c r="I16" s="7"/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spans="1:14" s="3" customFormat="1" x14ac:dyDescent="0.25">
      <c r="A17" s="3" t="s">
        <v>20</v>
      </c>
      <c r="B17" s="8">
        <f>+B9-SUM(B14:B15)</f>
        <v>21638</v>
      </c>
      <c r="C17" s="8">
        <f t="shared" ref="C17:H17" si="37">+C9-SUM(C14:C15)</f>
        <v>20497</v>
      </c>
      <c r="D17" s="8">
        <f t="shared" si="37"/>
        <v>15123</v>
      </c>
      <c r="E17" s="8">
        <f t="shared" si="37"/>
        <v>11460</v>
      </c>
      <c r="F17" s="8">
        <f t="shared" si="37"/>
        <v>20116</v>
      </c>
      <c r="G17" s="8">
        <f t="shared" si="37"/>
        <v>20564</v>
      </c>
      <c r="H17" s="8">
        <f>+H9-SUM(H14:H16)</f>
        <v>18696</v>
      </c>
      <c r="I17" s="8"/>
      <c r="J17" s="8">
        <f t="shared" ref="J17:N17" si="38">+J9-SUM(J14:J16)</f>
        <v>22365.739999999962</v>
      </c>
      <c r="K17" s="8">
        <f t="shared" si="38"/>
        <v>21384.716349999911</v>
      </c>
      <c r="L17" s="8">
        <f t="shared" si="38"/>
        <v>26312.896913749992</v>
      </c>
      <c r="M17" s="8">
        <f t="shared" si="38"/>
        <v>30202.318558013736</v>
      </c>
      <c r="N17" s="8">
        <f t="shared" si="38"/>
        <v>32774.047565304965</v>
      </c>
    </row>
    <row r="18" spans="1:14" x14ac:dyDescent="0.25">
      <c r="A18" t="s">
        <v>21</v>
      </c>
      <c r="B18" s="7">
        <v>6558</v>
      </c>
      <c r="C18" s="7">
        <v>6204</v>
      </c>
      <c r="D18" s="7">
        <v>4600</v>
      </c>
      <c r="E18" s="7">
        <v>4281</v>
      </c>
      <c r="F18" s="7">
        <v>4915</v>
      </c>
      <c r="G18" s="7">
        <v>6858</v>
      </c>
      <c r="H18" s="7">
        <v>4756</v>
      </c>
      <c r="I18" s="7"/>
      <c r="J18" s="7">
        <f>H18*1.01</f>
        <v>4803.5600000000004</v>
      </c>
      <c r="K18" s="7">
        <f>J18*1.02</f>
        <v>4899.6312000000007</v>
      </c>
      <c r="L18" s="7">
        <f t="shared" ref="L18:N18" si="39">K18*1.02</f>
        <v>4997.6238240000012</v>
      </c>
      <c r="M18" s="7">
        <f t="shared" si="39"/>
        <v>5097.576300480001</v>
      </c>
      <c r="N18" s="7">
        <f t="shared" si="39"/>
        <v>5199.5278264896015</v>
      </c>
    </row>
    <row r="19" spans="1:14" s="3" customFormat="1" x14ac:dyDescent="0.25">
      <c r="A19" s="3" t="s">
        <v>22</v>
      </c>
      <c r="B19" s="8">
        <f>+B17-B18</f>
        <v>15080</v>
      </c>
      <c r="C19" s="8">
        <f t="shared" ref="C19:H19" si="40">+C17-C18</f>
        <v>14293</v>
      </c>
      <c r="D19" s="8">
        <f t="shared" si="40"/>
        <v>10523</v>
      </c>
      <c r="E19" s="8">
        <f t="shared" si="40"/>
        <v>7179</v>
      </c>
      <c r="F19" s="8">
        <f t="shared" si="40"/>
        <v>15201</v>
      </c>
      <c r="G19" s="8">
        <f t="shared" si="40"/>
        <v>13706</v>
      </c>
      <c r="H19" s="8">
        <f t="shared" si="40"/>
        <v>13940</v>
      </c>
      <c r="I19" s="8"/>
      <c r="J19" s="8">
        <f t="shared" ref="J19" si="41">+J17-J18</f>
        <v>17562.17999999996</v>
      </c>
      <c r="K19" s="8">
        <f t="shared" ref="K19" si="42">+K17-K18</f>
        <v>16485.085149999912</v>
      </c>
      <c r="L19" s="8">
        <f t="shared" ref="L19" si="43">+L17-L18</f>
        <v>21315.27308974999</v>
      </c>
      <c r="M19" s="8">
        <f t="shared" ref="M19" si="44">+M17-M18</f>
        <v>25104.742257533733</v>
      </c>
      <c r="N19" s="8">
        <f t="shared" ref="N19" si="45">+N17-N18</f>
        <v>27574.519738815365</v>
      </c>
    </row>
    <row r="20" spans="1:14" x14ac:dyDescent="0.25">
      <c r="A20" t="s">
        <v>23</v>
      </c>
      <c r="B20" s="7">
        <v>-386</v>
      </c>
      <c r="C20" s="7">
        <v>-650</v>
      </c>
      <c r="D20" s="7">
        <v>-661</v>
      </c>
      <c r="E20" s="7">
        <v>-509</v>
      </c>
      <c r="F20" s="7">
        <v>-320</v>
      </c>
      <c r="G20" s="7">
        <v>-196</v>
      </c>
      <c r="H20" s="7">
        <v>-267</v>
      </c>
      <c r="I20" s="7"/>
      <c r="J20" s="7">
        <f>H20</f>
        <v>-267</v>
      </c>
      <c r="K20" s="7">
        <f>J20</f>
        <v>-267</v>
      </c>
      <c r="L20" s="7">
        <f t="shared" ref="L20:N20" si="46">K20</f>
        <v>-267</v>
      </c>
      <c r="M20" s="7">
        <f t="shared" si="46"/>
        <v>-267</v>
      </c>
      <c r="N20" s="7">
        <f t="shared" si="46"/>
        <v>-267</v>
      </c>
    </row>
    <row r="21" spans="1:14" s="3" customFormat="1" x14ac:dyDescent="0.25">
      <c r="A21" s="3" t="s">
        <v>24</v>
      </c>
      <c r="B21" s="8">
        <f>SUM(B19:B20)</f>
        <v>14694</v>
      </c>
      <c r="C21" s="8">
        <f t="shared" ref="C21:H21" si="47">SUM(C19:C20)</f>
        <v>13643</v>
      </c>
      <c r="D21" s="8">
        <f t="shared" si="47"/>
        <v>9862</v>
      </c>
      <c r="E21" s="8">
        <f t="shared" si="47"/>
        <v>6670</v>
      </c>
      <c r="F21" s="8">
        <f t="shared" si="47"/>
        <v>14881</v>
      </c>
      <c r="G21" s="8">
        <f t="shared" si="47"/>
        <v>13510</v>
      </c>
      <c r="H21" s="8">
        <f t="shared" si="47"/>
        <v>13673</v>
      </c>
      <c r="I21" s="8"/>
      <c r="J21" s="8">
        <f t="shared" ref="J21" si="48">SUM(J19:J20)</f>
        <v>17295.17999999996</v>
      </c>
      <c r="K21" s="8">
        <f t="shared" ref="K21" si="49">SUM(K19:K20)</f>
        <v>16218.085149999912</v>
      </c>
      <c r="L21" s="8">
        <f t="shared" ref="L21" si="50">SUM(L19:L20)</f>
        <v>21048.27308974999</v>
      </c>
      <c r="M21" s="8">
        <f t="shared" ref="M21" si="51">SUM(M19:M20)</f>
        <v>24837.742257533733</v>
      </c>
      <c r="N21" s="8">
        <f t="shared" ref="N21" si="52">SUM(N19:N20)</f>
        <v>27307.519738815365</v>
      </c>
    </row>
    <row r="24" spans="1:14" x14ac:dyDescent="0.25">
      <c r="A24" s="3" t="s">
        <v>25</v>
      </c>
    </row>
    <row r="25" spans="1:14" x14ac:dyDescent="0.25">
      <c r="A25" t="s">
        <v>26</v>
      </c>
      <c r="B25" s="5">
        <f>B19/B29</f>
        <v>4.7022139070782663</v>
      </c>
      <c r="C25" s="5">
        <f t="shared" ref="C25:H25" si="53">C19/C29</f>
        <v>4.6091583360206387</v>
      </c>
      <c r="D25" s="5">
        <f t="shared" si="53"/>
        <v>3.5135225375626042</v>
      </c>
      <c r="E25" s="5">
        <f t="shared" si="53"/>
        <v>2.4510071696824856</v>
      </c>
      <c r="F25" s="5">
        <f t="shared" si="53"/>
        <v>5.3336842105263154</v>
      </c>
      <c r="G25" s="5">
        <f t="shared" si="53"/>
        <v>4.8413987990109506</v>
      </c>
      <c r="H25" s="5">
        <f t="shared" si="53"/>
        <v>4.9928366762177649</v>
      </c>
      <c r="J25" s="5">
        <f t="shared" ref="J25:N25" si="54">J19/J29</f>
        <v>6.2901790830945412</v>
      </c>
      <c r="K25" s="5">
        <f t="shared" si="54"/>
        <v>5.9044001253581344</v>
      </c>
      <c r="L25" s="5">
        <f t="shared" si="54"/>
        <v>7.6344101324319444</v>
      </c>
      <c r="M25" s="5">
        <f t="shared" si="54"/>
        <v>8.9916698630135148</v>
      </c>
      <c r="N25" s="5">
        <f t="shared" si="54"/>
        <v>9.8762606514381677</v>
      </c>
    </row>
    <row r="26" spans="1:14" x14ac:dyDescent="0.25">
      <c r="A26" t="s">
        <v>27</v>
      </c>
      <c r="B26" s="5">
        <f>B19/B30</f>
        <v>4.6875971401927261</v>
      </c>
      <c r="C26" s="5">
        <f t="shared" ref="C26:H26" si="55">C19/C30</f>
        <v>4.5928663239074554</v>
      </c>
      <c r="D26" s="5">
        <f t="shared" si="55"/>
        <v>3.496013289036545</v>
      </c>
      <c r="E26" s="5">
        <f t="shared" si="55"/>
        <v>2.4376910016977931</v>
      </c>
      <c r="F26" s="5">
        <f t="shared" si="55"/>
        <v>5.3002092050209209</v>
      </c>
      <c r="G26" s="5">
        <f t="shared" si="55"/>
        <v>4.8141903758342117</v>
      </c>
      <c r="H26" s="5">
        <f t="shared" si="55"/>
        <v>4.9696969696969697</v>
      </c>
      <c r="J26" s="5">
        <f t="shared" ref="J26:N26" si="56">J19/J30</f>
        <v>6.2610267379679003</v>
      </c>
      <c r="K26" s="5">
        <f t="shared" si="56"/>
        <v>5.8770357040997903</v>
      </c>
      <c r="L26" s="5">
        <f t="shared" si="56"/>
        <v>7.5990278394830622</v>
      </c>
      <c r="M26" s="5">
        <f t="shared" si="56"/>
        <v>8.949997239762471</v>
      </c>
      <c r="N26" s="5">
        <f t="shared" si="56"/>
        <v>9.8304883204332842</v>
      </c>
    </row>
    <row r="28" spans="1:14" x14ac:dyDescent="0.25">
      <c r="A28" s="3" t="s">
        <v>28</v>
      </c>
    </row>
    <row r="29" spans="1:14" x14ac:dyDescent="0.25">
      <c r="A29" t="s">
        <v>26</v>
      </c>
      <c r="B29">
        <v>3207</v>
      </c>
      <c r="C29">
        <v>3101</v>
      </c>
      <c r="D29">
        <v>2995</v>
      </c>
      <c r="E29">
        <v>2929</v>
      </c>
      <c r="F29">
        <v>2850</v>
      </c>
      <c r="G29">
        <v>2831</v>
      </c>
      <c r="H29">
        <v>2792</v>
      </c>
      <c r="J29">
        <f>H29</f>
        <v>2792</v>
      </c>
      <c r="K29">
        <f>J29</f>
        <v>2792</v>
      </c>
      <c r="L29">
        <f t="shared" ref="L29:N29" si="57">K29</f>
        <v>2792</v>
      </c>
      <c r="M29">
        <f t="shared" si="57"/>
        <v>2792</v>
      </c>
      <c r="N29">
        <f t="shared" si="57"/>
        <v>2792</v>
      </c>
    </row>
    <row r="30" spans="1:14" x14ac:dyDescent="0.25">
      <c r="A30" t="s">
        <v>27</v>
      </c>
      <c r="B30">
        <v>3217</v>
      </c>
      <c r="C30">
        <v>3112</v>
      </c>
      <c r="D30">
        <v>3010</v>
      </c>
      <c r="E30">
        <v>2945</v>
      </c>
      <c r="F30">
        <v>2868</v>
      </c>
      <c r="G30">
        <v>2847</v>
      </c>
      <c r="H30">
        <v>2805</v>
      </c>
      <c r="J30">
        <f>H30</f>
        <v>2805</v>
      </c>
      <c r="K30">
        <f>J30</f>
        <v>2805</v>
      </c>
      <c r="L30">
        <f t="shared" ref="L30:N30" si="58">K30</f>
        <v>2805</v>
      </c>
      <c r="M30">
        <f t="shared" si="58"/>
        <v>2805</v>
      </c>
      <c r="N30">
        <f t="shared" si="58"/>
        <v>2805</v>
      </c>
    </row>
    <row r="33" spans="1:14" x14ac:dyDescent="0.25">
      <c r="A33" t="s">
        <v>32</v>
      </c>
      <c r="B33" s="6"/>
      <c r="C33" s="6">
        <f>C5/B5-1</f>
        <v>7.7634662850267766E-3</v>
      </c>
      <c r="D33" s="6">
        <f>D5/C5-1</f>
        <v>2.9781444945489843E-2</v>
      </c>
      <c r="E33" s="6">
        <f t="shared" ref="D33:N33" si="59">E5/D5-1</f>
        <v>2.8104720161968855E-2</v>
      </c>
      <c r="F33" s="6">
        <f t="shared" si="59"/>
        <v>1.85826343056541E-2</v>
      </c>
      <c r="G33" s="6">
        <f t="shared" si="59"/>
        <v>6.7155377086975498E-2</v>
      </c>
      <c r="H33" s="6">
        <f t="shared" si="59"/>
        <v>2.4327954345069625E-2</v>
      </c>
      <c r="I33" s="6"/>
      <c r="J33" s="6"/>
      <c r="K33" s="6">
        <f t="shared" si="59"/>
        <v>4.9913657306879022E-2</v>
      </c>
      <c r="L33" s="6">
        <f t="shared" si="59"/>
        <v>4.9914472585225411E-2</v>
      </c>
      <c r="M33" s="6">
        <f t="shared" si="59"/>
        <v>4.9915280231211279E-2</v>
      </c>
      <c r="N33" s="6">
        <f t="shared" si="59"/>
        <v>4.0000000000000036E-2</v>
      </c>
    </row>
    <row r="34" spans="1:14" x14ac:dyDescent="0.25">
      <c r="A34" t="s">
        <v>33</v>
      </c>
      <c r="B34" s="6">
        <f>B17/B5</f>
        <v>4.4880011615124553E-2</v>
      </c>
      <c r="C34" s="6">
        <f t="shared" ref="C34:N34" si="60">C17/C5</f>
        <v>4.218592101228099E-2</v>
      </c>
      <c r="D34" s="6">
        <f t="shared" si="60"/>
        <v>3.0225265467889027E-2</v>
      </c>
      <c r="E34" s="6">
        <f t="shared" si="60"/>
        <v>2.2278166036488758E-2</v>
      </c>
      <c r="F34" s="6">
        <f t="shared" si="60"/>
        <v>3.8391950592025409E-2</v>
      </c>
      <c r="G34" s="6">
        <f t="shared" si="60"/>
        <v>3.6777185411454152E-2</v>
      </c>
      <c r="H34" s="6">
        <f t="shared" si="60"/>
        <v>3.2642286217119391E-2</v>
      </c>
      <c r="I34" s="6"/>
      <c r="J34" s="6">
        <f t="shared" si="60"/>
        <v>3.6842151733182567E-2</v>
      </c>
      <c r="K34" s="6">
        <f t="shared" si="60"/>
        <v>3.3551475494538463E-2</v>
      </c>
      <c r="L34" s="6">
        <f t="shared" si="60"/>
        <v>3.932084768108051E-2</v>
      </c>
      <c r="M34" s="6">
        <f t="shared" si="60"/>
        <v>4.2987306613907358E-2</v>
      </c>
      <c r="N34" s="6">
        <f t="shared" si="60"/>
        <v>4.4853536561412499E-2</v>
      </c>
    </row>
    <row r="35" spans="1:14" x14ac:dyDescent="0.25">
      <c r="A35" t="s">
        <v>34</v>
      </c>
      <c r="B35" s="6">
        <f>B9/B5</f>
        <v>4.9996888805923713E-2</v>
      </c>
      <c r="C35" s="6">
        <f t="shared" ref="C35:N35" si="61">C9/C5</f>
        <v>4.6851749325441013E-2</v>
      </c>
      <c r="D35" s="6">
        <f t="shared" si="61"/>
        <v>4.084597965795464E-2</v>
      </c>
      <c r="E35" s="6">
        <f t="shared" si="61"/>
        <v>4.268426628823592E-2</v>
      </c>
      <c r="F35" s="6">
        <f t="shared" si="61"/>
        <v>3.9254605278225219E-2</v>
      </c>
      <c r="G35" s="6">
        <f t="shared" si="61"/>
        <v>4.032542193432543E-2</v>
      </c>
      <c r="H35" s="6">
        <f t="shared" si="61"/>
        <v>4.5293441861602016E-2</v>
      </c>
      <c r="I35" s="6"/>
      <c r="J35" s="6">
        <f t="shared" si="61"/>
        <v>4.3970200964858451E-2</v>
      </c>
      <c r="K35" s="6">
        <f t="shared" si="61"/>
        <v>4.049736293828643E-2</v>
      </c>
      <c r="L35" s="6">
        <f t="shared" si="61"/>
        <v>4.4154695778763436E-2</v>
      </c>
      <c r="M35" s="6">
        <f t="shared" si="61"/>
        <v>4.7742205286937997E-2</v>
      </c>
      <c r="N35" s="6">
        <f t="shared" si="61"/>
        <v>4.9556906123222708E-2</v>
      </c>
    </row>
    <row r="37" spans="1:14" ht="15.75" thickBot="1" x14ac:dyDescent="0.3"/>
    <row r="38" spans="1:14" x14ac:dyDescent="0.25">
      <c r="J38" s="9" t="s">
        <v>35</v>
      </c>
      <c r="K38" s="13"/>
      <c r="L38" s="13"/>
      <c r="M38" s="14">
        <f>N19*(1+0.025)/(0.08-0.025)</f>
        <v>513888.77695064992</v>
      </c>
      <c r="N38" t="str">
        <f ca="1">_xlfn.FORMULATEXT(M38)</f>
        <v>=N19*(1+0.025)/(0.08-0.025)</v>
      </c>
    </row>
    <row r="39" spans="1:14" x14ac:dyDescent="0.25">
      <c r="J39" s="10"/>
      <c r="K39" s="15"/>
      <c r="L39" s="15"/>
      <c r="M39" s="16">
        <f>SUM(M38,J19:N19)</f>
        <v>621930.57718674885</v>
      </c>
      <c r="N39" t="str">
        <f t="shared" ref="N39:N46" ca="1" si="62">_xlfn.FORMULATEXT(M39)</f>
        <v>=SUM(M38,J19:N19)</v>
      </c>
    </row>
    <row r="40" spans="1:14" x14ac:dyDescent="0.25">
      <c r="J40" s="10" t="s">
        <v>36</v>
      </c>
      <c r="K40" s="15"/>
      <c r="L40" s="15"/>
      <c r="M40" s="17">
        <f>NPV(0.08,J19:N19,M39)</f>
        <v>476456.58181717485</v>
      </c>
      <c r="N40" t="str">
        <f t="shared" ca="1" si="62"/>
        <v>=NPV(0.08,J19:N19,M39)</v>
      </c>
    </row>
    <row r="41" spans="1:14" x14ac:dyDescent="0.25">
      <c r="J41" s="11" t="s">
        <v>37</v>
      </c>
      <c r="K41" s="15"/>
      <c r="L41" s="15"/>
      <c r="M41" s="18">
        <f>Main!C6</f>
        <v>23040</v>
      </c>
      <c r="N41" t="str">
        <f t="shared" ca="1" si="62"/>
        <v>=Main!C6</v>
      </c>
    </row>
    <row r="42" spans="1:14" x14ac:dyDescent="0.25">
      <c r="J42" s="11" t="s">
        <v>38</v>
      </c>
      <c r="K42" s="15"/>
      <c r="L42" s="15"/>
      <c r="M42" s="18">
        <f>Main!C7</f>
        <v>37694</v>
      </c>
      <c r="N42" t="str">
        <f t="shared" ca="1" si="62"/>
        <v>=Main!C7</v>
      </c>
    </row>
    <row r="43" spans="1:14" x14ac:dyDescent="0.25">
      <c r="J43" s="11" t="s">
        <v>39</v>
      </c>
      <c r="K43" s="15"/>
      <c r="L43" s="15"/>
      <c r="M43" s="17">
        <f>M40+M41-M42</f>
        <v>461802.58181717485</v>
      </c>
      <c r="N43" t="str">
        <f t="shared" ca="1" si="62"/>
        <v>=M40+M41-M42</v>
      </c>
    </row>
    <row r="44" spans="1:14" x14ac:dyDescent="0.25">
      <c r="J44" s="11" t="s">
        <v>40</v>
      </c>
      <c r="K44" s="15"/>
      <c r="L44" s="15"/>
      <c r="M44" s="18">
        <f>Main!C4</f>
        <v>2792</v>
      </c>
      <c r="N44" t="str">
        <f t="shared" ca="1" si="62"/>
        <v>=Main!C4</v>
      </c>
    </row>
    <row r="45" spans="1:14" x14ac:dyDescent="0.25">
      <c r="J45" s="11" t="s">
        <v>41</v>
      </c>
      <c r="K45" s="15"/>
      <c r="L45" s="15"/>
      <c r="M45" s="17">
        <f>M43/M44</f>
        <v>165.40207085142364</v>
      </c>
      <c r="N45" t="str">
        <f t="shared" ca="1" si="62"/>
        <v>=M43/M44</v>
      </c>
    </row>
    <row r="46" spans="1:14" ht="15.75" thickBot="1" x14ac:dyDescent="0.3">
      <c r="J46" s="12" t="s">
        <v>42</v>
      </c>
      <c r="K46" s="19"/>
      <c r="L46" s="19"/>
      <c r="M46" s="20">
        <f>M45/Main!C3-1</f>
        <v>0.16071628667665716</v>
      </c>
      <c r="N46" t="str">
        <f t="shared" ca="1" si="62"/>
        <v>=M45/Main!C3-1</v>
      </c>
    </row>
  </sheetData>
  <hyperlinks>
    <hyperlink ref="A1" location="Main!A1" display="Main" xr:uid="{4E78560C-C8E4-4858-B827-3897FD691EAE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65D7-AE08-491D-853B-89DC3955ED9F}">
  <sheetPr>
    <tabColor theme="1" tint="4.9989318521683403E-2"/>
  </sheetPr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70E5-91DA-4483-B6A9-92802770B516}">
  <sheetPr>
    <tabColor theme="7" tint="0.59999389629810485"/>
  </sheetPr>
  <dimension ref="A1"/>
  <sheetViews>
    <sheetView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C661-1A8D-41D2-A1AE-653AC638BA84}">
  <sheetPr>
    <tabColor theme="7" tint="0.59999389629810485"/>
  </sheetPr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SUPPORTING DOCS -&gt;</vt:lpstr>
      <vt:lpstr>INCOME_STATEMENT_HISTORICAL</vt:lpstr>
      <vt:lpstr>BALANCE_SHEET_HISTORICAL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2022-11-14T01:33:32Z</dcterms:created>
  <dcterms:modified xsi:type="dcterms:W3CDTF">2022-11-14T02:43:35Z</dcterms:modified>
</cp:coreProperties>
</file>