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Downloads\"/>
    </mc:Choice>
  </mc:AlternateContent>
  <xr:revisionPtr revIDLastSave="0" documentId="8_{5F4CF01E-BB73-4347-BB24-C26A4DB27ACD}" xr6:coauthVersionLast="47" xr6:coauthVersionMax="47" xr10:uidLastSave="{00000000-0000-0000-0000-000000000000}"/>
  <bookViews>
    <workbookView xWindow="-28920" yWindow="-120" windowWidth="29040" windowHeight="157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2" i="2" l="1"/>
  <c r="Q88" i="2" s="1"/>
  <c r="Q71" i="2"/>
  <c r="Q63" i="2"/>
  <c r="P63" i="2"/>
  <c r="O63" i="2"/>
  <c r="N63" i="2"/>
  <c r="M63" i="2"/>
  <c r="L63" i="2"/>
  <c r="K63" i="2"/>
  <c r="J63" i="2"/>
  <c r="I63" i="2"/>
  <c r="H63" i="2"/>
  <c r="M88" i="2"/>
  <c r="Q15" i="2"/>
  <c r="Q38" i="2"/>
  <c r="Q56" i="2"/>
  <c r="Q61" i="2"/>
  <c r="Q55" i="2"/>
  <c r="Q49" i="2"/>
  <c r="Q47" i="2"/>
  <c r="Q39" i="2"/>
  <c r="V12" i="2"/>
  <c r="U12" i="2"/>
  <c r="T12" i="2"/>
  <c r="S12" i="2"/>
  <c r="Q92" i="2"/>
  <c r="G56" i="2"/>
  <c r="G55" i="2"/>
  <c r="G61" i="2" s="1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9" i="2"/>
  <c r="K33" i="2"/>
  <c r="K31" i="2"/>
  <c r="K30" i="2"/>
  <c r="AC33" i="2"/>
  <c r="AB33" i="2"/>
  <c r="AC30" i="2"/>
  <c r="AB30" i="2"/>
  <c r="AC11" i="2"/>
  <c r="AC12" i="2" s="1"/>
  <c r="AB11" i="2"/>
  <c r="AB12" i="2" s="1"/>
  <c r="AA11" i="2"/>
  <c r="AA12" i="2" s="1"/>
  <c r="AD10" i="2"/>
  <c r="AD30" i="2" s="1"/>
  <c r="AD9" i="2"/>
  <c r="AD31" i="2" s="1"/>
  <c r="AD8" i="2"/>
  <c r="AD7" i="2"/>
  <c r="AD6" i="2"/>
  <c r="AD33" i="2" s="1"/>
  <c r="AD5" i="2"/>
  <c r="AD4" i="2"/>
  <c r="G11" i="2"/>
  <c r="G12" i="2" s="1"/>
  <c r="G36" i="2" s="1"/>
  <c r="F11" i="2"/>
  <c r="F12" i="2" s="1"/>
  <c r="E11" i="2"/>
  <c r="E12" i="2" s="1"/>
  <c r="D11" i="2"/>
  <c r="D12" i="2" s="1"/>
  <c r="C11" i="2"/>
  <c r="C12" i="2" s="1"/>
  <c r="C15" i="2" s="1"/>
  <c r="AF4" i="2"/>
  <c r="AE4" i="2"/>
  <c r="AE10" i="2"/>
  <c r="AE7" i="2"/>
  <c r="AE6" i="2"/>
  <c r="AE5" i="2"/>
  <c r="AE8" i="2"/>
  <c r="AC31" i="2"/>
  <c r="AB31" i="2"/>
  <c r="AE9" i="2"/>
  <c r="AF21" i="2"/>
  <c r="R26" i="2"/>
  <c r="AF26" i="2" s="1"/>
  <c r="AG26" i="2" s="1"/>
  <c r="AH26" i="2" s="1"/>
  <c r="AI26" i="2" s="1"/>
  <c r="AJ26" i="2" s="1"/>
  <c r="AK26" i="2" s="1"/>
  <c r="AL26" i="2" s="1"/>
  <c r="AM26" i="2" s="1"/>
  <c r="AN26" i="2" s="1"/>
  <c r="R18" i="2"/>
  <c r="R17" i="2"/>
  <c r="R16" i="2"/>
  <c r="R10" i="2"/>
  <c r="R30" i="2" s="1"/>
  <c r="Q30" i="2"/>
  <c r="R9" i="2"/>
  <c r="R31" i="2" s="1"/>
  <c r="Q31" i="2"/>
  <c r="R8" i="2"/>
  <c r="R7" i="2"/>
  <c r="R6" i="2"/>
  <c r="R33" i="2" s="1"/>
  <c r="R5" i="2"/>
  <c r="P56" i="2"/>
  <c r="P55" i="2"/>
  <c r="P47" i="2"/>
  <c r="P39" i="2"/>
  <c r="P92" i="2"/>
  <c r="P11" i="2"/>
  <c r="P12" i="2" s="1"/>
  <c r="P31" i="2"/>
  <c r="O31" i="2"/>
  <c r="N31" i="2"/>
  <c r="M31" i="2"/>
  <c r="L31" i="2"/>
  <c r="O30" i="2"/>
  <c r="N30" i="2"/>
  <c r="M30" i="2"/>
  <c r="L30" i="2"/>
  <c r="P30" i="2"/>
  <c r="O11" i="2"/>
  <c r="O12" i="2" s="1"/>
  <c r="N11" i="2"/>
  <c r="P33" i="2"/>
  <c r="P19" i="2"/>
  <c r="L33" i="2"/>
  <c r="H11" i="2"/>
  <c r="H12" i="2" s="1"/>
  <c r="H15" i="2" s="1"/>
  <c r="H34" i="2" s="1"/>
  <c r="L11" i="2"/>
  <c r="L12" i="2" s="1"/>
  <c r="M33" i="2"/>
  <c r="I19" i="2"/>
  <c r="H19" i="2"/>
  <c r="G19" i="2"/>
  <c r="I11" i="2"/>
  <c r="I12" i="2" s="1"/>
  <c r="I36" i="2" s="1"/>
  <c r="M11" i="2"/>
  <c r="M12" i="2" s="1"/>
  <c r="AE19" i="2"/>
  <c r="AD19" i="2"/>
  <c r="AF3" i="2"/>
  <c r="AG3" i="2" s="1"/>
  <c r="AH3" i="2" s="1"/>
  <c r="AI3" i="2" s="1"/>
  <c r="AJ3" i="2" s="1"/>
  <c r="AK3" i="2" s="1"/>
  <c r="AL3" i="2" s="1"/>
  <c r="AM3" i="2" s="1"/>
  <c r="AN3" i="2" s="1"/>
  <c r="K36" i="2"/>
  <c r="J88" i="2"/>
  <c r="N88" i="2"/>
  <c r="N33" i="2"/>
  <c r="J19" i="2"/>
  <c r="K15" i="2"/>
  <c r="J11" i="2"/>
  <c r="J12" i="2" s="1"/>
  <c r="O33" i="2"/>
  <c r="O88" i="2"/>
  <c r="K88" i="2"/>
  <c r="O19" i="2"/>
  <c r="N19" i="2"/>
  <c r="M19" i="2"/>
  <c r="L19" i="2"/>
  <c r="K19" i="2"/>
  <c r="G49" i="2" l="1"/>
  <c r="G86" i="2"/>
  <c r="C86" i="2"/>
  <c r="AD11" i="2"/>
  <c r="AD12" i="2" s="1"/>
  <c r="AE33" i="2"/>
  <c r="AF7" i="2"/>
  <c r="AG7" i="2" s="1"/>
  <c r="AH7" i="2" s="1"/>
  <c r="R19" i="2"/>
  <c r="G15" i="2"/>
  <c r="G34" i="2" s="1"/>
  <c r="K28" i="2"/>
  <c r="AF8" i="2"/>
  <c r="AG8" i="2" s="1"/>
  <c r="AH8" i="2" s="1"/>
  <c r="AI8" i="2" s="1"/>
  <c r="AJ8" i="2" s="1"/>
  <c r="AK8" i="2" s="1"/>
  <c r="AL8" i="2" s="1"/>
  <c r="AM8" i="2" s="1"/>
  <c r="AN8" i="2" s="1"/>
  <c r="AE31" i="2"/>
  <c r="AE30" i="2"/>
  <c r="K32" i="2"/>
  <c r="AB28" i="2"/>
  <c r="AB32" i="2"/>
  <c r="AC32" i="2"/>
  <c r="AE11" i="2"/>
  <c r="AE12" i="2" s="1"/>
  <c r="C20" i="2"/>
  <c r="C22" i="2" s="1"/>
  <c r="C24" i="2" s="1"/>
  <c r="AC28" i="2"/>
  <c r="AF10" i="2"/>
  <c r="AF30" i="2" s="1"/>
  <c r="P49" i="2"/>
  <c r="R11" i="2"/>
  <c r="R12" i="2" s="1"/>
  <c r="AF18" i="2"/>
  <c r="AG18" i="2" s="1"/>
  <c r="AH18" i="2" s="1"/>
  <c r="AI18" i="2" s="1"/>
  <c r="AJ18" i="2" s="1"/>
  <c r="AK18" i="2" s="1"/>
  <c r="AL18" i="2" s="1"/>
  <c r="AM18" i="2" s="1"/>
  <c r="AN18" i="2" s="1"/>
  <c r="Q19" i="2"/>
  <c r="AF17" i="2"/>
  <c r="AG17" i="2" s="1"/>
  <c r="AH17" i="2" s="1"/>
  <c r="AI17" i="2" s="1"/>
  <c r="AJ17" i="2" s="1"/>
  <c r="AK17" i="2" s="1"/>
  <c r="AL17" i="2" s="1"/>
  <c r="AM17" i="2" s="1"/>
  <c r="AN17" i="2" s="1"/>
  <c r="AF5" i="2"/>
  <c r="AG5" i="2" s="1"/>
  <c r="AH5" i="2" s="1"/>
  <c r="AI5" i="2" s="1"/>
  <c r="AJ5" i="2" s="1"/>
  <c r="AK5" i="2" s="1"/>
  <c r="AL5" i="2" s="1"/>
  <c r="AM5" i="2" s="1"/>
  <c r="AN5" i="2" s="1"/>
  <c r="P38" i="2"/>
  <c r="AF6" i="2"/>
  <c r="AF16" i="2"/>
  <c r="Q11" i="2"/>
  <c r="Q32" i="2" s="1"/>
  <c r="Q33" i="2"/>
  <c r="AF9" i="2"/>
  <c r="P61" i="2"/>
  <c r="M28" i="2"/>
  <c r="O32" i="2"/>
  <c r="O28" i="2"/>
  <c r="O36" i="2"/>
  <c r="P36" i="2"/>
  <c r="P15" i="2"/>
  <c r="P20" i="2" s="1"/>
  <c r="P22" i="2" s="1"/>
  <c r="P28" i="2"/>
  <c r="L28" i="2"/>
  <c r="M32" i="2"/>
  <c r="N32" i="2"/>
  <c r="N12" i="2"/>
  <c r="N36" i="2" s="1"/>
  <c r="J15" i="2"/>
  <c r="J34" i="2" s="1"/>
  <c r="J36" i="2"/>
  <c r="P32" i="2"/>
  <c r="L32" i="2"/>
  <c r="H36" i="2"/>
  <c r="I15" i="2"/>
  <c r="I34" i="2" s="1"/>
  <c r="H20" i="2"/>
  <c r="H22" i="2" s="1"/>
  <c r="L36" i="2"/>
  <c r="L15" i="2"/>
  <c r="L34" i="2" s="1"/>
  <c r="M15" i="2"/>
  <c r="M34" i="2" s="1"/>
  <c r="M36" i="2"/>
  <c r="O15" i="2"/>
  <c r="L4" i="1"/>
  <c r="L7" i="1" s="1"/>
  <c r="C25" i="2" l="1"/>
  <c r="C63" i="2"/>
  <c r="AD36" i="2"/>
  <c r="AD15" i="2"/>
  <c r="AD28" i="2"/>
  <c r="AE28" i="2"/>
  <c r="AE32" i="2"/>
  <c r="AD32" i="2"/>
  <c r="Q12" i="2"/>
  <c r="Q28" i="2" s="1"/>
  <c r="G20" i="2"/>
  <c r="G22" i="2" s="1"/>
  <c r="AE15" i="2"/>
  <c r="AE34" i="2" s="1"/>
  <c r="AE36" i="2"/>
  <c r="G24" i="2"/>
  <c r="G35" i="2"/>
  <c r="AF31" i="2"/>
  <c r="AF11" i="2"/>
  <c r="AF32" i="2" s="1"/>
  <c r="AG6" i="2"/>
  <c r="AG33" i="2" s="1"/>
  <c r="AF33" i="2"/>
  <c r="AG9" i="2"/>
  <c r="AG31" i="2" s="1"/>
  <c r="R32" i="2"/>
  <c r="AF19" i="2"/>
  <c r="AG16" i="2"/>
  <c r="AH9" i="2"/>
  <c r="AI7" i="2"/>
  <c r="P24" i="2"/>
  <c r="P25" i="2" s="1"/>
  <c r="P35" i="2"/>
  <c r="R36" i="2"/>
  <c r="H24" i="2"/>
  <c r="H25" i="2" s="1"/>
  <c r="H35" i="2"/>
  <c r="AG10" i="2"/>
  <c r="AH10" i="2" s="1"/>
  <c r="N15" i="2"/>
  <c r="N34" i="2" s="1"/>
  <c r="R28" i="2"/>
  <c r="R15" i="2"/>
  <c r="R13" i="2" s="1"/>
  <c r="N28" i="2"/>
  <c r="M20" i="2"/>
  <c r="M22" i="2" s="1"/>
  <c r="I20" i="2"/>
  <c r="I22" i="2" s="1"/>
  <c r="P34" i="2"/>
  <c r="J20" i="2"/>
  <c r="J22" i="2" s="1"/>
  <c r="L20" i="2"/>
  <c r="L22" i="2" s="1"/>
  <c r="K34" i="2"/>
  <c r="K20" i="2"/>
  <c r="K22" i="2" s="1"/>
  <c r="O34" i="2"/>
  <c r="O20" i="2"/>
  <c r="O22" i="2" s="1"/>
  <c r="Q36" i="2" l="1"/>
  <c r="AF12" i="2"/>
  <c r="AF13" i="2"/>
  <c r="AF15" i="2" s="1"/>
  <c r="AE20" i="2"/>
  <c r="AE22" i="2" s="1"/>
  <c r="AE24" i="2" s="1"/>
  <c r="AE25" i="2" s="1"/>
  <c r="AE35" i="2"/>
  <c r="AH6" i="2"/>
  <c r="AD34" i="2"/>
  <c r="AD20" i="2"/>
  <c r="AD22" i="2" s="1"/>
  <c r="G25" i="2"/>
  <c r="G63" i="2"/>
  <c r="AH11" i="2"/>
  <c r="AH12" i="2" s="1"/>
  <c r="AJ7" i="2"/>
  <c r="AH33" i="2"/>
  <c r="AI6" i="2"/>
  <c r="AI9" i="2"/>
  <c r="AH31" i="2"/>
  <c r="AG19" i="2"/>
  <c r="AH16" i="2"/>
  <c r="AI10" i="2"/>
  <c r="AH30" i="2"/>
  <c r="M24" i="2"/>
  <c r="M25" i="2" s="1"/>
  <c r="M35" i="2"/>
  <c r="O24" i="2"/>
  <c r="O25" i="2" s="1"/>
  <c r="O35" i="2"/>
  <c r="AF28" i="2"/>
  <c r="K24" i="2"/>
  <c r="K25" i="2" s="1"/>
  <c r="K35" i="2"/>
  <c r="L24" i="2"/>
  <c r="L25" i="2" s="1"/>
  <c r="L35" i="2"/>
  <c r="J24" i="2"/>
  <c r="J25" i="2" s="1"/>
  <c r="J35" i="2"/>
  <c r="I24" i="2"/>
  <c r="I25" i="2" s="1"/>
  <c r="I35" i="2"/>
  <c r="AG30" i="2"/>
  <c r="AF36" i="2"/>
  <c r="AG11" i="2"/>
  <c r="N20" i="2"/>
  <c r="N22" i="2" s="1"/>
  <c r="Q34" i="2"/>
  <c r="Q20" i="2"/>
  <c r="Q22" i="2" s="1"/>
  <c r="R20" i="2"/>
  <c r="R22" i="2" s="1"/>
  <c r="R34" i="2"/>
  <c r="AH32" i="2" l="1"/>
  <c r="AD24" i="2"/>
  <c r="AD25" i="2" s="1"/>
  <c r="AD35" i="2"/>
  <c r="AI11" i="2"/>
  <c r="AI32" i="2" s="1"/>
  <c r="AH15" i="2"/>
  <c r="AH34" i="2" s="1"/>
  <c r="AH36" i="2"/>
  <c r="AJ10" i="2"/>
  <c r="AI30" i="2"/>
  <c r="AI16" i="2"/>
  <c r="AH19" i="2"/>
  <c r="AJ9" i="2"/>
  <c r="AI31" i="2"/>
  <c r="AJ6" i="2"/>
  <c r="AI33" i="2"/>
  <c r="AK7" i="2"/>
  <c r="R23" i="2"/>
  <c r="R35" i="2" s="1"/>
  <c r="AG12" i="2"/>
  <c r="AH28" i="2" s="1"/>
  <c r="AG32" i="2"/>
  <c r="N24" i="2"/>
  <c r="N25" i="2" s="1"/>
  <c r="N35" i="2"/>
  <c r="AF34" i="2"/>
  <c r="AF20" i="2"/>
  <c r="AF22" i="2" s="1"/>
  <c r="Q24" i="2"/>
  <c r="AI12" i="2" l="1"/>
  <c r="AI36" i="2" s="1"/>
  <c r="AJ11" i="2"/>
  <c r="AJ12" i="2" s="1"/>
  <c r="AJ36" i="2" s="1"/>
  <c r="AH20" i="2"/>
  <c r="AH13" i="2"/>
  <c r="AL7" i="2"/>
  <c r="AJ30" i="2"/>
  <c r="AK10" i="2"/>
  <c r="AK6" i="2"/>
  <c r="AJ33" i="2"/>
  <c r="AJ31" i="2"/>
  <c r="AK9" i="2"/>
  <c r="Q25" i="2"/>
  <c r="AJ16" i="2"/>
  <c r="AI19" i="2"/>
  <c r="AF23" i="2"/>
  <c r="AF35" i="2" s="1"/>
  <c r="Q35" i="2"/>
  <c r="AG28" i="2"/>
  <c r="AG15" i="2"/>
  <c r="AG13" i="2" s="1"/>
  <c r="AG36" i="2"/>
  <c r="R24" i="2"/>
  <c r="R25" i="2" s="1"/>
  <c r="AJ32" i="2" l="1"/>
  <c r="AI15" i="2"/>
  <c r="AI34" i="2" s="1"/>
  <c r="AI28" i="2"/>
  <c r="R38" i="2"/>
  <c r="AF38" i="2" s="1"/>
  <c r="AG21" i="2" s="1"/>
  <c r="AK16" i="2"/>
  <c r="AJ19" i="2"/>
  <c r="AF24" i="2"/>
  <c r="AF25" i="2" s="1"/>
  <c r="AK31" i="2"/>
  <c r="AL9" i="2"/>
  <c r="AL10" i="2"/>
  <c r="AK30" i="2"/>
  <c r="AK11" i="2"/>
  <c r="AL6" i="2"/>
  <c r="AK33" i="2"/>
  <c r="AM7" i="2"/>
  <c r="AL11" i="2"/>
  <c r="AJ15" i="2"/>
  <c r="AJ34" i="2" s="1"/>
  <c r="AJ28" i="2"/>
  <c r="AG20" i="2"/>
  <c r="AG34" i="2"/>
  <c r="AI20" i="2" l="1"/>
  <c r="AI13" i="2"/>
  <c r="AG22" i="2"/>
  <c r="AJ13" i="2"/>
  <c r="AM6" i="2"/>
  <c r="AL33" i="2"/>
  <c r="AL12" i="2"/>
  <c r="AL32" i="2"/>
  <c r="AN7" i="2"/>
  <c r="AK12" i="2"/>
  <c r="AK32" i="2"/>
  <c r="AM9" i="2"/>
  <c r="AL31" i="2"/>
  <c r="AL16" i="2"/>
  <c r="AK19" i="2"/>
  <c r="AL30" i="2"/>
  <c r="AM10" i="2"/>
  <c r="AJ20" i="2"/>
  <c r="AG23" i="2"/>
  <c r="AG35" i="2" s="1"/>
  <c r="AM30" i="2" l="1"/>
  <c r="AN10" i="2"/>
  <c r="AN30" i="2" s="1"/>
  <c r="AK15" i="2"/>
  <c r="AK34" i="2" s="1"/>
  <c r="AK28" i="2"/>
  <c r="AK36" i="2"/>
  <c r="AK20" i="2"/>
  <c r="AM16" i="2"/>
  <c r="AL19" i="2"/>
  <c r="AN9" i="2"/>
  <c r="AN31" i="2" s="1"/>
  <c r="AM31" i="2"/>
  <c r="AM11" i="2"/>
  <c r="AL15" i="2"/>
  <c r="AL34" i="2" s="1"/>
  <c r="AL28" i="2"/>
  <c r="AL36" i="2"/>
  <c r="AN6" i="2"/>
  <c r="AN33" i="2" s="1"/>
  <c r="AM33" i="2"/>
  <c r="AG24" i="2"/>
  <c r="AK13" i="2" l="1"/>
  <c r="AL13" i="2"/>
  <c r="AN11" i="2"/>
  <c r="AM12" i="2"/>
  <c r="AM32" i="2"/>
  <c r="AN16" i="2"/>
  <c r="AN19" i="2" s="1"/>
  <c r="AM19" i="2"/>
  <c r="AN12" i="2"/>
  <c r="AN32" i="2"/>
  <c r="AL20" i="2"/>
  <c r="AG25" i="2"/>
  <c r="AG38" i="2"/>
  <c r="AN15" i="2" l="1"/>
  <c r="AN34" i="2" s="1"/>
  <c r="AN36" i="2"/>
  <c r="AN28" i="2"/>
  <c r="AM15" i="2"/>
  <c r="AM34" i="2" s="1"/>
  <c r="AM36" i="2"/>
  <c r="AM28" i="2"/>
  <c r="AH21" i="2"/>
  <c r="AH22" i="2" s="1"/>
  <c r="AN20" i="2" l="1"/>
  <c r="AM20" i="2"/>
  <c r="AM13" i="2"/>
  <c r="AN13" i="2"/>
  <c r="AH23" i="2"/>
  <c r="AH35" i="2" s="1"/>
  <c r="AH24" i="2"/>
  <c r="AH25" i="2" l="1"/>
  <c r="AH38" i="2"/>
  <c r="AI21" i="2" l="1"/>
  <c r="AI22" i="2" s="1"/>
  <c r="AI23" i="2" l="1"/>
  <c r="AI35" i="2" s="1"/>
  <c r="AI24" i="2" l="1"/>
  <c r="AI25" i="2" s="1"/>
  <c r="AI38" i="2" l="1"/>
  <c r="AJ21" i="2" s="1"/>
  <c r="AJ22" i="2" s="1"/>
  <c r="AJ23" i="2" l="1"/>
  <c r="AJ35" i="2" s="1"/>
  <c r="AJ24" i="2" l="1"/>
  <c r="AJ38" i="2" s="1"/>
  <c r="AJ25" i="2" l="1"/>
  <c r="AK21" i="2"/>
  <c r="AK22" i="2" s="1"/>
  <c r="AK23" i="2" l="1"/>
  <c r="AK35" i="2" s="1"/>
  <c r="AK24" i="2" l="1"/>
  <c r="AK25" i="2" s="1"/>
  <c r="AK38" i="2" l="1"/>
  <c r="AL21" i="2" s="1"/>
  <c r="AL22" i="2" s="1"/>
  <c r="AL23" i="2" l="1"/>
  <c r="AL35" i="2" s="1"/>
  <c r="AL24" i="2" l="1"/>
  <c r="AL25" i="2" s="1"/>
  <c r="AL38" i="2" l="1"/>
  <c r="AM21" i="2" s="1"/>
  <c r="AM22" i="2" s="1"/>
  <c r="AM23" i="2" l="1"/>
  <c r="AM35" i="2" s="1"/>
  <c r="AM24" i="2" l="1"/>
  <c r="AM25" i="2" s="1"/>
  <c r="AM38" i="2" l="1"/>
  <c r="AN21" i="2" s="1"/>
  <c r="AN22" i="2" s="1"/>
  <c r="AN23" i="2" l="1"/>
  <c r="AN35" i="2" s="1"/>
  <c r="AN24" i="2" l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AQ31" i="2" s="1"/>
  <c r="AQ32" i="2" s="1"/>
  <c r="AN25" i="2"/>
  <c r="AN38" i="2"/>
</calcChain>
</file>

<file path=xl/sharedStrings.xml><?xml version="1.0" encoding="utf-8"?>
<sst xmlns="http://schemas.openxmlformats.org/spreadsheetml/2006/main" count="116" uniqueCount="100">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</sst>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3" fontId="0" fillId="0" borderId="0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0</xdr:rowOff>
    </xdr:from>
    <xdr:to>
      <xdr:col>17</xdr:col>
      <xdr:colOff>38100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0591800" y="0"/>
          <a:ext cx="0" cy="17726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0</xdr:row>
      <xdr:rowOff>9525</xdr:rowOff>
    </xdr:from>
    <xdr:to>
      <xdr:col>31</xdr:col>
      <xdr:colOff>47625</xdr:colOff>
      <xdr:row>109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2430125" y="9525"/>
          <a:ext cx="0" cy="1383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G5" sqref="G5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8"/>
    </row>
    <row r="2" spans="8:13" x14ac:dyDescent="0.2">
      <c r="K2" t="s">
        <v>0</v>
      </c>
      <c r="L2" s="1">
        <v>105.44</v>
      </c>
    </row>
    <row r="3" spans="8:13" x14ac:dyDescent="0.2">
      <c r="H3" s="7"/>
      <c r="I3" s="3"/>
      <c r="K3" t="s">
        <v>1</v>
      </c>
      <c r="L3" s="3">
        <v>13239</v>
      </c>
      <c r="M3" s="2" t="s">
        <v>17</v>
      </c>
    </row>
    <row r="4" spans="8:13" x14ac:dyDescent="0.2">
      <c r="H4" s="4"/>
      <c r="K4" t="s">
        <v>2</v>
      </c>
      <c r="L4" s="3">
        <f>L2*L3</f>
        <v>1395920.16</v>
      </c>
    </row>
    <row r="5" spans="8:13" x14ac:dyDescent="0.2">
      <c r="H5" s="6"/>
      <c r="K5" t="s">
        <v>3</v>
      </c>
      <c r="L5" s="3">
        <v>155662</v>
      </c>
      <c r="M5" s="2" t="s">
        <v>17</v>
      </c>
    </row>
    <row r="6" spans="8:13" x14ac:dyDescent="0.2">
      <c r="K6" t="s">
        <v>4</v>
      </c>
      <c r="L6" s="3">
        <v>14734</v>
      </c>
      <c r="M6" s="2" t="s">
        <v>17</v>
      </c>
    </row>
    <row r="7" spans="8:13" x14ac:dyDescent="0.2">
      <c r="K7" t="s">
        <v>5</v>
      </c>
      <c r="L7" s="3">
        <f>L4-L5+L6</f>
        <v>1254992.1599999999</v>
      </c>
    </row>
    <row r="8" spans="8:13" x14ac:dyDescent="0.2">
      <c r="K8" s="8"/>
    </row>
    <row r="9" spans="8:13" x14ac:dyDescent="0.2">
      <c r="K9" s="8" t="s">
        <v>25</v>
      </c>
      <c r="L9" s="14">
        <v>1998</v>
      </c>
    </row>
    <row r="10" spans="8:13" x14ac:dyDescent="0.2">
      <c r="L10" s="3"/>
    </row>
    <row r="11" spans="8:13" x14ac:dyDescent="0.2">
      <c r="K11" s="9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S92"/>
  <sheetViews>
    <sheetView tabSelected="1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Q32" sqref="AQ32"/>
    </sheetView>
  </sheetViews>
  <sheetFormatPr defaultRowHeight="12.75" x14ac:dyDescent="0.2"/>
  <cols>
    <col min="1" max="1" width="5" bestFit="1" customWidth="1"/>
    <col min="2" max="2" width="16.140625" customWidth="1"/>
    <col min="3" max="22" width="9.140625" style="2"/>
    <col min="43" max="43" width="9.140625" bestFit="1" customWidth="1"/>
  </cols>
  <sheetData>
    <row r="1" spans="1:40" x14ac:dyDescent="0.2">
      <c r="A1" s="13" t="s">
        <v>7</v>
      </c>
    </row>
    <row r="3" spans="1:40" x14ac:dyDescent="0.2">
      <c r="C3" s="2" t="s">
        <v>77</v>
      </c>
      <c r="D3" s="2" t="s">
        <v>78</v>
      </c>
      <c r="E3" s="2" t="s">
        <v>79</v>
      </c>
      <c r="F3" s="2" t="s">
        <v>80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6</v>
      </c>
      <c r="P3" s="2" t="s">
        <v>17</v>
      </c>
      <c r="Q3" s="2" t="s">
        <v>18</v>
      </c>
      <c r="R3" s="2" t="s">
        <v>19</v>
      </c>
      <c r="S3" s="2" t="s">
        <v>96</v>
      </c>
      <c r="T3" s="2" t="s">
        <v>97</v>
      </c>
      <c r="U3" s="2" t="s">
        <v>98</v>
      </c>
      <c r="V3" s="2" t="s">
        <v>99</v>
      </c>
      <c r="Y3">
        <v>2015</v>
      </c>
      <c r="Z3">
        <v>2016</v>
      </c>
      <c r="AA3">
        <v>2017</v>
      </c>
      <c r="AB3">
        <v>2018</v>
      </c>
      <c r="AC3">
        <v>2019</v>
      </c>
      <c r="AD3">
        <v>2020</v>
      </c>
      <c r="AE3">
        <v>2021</v>
      </c>
      <c r="AF3">
        <f>AE3+1</f>
        <v>2022</v>
      </c>
      <c r="AG3">
        <f t="shared" ref="AG3:AN3" si="0">AF3+1</f>
        <v>2023</v>
      </c>
      <c r="AH3">
        <f t="shared" si="0"/>
        <v>2024</v>
      </c>
      <c r="AI3">
        <f t="shared" si="0"/>
        <v>2025</v>
      </c>
      <c r="AJ3">
        <f t="shared" si="0"/>
        <v>2026</v>
      </c>
      <c r="AK3">
        <f t="shared" si="0"/>
        <v>2027</v>
      </c>
      <c r="AL3">
        <f t="shared" si="0"/>
        <v>2028</v>
      </c>
      <c r="AM3">
        <f t="shared" si="0"/>
        <v>2029</v>
      </c>
      <c r="AN3">
        <f t="shared" si="0"/>
        <v>2030</v>
      </c>
    </row>
    <row r="4" spans="1:40" s="3" customFormat="1" x14ac:dyDescent="0.2">
      <c r="B4" s="3" t="s">
        <v>41</v>
      </c>
      <c r="C4" s="12">
        <v>137</v>
      </c>
      <c r="D4" s="12"/>
      <c r="E4" s="12"/>
      <c r="F4" s="12"/>
      <c r="G4" s="12">
        <v>49</v>
      </c>
      <c r="H4" s="12">
        <v>151</v>
      </c>
      <c r="I4" s="12">
        <v>-22</v>
      </c>
      <c r="J4" s="12">
        <v>-2</v>
      </c>
      <c r="K4" s="12">
        <v>-109</v>
      </c>
      <c r="L4" s="12">
        <v>-7</v>
      </c>
      <c r="M4" s="12">
        <v>62</v>
      </c>
      <c r="N4" s="12">
        <v>203</v>
      </c>
      <c r="O4" s="12">
        <v>278</v>
      </c>
      <c r="P4" s="12">
        <v>375</v>
      </c>
      <c r="Q4" s="12">
        <v>638</v>
      </c>
      <c r="R4" s="12"/>
      <c r="S4" s="12"/>
      <c r="T4" s="12"/>
      <c r="U4" s="12"/>
      <c r="V4" s="12"/>
      <c r="AA4" s="3">
        <v>-169</v>
      </c>
      <c r="AB4" s="3">
        <v>-138</v>
      </c>
      <c r="AC4" s="3">
        <v>455</v>
      </c>
      <c r="AD4" s="3">
        <f t="shared" ref="AD4:AD10" si="1">SUM(G4:J4)</f>
        <v>176</v>
      </c>
      <c r="AE4" s="3">
        <f t="shared" ref="AE4:AE7" si="2">SUM(K4:N4)</f>
        <v>149</v>
      </c>
      <c r="AF4" s="3">
        <f t="shared" ref="AF4:AF10" si="3">SUM(O4:R4)</f>
        <v>1291</v>
      </c>
    </row>
    <row r="5" spans="1:40" s="3" customFormat="1" x14ac:dyDescent="0.2">
      <c r="B5" s="3" t="s">
        <v>40</v>
      </c>
      <c r="C5" s="12">
        <v>170</v>
      </c>
      <c r="D5" s="12"/>
      <c r="E5" s="12"/>
      <c r="F5" s="12"/>
      <c r="G5" s="12">
        <v>135</v>
      </c>
      <c r="H5" s="12">
        <v>148</v>
      </c>
      <c r="I5" s="12">
        <v>178</v>
      </c>
      <c r="J5" s="12">
        <v>196</v>
      </c>
      <c r="K5" s="12">
        <v>198</v>
      </c>
      <c r="L5" s="12">
        <v>192</v>
      </c>
      <c r="M5" s="12">
        <v>182</v>
      </c>
      <c r="N5" s="12">
        <v>181</v>
      </c>
      <c r="O5" s="12">
        <v>440</v>
      </c>
      <c r="P5" s="12">
        <v>193</v>
      </c>
      <c r="Q5" s="12">
        <v>209</v>
      </c>
      <c r="R5" s="12">
        <f t="shared" ref="R5" si="4">+N5</f>
        <v>181</v>
      </c>
      <c r="S5" s="12"/>
      <c r="T5" s="12"/>
      <c r="U5" s="12"/>
      <c r="V5" s="12"/>
      <c r="AA5" s="3">
        <v>477</v>
      </c>
      <c r="AB5" s="3">
        <v>595</v>
      </c>
      <c r="AC5" s="3">
        <v>659</v>
      </c>
      <c r="AD5" s="3">
        <f t="shared" si="1"/>
        <v>657</v>
      </c>
      <c r="AE5" s="3">
        <f t="shared" si="2"/>
        <v>753</v>
      </c>
      <c r="AF5" s="3">
        <f t="shared" si="3"/>
        <v>1023</v>
      </c>
      <c r="AG5" s="3">
        <f>+AF5*1.01</f>
        <v>1033.23</v>
      </c>
      <c r="AH5" s="3">
        <f t="shared" ref="AH5:AN5" si="5">+AG5*1.01</f>
        <v>1043.5623000000001</v>
      </c>
      <c r="AI5" s="3">
        <f t="shared" si="5"/>
        <v>1053.9979230000001</v>
      </c>
      <c r="AJ5" s="3">
        <f t="shared" si="5"/>
        <v>1064.5379022300001</v>
      </c>
      <c r="AK5" s="3">
        <f t="shared" si="5"/>
        <v>1075.1832812523</v>
      </c>
      <c r="AL5" s="3">
        <f t="shared" si="5"/>
        <v>1085.935114064823</v>
      </c>
      <c r="AM5" s="3">
        <f t="shared" si="5"/>
        <v>1096.7944652054712</v>
      </c>
      <c r="AN5" s="3">
        <f t="shared" si="5"/>
        <v>1107.7624098575259</v>
      </c>
    </row>
    <row r="6" spans="1:40" s="3" customFormat="1" x14ac:dyDescent="0.2">
      <c r="B6" s="3" t="s">
        <v>39</v>
      </c>
      <c r="C6" s="12">
        <v>1825</v>
      </c>
      <c r="D6" s="12"/>
      <c r="E6" s="12"/>
      <c r="F6" s="12"/>
      <c r="G6" s="12">
        <v>2777</v>
      </c>
      <c r="H6" s="12">
        <v>3007</v>
      </c>
      <c r="I6" s="12">
        <v>3444</v>
      </c>
      <c r="J6" s="12">
        <v>3831</v>
      </c>
      <c r="K6" s="12">
        <v>4047</v>
      </c>
      <c r="L6" s="12">
        <v>4628</v>
      </c>
      <c r="M6" s="12">
        <v>4990</v>
      </c>
      <c r="N6" s="12">
        <v>5541</v>
      </c>
      <c r="O6" s="12">
        <v>5821</v>
      </c>
      <c r="P6" s="12">
        <v>6276</v>
      </c>
      <c r="Q6" s="12">
        <v>6868</v>
      </c>
      <c r="R6" s="12">
        <f t="shared" ref="R6" si="6">+N6*1.4</f>
        <v>7757.4</v>
      </c>
      <c r="S6" s="12"/>
      <c r="T6" s="12"/>
      <c r="U6" s="12"/>
      <c r="V6" s="12"/>
      <c r="AA6" s="3">
        <v>4056</v>
      </c>
      <c r="AB6" s="3">
        <v>5838</v>
      </c>
      <c r="AC6" s="3">
        <v>8918</v>
      </c>
      <c r="AD6" s="3">
        <f t="shared" si="1"/>
        <v>13059</v>
      </c>
      <c r="AE6" s="3">
        <f t="shared" si="2"/>
        <v>19206</v>
      </c>
      <c r="AF6" s="3">
        <f t="shared" si="3"/>
        <v>26722.400000000001</v>
      </c>
      <c r="AG6" s="3">
        <f>+AF6*1.4</f>
        <v>37411.360000000001</v>
      </c>
      <c r="AH6" s="3">
        <f t="shared" ref="AH6" si="7">+AG6*1.4</f>
        <v>52375.903999999995</v>
      </c>
      <c r="AI6" s="3">
        <f>+AH6*1.3</f>
        <v>68088.675199999998</v>
      </c>
      <c r="AJ6" s="3">
        <f>+AI6*1.3</f>
        <v>88515.277759999997</v>
      </c>
      <c r="AK6" s="3">
        <f>+AJ6*1.3</f>
        <v>115069.86108800001</v>
      </c>
      <c r="AL6" s="3">
        <f>+AK6*1.2</f>
        <v>138083.83330560001</v>
      </c>
      <c r="AM6" s="3">
        <f>+AL6*1.2</f>
        <v>165700.59996672001</v>
      </c>
      <c r="AN6" s="3">
        <f>+AM6*1.2</f>
        <v>198840.71996006402</v>
      </c>
    </row>
    <row r="7" spans="1:40" s="3" customFormat="1" x14ac:dyDescent="0.2">
      <c r="B7" s="3" t="s">
        <v>28</v>
      </c>
      <c r="C7" s="12">
        <v>3620</v>
      </c>
      <c r="D7" s="12"/>
      <c r="E7" s="12"/>
      <c r="F7" s="12"/>
      <c r="G7" s="12">
        <v>4435</v>
      </c>
      <c r="H7" s="12">
        <v>5124</v>
      </c>
      <c r="I7" s="12">
        <v>5478</v>
      </c>
      <c r="J7" s="12">
        <v>6674</v>
      </c>
      <c r="K7" s="12">
        <v>6494</v>
      </c>
      <c r="L7" s="12">
        <v>6623</v>
      </c>
      <c r="M7" s="12">
        <v>6754</v>
      </c>
      <c r="N7" s="12">
        <v>8161</v>
      </c>
      <c r="O7" s="12">
        <v>6811</v>
      </c>
      <c r="P7" s="12">
        <v>6553</v>
      </c>
      <c r="Q7" s="12">
        <v>6895</v>
      </c>
      <c r="R7" s="12">
        <f>+N7*1.03</f>
        <v>8405.83</v>
      </c>
      <c r="S7" s="12"/>
      <c r="T7" s="12"/>
      <c r="U7" s="12"/>
      <c r="V7" s="12"/>
      <c r="AA7" s="3">
        <v>10914</v>
      </c>
      <c r="AB7" s="3">
        <v>14063</v>
      </c>
      <c r="AC7" s="3">
        <v>17014</v>
      </c>
      <c r="AD7" s="3">
        <f t="shared" si="1"/>
        <v>21711</v>
      </c>
      <c r="AE7" s="3">
        <f t="shared" si="2"/>
        <v>28032</v>
      </c>
      <c r="AF7" s="3">
        <f t="shared" si="3"/>
        <v>28664.83</v>
      </c>
      <c r="AG7" s="3">
        <f>+AF7*1.03</f>
        <v>29524.774900000004</v>
      </c>
      <c r="AH7" s="3">
        <f t="shared" ref="AH7:AN7" si="8">+AG7*1.03</f>
        <v>30410.518147000006</v>
      </c>
      <c r="AI7" s="3">
        <f t="shared" si="8"/>
        <v>31322.833691410007</v>
      </c>
      <c r="AJ7" s="3">
        <f t="shared" si="8"/>
        <v>32262.518702152309</v>
      </c>
      <c r="AK7" s="3">
        <f t="shared" si="8"/>
        <v>33230.394263216876</v>
      </c>
      <c r="AL7" s="3">
        <f t="shared" si="8"/>
        <v>34227.306091113387</v>
      </c>
      <c r="AM7" s="3">
        <f t="shared" si="8"/>
        <v>35254.125273846788</v>
      </c>
      <c r="AN7" s="3">
        <f t="shared" si="8"/>
        <v>36311.749032062195</v>
      </c>
    </row>
    <row r="8" spans="1:40" s="3" customFormat="1" x14ac:dyDescent="0.2">
      <c r="B8" s="3" t="s">
        <v>45</v>
      </c>
      <c r="C8" s="12">
        <v>5015</v>
      </c>
      <c r="D8" s="12"/>
      <c r="E8" s="12"/>
      <c r="F8" s="12"/>
      <c r="G8" s="12">
        <v>5223</v>
      </c>
      <c r="H8" s="12">
        <v>4736</v>
      </c>
      <c r="I8" s="12">
        <v>5720</v>
      </c>
      <c r="J8" s="12">
        <v>7411</v>
      </c>
      <c r="K8" s="12">
        <v>6800</v>
      </c>
      <c r="L8" s="12">
        <v>7597</v>
      </c>
      <c r="M8" s="12">
        <v>7999</v>
      </c>
      <c r="N8" s="12">
        <v>9305</v>
      </c>
      <c r="O8" s="12">
        <v>8174</v>
      </c>
      <c r="P8" s="12">
        <v>8259</v>
      </c>
      <c r="Q8" s="12">
        <v>7872</v>
      </c>
      <c r="R8" s="12">
        <f>+N8*1.1</f>
        <v>10235.5</v>
      </c>
      <c r="S8" s="12"/>
      <c r="T8" s="12"/>
      <c r="U8" s="12"/>
      <c r="V8" s="12"/>
      <c r="AA8" s="3">
        <v>17616</v>
      </c>
      <c r="AB8" s="3">
        <v>20010</v>
      </c>
      <c r="AC8" s="3">
        <v>21547</v>
      </c>
      <c r="AD8" s="3">
        <f t="shared" si="1"/>
        <v>23090</v>
      </c>
      <c r="AE8" s="3">
        <f>SUM(K8:N8)</f>
        <v>31701</v>
      </c>
      <c r="AF8" s="3">
        <f t="shared" si="3"/>
        <v>34540.5</v>
      </c>
      <c r="AG8" s="3">
        <f>+AF8*1.03</f>
        <v>35576.715000000004</v>
      </c>
      <c r="AH8" s="3">
        <f t="shared" ref="AH8:AN8" si="9">+AG8*1.03</f>
        <v>36644.016450000003</v>
      </c>
      <c r="AI8" s="3">
        <f t="shared" si="9"/>
        <v>37743.336943500006</v>
      </c>
      <c r="AJ8" s="3">
        <f t="shared" si="9"/>
        <v>38875.63705180501</v>
      </c>
      <c r="AK8" s="3">
        <f t="shared" si="9"/>
        <v>40041.906163359163</v>
      </c>
      <c r="AL8" s="3">
        <f t="shared" si="9"/>
        <v>41243.163348259935</v>
      </c>
      <c r="AM8" s="3">
        <f t="shared" si="9"/>
        <v>42480.458248707735</v>
      </c>
      <c r="AN8" s="3">
        <f t="shared" si="9"/>
        <v>43754.871996168971</v>
      </c>
    </row>
    <row r="9" spans="1:40" s="3" customFormat="1" x14ac:dyDescent="0.2">
      <c r="B9" s="3" t="s">
        <v>44</v>
      </c>
      <c r="C9" s="12">
        <v>3025</v>
      </c>
      <c r="D9" s="12"/>
      <c r="E9" s="12"/>
      <c r="F9" s="12"/>
      <c r="G9" s="12">
        <v>4038</v>
      </c>
      <c r="H9" s="12">
        <v>3812</v>
      </c>
      <c r="I9" s="12">
        <v>5037</v>
      </c>
      <c r="J9" s="12">
        <v>6885</v>
      </c>
      <c r="K9" s="12">
        <v>6005</v>
      </c>
      <c r="L9" s="12">
        <v>7002</v>
      </c>
      <c r="M9" s="12">
        <v>7205</v>
      </c>
      <c r="N9" s="12">
        <v>8633</v>
      </c>
      <c r="O9" s="12">
        <v>6869</v>
      </c>
      <c r="P9" s="12">
        <v>7340</v>
      </c>
      <c r="Q9" s="12">
        <v>7071</v>
      </c>
      <c r="R9" s="12">
        <f>+N9*1.06</f>
        <v>9150.98</v>
      </c>
      <c r="S9" s="12"/>
      <c r="T9" s="12"/>
      <c r="U9" s="12"/>
      <c r="V9" s="12"/>
      <c r="AA9" s="3">
        <v>8150</v>
      </c>
      <c r="AB9" s="3">
        <v>11155</v>
      </c>
      <c r="AC9" s="3">
        <v>15149</v>
      </c>
      <c r="AD9" s="3">
        <f t="shared" si="1"/>
        <v>19772</v>
      </c>
      <c r="AE9" s="3">
        <f>SUM(K9:N9)</f>
        <v>28845</v>
      </c>
      <c r="AF9" s="3">
        <f t="shared" si="3"/>
        <v>30430.98</v>
      </c>
      <c r="AG9" s="3">
        <f>+AF9*1.05</f>
        <v>31952.529000000002</v>
      </c>
      <c r="AH9" s="3">
        <f t="shared" ref="AH9:AN9" si="10">+AG9*1.05</f>
        <v>33550.155450000006</v>
      </c>
      <c r="AI9" s="3">
        <f t="shared" si="10"/>
        <v>35227.663222500007</v>
      </c>
      <c r="AJ9" s="3">
        <f t="shared" si="10"/>
        <v>36989.046383625006</v>
      </c>
      <c r="AK9" s="3">
        <f t="shared" si="10"/>
        <v>38838.498702806261</v>
      </c>
      <c r="AL9" s="3">
        <f t="shared" si="10"/>
        <v>40780.423637946573</v>
      </c>
      <c r="AM9" s="3">
        <f t="shared" si="10"/>
        <v>42819.444819843906</v>
      </c>
      <c r="AN9" s="3">
        <f t="shared" si="10"/>
        <v>44960.417060836102</v>
      </c>
    </row>
    <row r="10" spans="1:40" s="3" customFormat="1" x14ac:dyDescent="0.2">
      <c r="B10" s="3" t="s">
        <v>46</v>
      </c>
      <c r="C10" s="12">
        <v>22547</v>
      </c>
      <c r="D10" s="12"/>
      <c r="E10" s="12"/>
      <c r="F10" s="12"/>
      <c r="G10" s="12">
        <v>24502</v>
      </c>
      <c r="H10" s="12">
        <v>21319</v>
      </c>
      <c r="I10" s="12">
        <v>26338</v>
      </c>
      <c r="J10" s="12">
        <v>31903</v>
      </c>
      <c r="K10" s="12">
        <v>31879</v>
      </c>
      <c r="L10" s="12">
        <v>35845</v>
      </c>
      <c r="M10" s="12">
        <v>37926</v>
      </c>
      <c r="N10" s="12">
        <v>43301</v>
      </c>
      <c r="O10" s="12">
        <v>39618</v>
      </c>
      <c r="P10" s="12">
        <v>40689</v>
      </c>
      <c r="Q10" s="12">
        <v>39539</v>
      </c>
      <c r="R10" s="12">
        <f>+N10*1.1</f>
        <v>47631.100000000006</v>
      </c>
      <c r="S10" s="12"/>
      <c r="T10" s="12"/>
      <c r="U10" s="12"/>
      <c r="V10" s="12"/>
      <c r="AA10" s="3">
        <v>69811</v>
      </c>
      <c r="AB10" s="3">
        <v>85296</v>
      </c>
      <c r="AC10" s="3">
        <v>98115</v>
      </c>
      <c r="AD10" s="3">
        <f t="shared" si="1"/>
        <v>104062</v>
      </c>
      <c r="AE10" s="3">
        <f>SUM(K10:N10)</f>
        <v>148951</v>
      </c>
      <c r="AF10" s="3">
        <f t="shared" si="3"/>
        <v>167477.1</v>
      </c>
      <c r="AG10" s="3">
        <f>+AF10*1.1</f>
        <v>184224.81000000003</v>
      </c>
      <c r="AH10" s="3">
        <f t="shared" ref="AH10:AN10" si="11">+AG10*1.1</f>
        <v>202647.29100000006</v>
      </c>
      <c r="AI10" s="3">
        <f t="shared" si="11"/>
        <v>222912.02010000008</v>
      </c>
      <c r="AJ10" s="3">
        <f t="shared" si="11"/>
        <v>245203.22211000012</v>
      </c>
      <c r="AK10" s="3">
        <f t="shared" si="11"/>
        <v>269723.54432100017</v>
      </c>
      <c r="AL10" s="3">
        <f t="shared" si="11"/>
        <v>296695.89875310019</v>
      </c>
      <c r="AM10" s="3">
        <f t="shared" si="11"/>
        <v>326365.48862841021</v>
      </c>
      <c r="AN10" s="3">
        <f t="shared" si="11"/>
        <v>359002.03749125125</v>
      </c>
    </row>
    <row r="11" spans="1:40" s="3" customFormat="1" x14ac:dyDescent="0.2">
      <c r="B11" s="3" t="s">
        <v>38</v>
      </c>
      <c r="C11" s="12">
        <f t="shared" ref="C11:G11" si="12">SUM(C7:C10)</f>
        <v>34207</v>
      </c>
      <c r="D11" s="12">
        <f t="shared" si="12"/>
        <v>0</v>
      </c>
      <c r="E11" s="12">
        <f t="shared" si="12"/>
        <v>0</v>
      </c>
      <c r="F11" s="12">
        <f t="shared" si="12"/>
        <v>0</v>
      </c>
      <c r="G11" s="12">
        <f t="shared" si="12"/>
        <v>38198</v>
      </c>
      <c r="H11" s="12">
        <f t="shared" ref="H11" si="13">SUM(H7:H10)</f>
        <v>34991</v>
      </c>
      <c r="I11" s="12">
        <f>SUM(I7:I10)</f>
        <v>42573</v>
      </c>
      <c r="J11" s="12">
        <f>SUM(J7:J10)</f>
        <v>52873</v>
      </c>
      <c r="K11" s="12">
        <v>51178</v>
      </c>
      <c r="L11" s="12">
        <f t="shared" ref="L11" si="14">SUM(L7:L10)</f>
        <v>57067</v>
      </c>
      <c r="M11" s="12">
        <f t="shared" ref="M11:R11" si="15">SUM(M7:M10)</f>
        <v>59884</v>
      </c>
      <c r="N11" s="12">
        <f t="shared" si="15"/>
        <v>69400</v>
      </c>
      <c r="O11" s="12">
        <f t="shared" si="15"/>
        <v>61472</v>
      </c>
      <c r="P11" s="12">
        <f t="shared" si="15"/>
        <v>62841</v>
      </c>
      <c r="Q11" s="12">
        <f t="shared" si="15"/>
        <v>61377</v>
      </c>
      <c r="R11" s="12">
        <f t="shared" si="15"/>
        <v>75423.41</v>
      </c>
      <c r="S11" s="12"/>
      <c r="T11" s="12"/>
      <c r="U11" s="12"/>
      <c r="V11" s="12"/>
      <c r="AA11" s="12">
        <f t="shared" ref="AA11:AD11" si="16">SUM(AA7:AA10)</f>
        <v>106491</v>
      </c>
      <c r="AB11" s="12">
        <f t="shared" si="16"/>
        <v>130524</v>
      </c>
      <c r="AC11" s="12">
        <f t="shared" si="16"/>
        <v>151825</v>
      </c>
      <c r="AD11" s="12">
        <f t="shared" si="16"/>
        <v>168635</v>
      </c>
      <c r="AE11" s="12">
        <f>SUM(AE7:AE10)</f>
        <v>237529</v>
      </c>
      <c r="AF11" s="12">
        <f>SUM(AF7:AF10)</f>
        <v>261113.41</v>
      </c>
      <c r="AG11" s="12">
        <f>SUM(AG7:AG10)</f>
        <v>281278.82890000002</v>
      </c>
      <c r="AH11" s="12">
        <f t="shared" ref="AH11:AN11" si="17">SUM(AH7:AH10)</f>
        <v>303251.98104700004</v>
      </c>
      <c r="AI11" s="12">
        <f t="shared" si="17"/>
        <v>327205.85395741009</v>
      </c>
      <c r="AJ11" s="12">
        <f t="shared" si="17"/>
        <v>353330.42424758244</v>
      </c>
      <c r="AK11" s="12">
        <f t="shared" si="17"/>
        <v>381834.34345038247</v>
      </c>
      <c r="AL11" s="12">
        <f t="shared" si="17"/>
        <v>412946.79183042009</v>
      </c>
      <c r="AM11" s="12">
        <f t="shared" si="17"/>
        <v>446919.51697080862</v>
      </c>
      <c r="AN11" s="12">
        <f t="shared" si="17"/>
        <v>484029.07558031852</v>
      </c>
    </row>
    <row r="12" spans="1:40" s="10" customFormat="1" x14ac:dyDescent="0.2">
      <c r="B12" s="10" t="s">
        <v>8</v>
      </c>
      <c r="C12" s="11">
        <f t="shared" ref="C12:G12" si="18">C11+C6+C5+C4</f>
        <v>36339</v>
      </c>
      <c r="D12" s="11">
        <f t="shared" si="18"/>
        <v>0</v>
      </c>
      <c r="E12" s="11">
        <f t="shared" si="18"/>
        <v>0</v>
      </c>
      <c r="F12" s="11">
        <f t="shared" si="18"/>
        <v>0</v>
      </c>
      <c r="G12" s="11">
        <f t="shared" si="18"/>
        <v>41159</v>
      </c>
      <c r="H12" s="11">
        <f t="shared" ref="H12" si="19">H11+H6+H5+H4</f>
        <v>38297</v>
      </c>
      <c r="I12" s="11">
        <f>I11+I6+I5+I4</f>
        <v>46173</v>
      </c>
      <c r="J12" s="11">
        <f>J11+J6+J5+J4</f>
        <v>56898</v>
      </c>
      <c r="K12" s="11">
        <v>55314</v>
      </c>
      <c r="L12" s="11">
        <f t="shared" ref="L12" si="20">L11+L6+L5+L4</f>
        <v>61880</v>
      </c>
      <c r="M12" s="11">
        <f>M11+M6+M5+M4</f>
        <v>65118</v>
      </c>
      <c r="N12" s="11">
        <f>N11+N6+N5+N4</f>
        <v>75325</v>
      </c>
      <c r="O12" s="11">
        <f>O11+O6+O5+O4</f>
        <v>68011</v>
      </c>
      <c r="P12" s="11">
        <f>P11+P6+P5+P4</f>
        <v>69685</v>
      </c>
      <c r="Q12" s="11">
        <f t="shared" ref="Q12:V12" si="21">Q11+Q6+Q5+Q4</f>
        <v>69092</v>
      </c>
      <c r="R12" s="11">
        <f t="shared" si="21"/>
        <v>83361.81</v>
      </c>
      <c r="S12" s="11">
        <f t="shared" si="21"/>
        <v>0</v>
      </c>
      <c r="T12" s="11">
        <f t="shared" si="21"/>
        <v>0</v>
      </c>
      <c r="U12" s="11">
        <f t="shared" si="21"/>
        <v>0</v>
      </c>
      <c r="V12" s="11">
        <f t="shared" si="21"/>
        <v>0</v>
      </c>
      <c r="W12" s="11"/>
      <c r="X12" s="11"/>
      <c r="Y12" s="11"/>
      <c r="Z12" s="11"/>
      <c r="AA12" s="11">
        <f t="shared" ref="AA12:AD12" si="22">AA11+AA6+AA5+AA4</f>
        <v>110855</v>
      </c>
      <c r="AB12" s="11">
        <f t="shared" si="22"/>
        <v>136819</v>
      </c>
      <c r="AC12" s="11">
        <f t="shared" si="22"/>
        <v>161857</v>
      </c>
      <c r="AD12" s="11">
        <f t="shared" si="22"/>
        <v>182527</v>
      </c>
      <c r="AE12" s="11">
        <f>AE11+AE6+AE5+AE4</f>
        <v>257637</v>
      </c>
      <c r="AF12" s="11">
        <f>AF11+AF6+AF5+AF4</f>
        <v>290149.81</v>
      </c>
      <c r="AG12" s="11">
        <f t="shared" ref="AG12" si="23">AG11+AG6+AG5+AG4</f>
        <v>319723.41889999999</v>
      </c>
      <c r="AH12" s="11">
        <f t="shared" ref="AH12" si="24">AH11+AH6+AH5+AH4</f>
        <v>356671.44734700001</v>
      </c>
      <c r="AI12" s="11">
        <f t="shared" ref="AI12" si="25">AI11+AI6+AI5+AI4</f>
        <v>396348.5270804101</v>
      </c>
      <c r="AJ12" s="11">
        <f t="shared" ref="AJ12" si="26">AJ11+AJ6+AJ5+AJ4</f>
        <v>442910.2399098124</v>
      </c>
      <c r="AK12" s="11">
        <f t="shared" ref="AK12" si="27">AK11+AK6+AK5+AK4</f>
        <v>497979.38781963475</v>
      </c>
      <c r="AL12" s="11">
        <f t="shared" ref="AL12" si="28">AL11+AL6+AL5+AL4</f>
        <v>552116.56025008496</v>
      </c>
      <c r="AM12" s="11">
        <f t="shared" ref="AM12" si="29">AM11+AM6+AM5+AM4</f>
        <v>613716.91140273411</v>
      </c>
      <c r="AN12" s="11">
        <f t="shared" ref="AN12" si="30">AN11+AN6+AN5+AN4</f>
        <v>683977.55795023998</v>
      </c>
    </row>
    <row r="13" spans="1:40" s="3" customFormat="1" x14ac:dyDescent="0.2">
      <c r="B13" s="3" t="s">
        <v>20</v>
      </c>
      <c r="C13" s="12">
        <v>16012</v>
      </c>
      <c r="D13" s="12"/>
      <c r="E13" s="12"/>
      <c r="F13" s="12"/>
      <c r="G13" s="12">
        <v>18982</v>
      </c>
      <c r="H13" s="12">
        <v>18553</v>
      </c>
      <c r="I13" s="12">
        <v>21117</v>
      </c>
      <c r="J13" s="12">
        <v>26080</v>
      </c>
      <c r="K13" s="12">
        <v>24103</v>
      </c>
      <c r="L13" s="12">
        <v>26227</v>
      </c>
      <c r="M13" s="12">
        <v>27621</v>
      </c>
      <c r="N13" s="12">
        <v>32988</v>
      </c>
      <c r="O13" s="12">
        <v>29599</v>
      </c>
      <c r="P13" s="12">
        <v>30104</v>
      </c>
      <c r="Q13" s="12">
        <v>31158</v>
      </c>
      <c r="R13" s="12">
        <f>+R12-R15</f>
        <v>35428.769250000005</v>
      </c>
      <c r="S13" s="12"/>
      <c r="T13" s="12"/>
      <c r="U13" s="12"/>
      <c r="V13" s="12"/>
      <c r="AD13" s="3">
        <v>84732</v>
      </c>
      <c r="AE13" s="3">
        <v>110939</v>
      </c>
      <c r="AF13" s="3">
        <f>SUM(O13:R13)</f>
        <v>126289.76925000001</v>
      </c>
      <c r="AG13" s="3">
        <f>+AG12-AG15</f>
        <v>137481.07012700001</v>
      </c>
      <c r="AH13" s="3">
        <f t="shared" ref="AH13:AN13" si="31">+AH12-AH15</f>
        <v>153368.72235921002</v>
      </c>
      <c r="AI13" s="3">
        <f t="shared" si="31"/>
        <v>170429.86664457637</v>
      </c>
      <c r="AJ13" s="3">
        <f t="shared" si="31"/>
        <v>190451.40316121935</v>
      </c>
      <c r="AK13" s="3">
        <f t="shared" si="31"/>
        <v>214131.13676244294</v>
      </c>
      <c r="AL13" s="3">
        <f t="shared" si="31"/>
        <v>237410.12090753653</v>
      </c>
      <c r="AM13" s="3">
        <f t="shared" si="31"/>
        <v>263898.27190317569</v>
      </c>
      <c r="AN13" s="3">
        <f t="shared" si="31"/>
        <v>294110.3499186032</v>
      </c>
    </row>
    <row r="14" spans="1:40" s="3" customFormat="1" x14ac:dyDescent="0.2">
      <c r="B14" s="3" t="s">
        <v>51</v>
      </c>
      <c r="C14" s="12">
        <v>6860</v>
      </c>
      <c r="D14" s="12"/>
      <c r="E14" s="12"/>
      <c r="F14" s="12"/>
      <c r="G14" s="12">
        <v>7452</v>
      </c>
      <c r="H14" s="12"/>
      <c r="I14" s="12"/>
      <c r="J14" s="12"/>
      <c r="K14" s="12"/>
      <c r="L14" s="12">
        <v>10929</v>
      </c>
      <c r="M14" s="12"/>
      <c r="N14" s="12"/>
      <c r="O14" s="12"/>
      <c r="P14" s="12">
        <v>12214</v>
      </c>
      <c r="Q14" s="12">
        <v>11826</v>
      </c>
      <c r="R14" s="12"/>
      <c r="S14" s="12"/>
      <c r="T14" s="12"/>
      <c r="U14" s="12"/>
      <c r="V14" s="12"/>
    </row>
    <row r="15" spans="1:40" s="3" customFormat="1" x14ac:dyDescent="0.2">
      <c r="B15" s="3" t="s">
        <v>21</v>
      </c>
      <c r="C15" s="12">
        <f>C12-C13</f>
        <v>20327</v>
      </c>
      <c r="D15" s="12"/>
      <c r="E15" s="12"/>
      <c r="F15" s="12"/>
      <c r="G15" s="12">
        <f>G12-G13</f>
        <v>22177</v>
      </c>
      <c r="H15" s="12">
        <f t="shared" ref="H15" si="32">H12-H13</f>
        <v>19744</v>
      </c>
      <c r="I15" s="12">
        <f t="shared" ref="I15" si="33">I12-I13</f>
        <v>25056</v>
      </c>
      <c r="J15" s="12">
        <f t="shared" ref="J15:N15" si="34">J12-J13</f>
        <v>30818</v>
      </c>
      <c r="K15" s="12">
        <f t="shared" si="34"/>
        <v>31211</v>
      </c>
      <c r="L15" s="12">
        <f t="shared" si="34"/>
        <v>35653</v>
      </c>
      <c r="M15" s="12">
        <f t="shared" si="34"/>
        <v>37497</v>
      </c>
      <c r="N15" s="12">
        <f t="shared" si="34"/>
        <v>42337</v>
      </c>
      <c r="O15" s="12">
        <f>O12-O13</f>
        <v>38412</v>
      </c>
      <c r="P15" s="12">
        <f t="shared" ref="P15:Q15" si="35">P12-P13</f>
        <v>39581</v>
      </c>
      <c r="Q15" s="12">
        <f t="shared" si="35"/>
        <v>37934</v>
      </c>
      <c r="R15" s="12">
        <f>+R12*0.575</f>
        <v>47933.040749999993</v>
      </c>
      <c r="S15" s="12"/>
      <c r="T15" s="12"/>
      <c r="U15" s="12"/>
      <c r="V15" s="12"/>
      <c r="AD15" s="3">
        <f>AD12-AD13</f>
        <v>97795</v>
      </c>
      <c r="AE15" s="3">
        <f t="shared" ref="AE15" si="36">AE12-AE13</f>
        <v>146698</v>
      </c>
      <c r="AF15" s="3">
        <f>+AF12-AF13</f>
        <v>163860.04074999999</v>
      </c>
      <c r="AG15" s="3">
        <f>+AG12*0.57</f>
        <v>182242.34877299998</v>
      </c>
      <c r="AH15" s="3">
        <f t="shared" ref="AH15:AN15" si="37">+AH12*0.57</f>
        <v>203302.72498778999</v>
      </c>
      <c r="AI15" s="3">
        <f t="shared" si="37"/>
        <v>225918.66043583374</v>
      </c>
      <c r="AJ15" s="3">
        <f t="shared" si="37"/>
        <v>252458.83674859305</v>
      </c>
      <c r="AK15" s="3">
        <f t="shared" si="37"/>
        <v>283848.25105719181</v>
      </c>
      <c r="AL15" s="3">
        <f t="shared" si="37"/>
        <v>314706.43934254843</v>
      </c>
      <c r="AM15" s="3">
        <f t="shared" si="37"/>
        <v>349818.63949955843</v>
      </c>
      <c r="AN15" s="3">
        <f t="shared" si="37"/>
        <v>389867.20803163678</v>
      </c>
    </row>
    <row r="16" spans="1:40" s="3" customFormat="1" x14ac:dyDescent="0.2">
      <c r="B16" s="3" t="s">
        <v>22</v>
      </c>
      <c r="C16" s="12">
        <v>6029</v>
      </c>
      <c r="D16" s="12"/>
      <c r="E16" s="12"/>
      <c r="F16" s="12"/>
      <c r="G16" s="12">
        <v>6820</v>
      </c>
      <c r="H16" s="12">
        <v>6875</v>
      </c>
      <c r="I16" s="12">
        <v>6856</v>
      </c>
      <c r="J16" s="12">
        <v>7022</v>
      </c>
      <c r="K16" s="12">
        <v>7485</v>
      </c>
      <c r="L16" s="12">
        <v>7675</v>
      </c>
      <c r="M16" s="12">
        <v>7694</v>
      </c>
      <c r="N16" s="12">
        <v>8708</v>
      </c>
      <c r="O16" s="12">
        <v>9119</v>
      </c>
      <c r="P16" s="12">
        <v>9841</v>
      </c>
      <c r="Q16" s="12">
        <v>10273</v>
      </c>
      <c r="R16" s="12">
        <f>+N16*1.1</f>
        <v>9578.8000000000011</v>
      </c>
      <c r="S16" s="12"/>
      <c r="T16" s="12"/>
      <c r="U16" s="12"/>
      <c r="V16" s="12"/>
      <c r="AD16" s="3">
        <v>27573</v>
      </c>
      <c r="AE16" s="3">
        <v>31562</v>
      </c>
      <c r="AF16" s="3">
        <f t="shared" ref="AF16:AF18" si="38">SUM(O16:R16)</f>
        <v>38811.800000000003</v>
      </c>
      <c r="AG16" s="3">
        <f>+AF16*1.05</f>
        <v>40752.390000000007</v>
      </c>
      <c r="AH16" s="3">
        <f t="shared" ref="AH16:AN16" si="39">+AG16*1.05</f>
        <v>42790.009500000007</v>
      </c>
      <c r="AI16" s="3">
        <f t="shared" si="39"/>
        <v>44929.509975000008</v>
      </c>
      <c r="AJ16" s="3">
        <f t="shared" si="39"/>
        <v>47175.985473750014</v>
      </c>
      <c r="AK16" s="3">
        <f t="shared" si="39"/>
        <v>49534.784747437516</v>
      </c>
      <c r="AL16" s="3">
        <f t="shared" si="39"/>
        <v>52011.523984809392</v>
      </c>
      <c r="AM16" s="3">
        <f t="shared" si="39"/>
        <v>54612.100184049865</v>
      </c>
      <c r="AN16" s="3">
        <f t="shared" si="39"/>
        <v>57342.705193252361</v>
      </c>
    </row>
    <row r="17" spans="2:97" s="3" customFormat="1" x14ac:dyDescent="0.2">
      <c r="B17" s="3" t="s">
        <v>23</v>
      </c>
      <c r="C17" s="12">
        <v>3905</v>
      </c>
      <c r="D17" s="12"/>
      <c r="E17" s="12"/>
      <c r="F17" s="12"/>
      <c r="G17" s="12">
        <v>4500</v>
      </c>
      <c r="H17" s="12">
        <v>3901</v>
      </c>
      <c r="I17" s="12">
        <v>4231</v>
      </c>
      <c r="J17" s="12">
        <v>5314</v>
      </c>
      <c r="K17" s="12">
        <v>4516</v>
      </c>
      <c r="L17" s="12">
        <v>5276</v>
      </c>
      <c r="M17" s="12">
        <v>5516</v>
      </c>
      <c r="N17" s="12">
        <v>7604</v>
      </c>
      <c r="O17" s="12">
        <v>5825</v>
      </c>
      <c r="P17" s="12">
        <v>6630</v>
      </c>
      <c r="Q17" s="12">
        <v>6929</v>
      </c>
      <c r="R17" s="12">
        <f>+N17*1.05</f>
        <v>7984.2000000000007</v>
      </c>
      <c r="S17" s="12"/>
      <c r="T17" s="12"/>
      <c r="U17" s="12"/>
      <c r="V17" s="12"/>
      <c r="AD17" s="3">
        <v>17946</v>
      </c>
      <c r="AE17" s="3">
        <v>22912</v>
      </c>
      <c r="AF17" s="3">
        <f t="shared" si="38"/>
        <v>27368.2</v>
      </c>
      <c r="AG17" s="3">
        <f>+AF17*1.05</f>
        <v>28736.61</v>
      </c>
      <c r="AH17" s="3">
        <f t="shared" ref="AH17:AN17" si="40">+AG17*1.05</f>
        <v>30173.440500000001</v>
      </c>
      <c r="AI17" s="3">
        <f t="shared" si="40"/>
        <v>31682.112525</v>
      </c>
      <c r="AJ17" s="3">
        <f t="shared" si="40"/>
        <v>33266.218151250003</v>
      </c>
      <c r="AK17" s="3">
        <f t="shared" si="40"/>
        <v>34929.529058812506</v>
      </c>
      <c r="AL17" s="3">
        <f t="shared" si="40"/>
        <v>36676.00551175313</v>
      </c>
      <c r="AM17" s="3">
        <f t="shared" si="40"/>
        <v>38509.805787340789</v>
      </c>
      <c r="AN17" s="3">
        <f t="shared" si="40"/>
        <v>40435.296076707833</v>
      </c>
    </row>
    <row r="18" spans="2:97" s="3" customFormat="1" x14ac:dyDescent="0.2">
      <c r="B18" s="3" t="s">
        <v>24</v>
      </c>
      <c r="C18" s="12">
        <v>2088</v>
      </c>
      <c r="D18" s="12"/>
      <c r="E18" s="12"/>
      <c r="F18" s="12"/>
      <c r="G18" s="12">
        <v>2880</v>
      </c>
      <c r="H18" s="12">
        <v>2585</v>
      </c>
      <c r="I18" s="12">
        <v>2756</v>
      </c>
      <c r="J18" s="12">
        <v>2831</v>
      </c>
      <c r="K18" s="12">
        <v>2773</v>
      </c>
      <c r="L18" s="12">
        <v>3341</v>
      </c>
      <c r="M18" s="12">
        <v>3256</v>
      </c>
      <c r="N18" s="12">
        <v>4140</v>
      </c>
      <c r="O18" s="12">
        <v>3374</v>
      </c>
      <c r="P18" s="12">
        <v>3657</v>
      </c>
      <c r="Q18" s="12">
        <v>3597</v>
      </c>
      <c r="R18" s="12">
        <f>+N18*1.05</f>
        <v>4347</v>
      </c>
      <c r="S18" s="12"/>
      <c r="T18" s="12"/>
      <c r="U18" s="12"/>
      <c r="V18" s="12"/>
      <c r="AD18" s="3">
        <v>11052</v>
      </c>
      <c r="AE18" s="3">
        <v>13510</v>
      </c>
      <c r="AF18" s="3">
        <f t="shared" si="38"/>
        <v>14975</v>
      </c>
      <c r="AG18" s="3">
        <f>+AF18*1.05</f>
        <v>15723.75</v>
      </c>
      <c r="AH18" s="3">
        <f t="shared" ref="AH18:AN18" si="41">+AG18*1.05</f>
        <v>16509.9375</v>
      </c>
      <c r="AI18" s="3">
        <f t="shared" si="41"/>
        <v>17335.434375000001</v>
      </c>
      <c r="AJ18" s="3">
        <f t="shared" si="41"/>
        <v>18202.206093750003</v>
      </c>
      <c r="AK18" s="3">
        <f t="shared" si="41"/>
        <v>19112.316398437502</v>
      </c>
      <c r="AL18" s="3">
        <f t="shared" si="41"/>
        <v>20067.932218359379</v>
      </c>
      <c r="AM18" s="3">
        <f t="shared" si="41"/>
        <v>21071.32882927735</v>
      </c>
      <c r="AN18" s="3">
        <f t="shared" si="41"/>
        <v>22124.895270741217</v>
      </c>
    </row>
    <row r="19" spans="2:97" s="3" customFormat="1" x14ac:dyDescent="0.2">
      <c r="B19" s="3" t="s">
        <v>26</v>
      </c>
      <c r="C19" s="12">
        <f t="shared" ref="C19" si="42">SUM(C16:C18)</f>
        <v>12022</v>
      </c>
      <c r="D19" s="12"/>
      <c r="E19" s="12"/>
      <c r="F19" s="12"/>
      <c r="G19" s="12">
        <f t="shared" ref="G19" si="43">SUM(G16:G18)</f>
        <v>14200</v>
      </c>
      <c r="H19" s="12">
        <f t="shared" ref="H19" si="44">SUM(H16:H18)</f>
        <v>13361</v>
      </c>
      <c r="I19" s="12">
        <f t="shared" ref="I19" si="45">SUM(I16:I18)</f>
        <v>13843</v>
      </c>
      <c r="J19" s="12">
        <f t="shared" ref="J19" si="46">SUM(J16:J18)</f>
        <v>15167</v>
      </c>
      <c r="K19" s="12">
        <f>SUM(K16:K18)</f>
        <v>14774</v>
      </c>
      <c r="L19" s="12">
        <f t="shared" ref="L19:O19" si="47">SUM(L16:L18)</f>
        <v>16292</v>
      </c>
      <c r="M19" s="12">
        <f t="shared" si="47"/>
        <v>16466</v>
      </c>
      <c r="N19" s="12">
        <f t="shared" si="47"/>
        <v>20452</v>
      </c>
      <c r="O19" s="12">
        <f t="shared" si="47"/>
        <v>18318</v>
      </c>
      <c r="P19" s="12">
        <f t="shared" ref="P19:R19" si="48">SUM(P16:P18)</f>
        <v>20128</v>
      </c>
      <c r="Q19" s="12">
        <f t="shared" si="48"/>
        <v>20799</v>
      </c>
      <c r="R19" s="12">
        <f t="shared" si="48"/>
        <v>21910</v>
      </c>
      <c r="S19" s="12"/>
      <c r="T19" s="12"/>
      <c r="U19" s="12"/>
      <c r="V19" s="12"/>
      <c r="AD19" s="3">
        <f>SUM(AD16:AD18)</f>
        <v>56571</v>
      </c>
      <c r="AE19" s="3">
        <f t="shared" ref="AE19:AG19" si="49">SUM(AE16:AE18)</f>
        <v>67984</v>
      </c>
      <c r="AF19" s="3">
        <f t="shared" si="49"/>
        <v>81155</v>
      </c>
      <c r="AG19" s="3">
        <f t="shared" si="49"/>
        <v>85212.75</v>
      </c>
      <c r="AH19" s="3">
        <f t="shared" ref="AH19:AN19" si="50">SUM(AH16:AH18)</f>
        <v>89473.387500000012</v>
      </c>
      <c r="AI19" s="3">
        <f t="shared" si="50"/>
        <v>93947.056875000009</v>
      </c>
      <c r="AJ19" s="3">
        <f t="shared" si="50"/>
        <v>98644.40971875003</v>
      </c>
      <c r="AK19" s="3">
        <f t="shared" si="50"/>
        <v>103576.63020468752</v>
      </c>
      <c r="AL19" s="3">
        <f t="shared" si="50"/>
        <v>108755.4617149219</v>
      </c>
      <c r="AM19" s="3">
        <f t="shared" si="50"/>
        <v>114193.23480066801</v>
      </c>
      <c r="AN19" s="3">
        <f t="shared" si="50"/>
        <v>119902.89654070142</v>
      </c>
    </row>
    <row r="20" spans="2:97" s="3" customFormat="1" x14ac:dyDescent="0.2">
      <c r="B20" s="3" t="s">
        <v>27</v>
      </c>
      <c r="C20" s="12">
        <f t="shared" ref="C20" si="51">C15-C19</f>
        <v>8305</v>
      </c>
      <c r="D20" s="12"/>
      <c r="E20" s="12"/>
      <c r="F20" s="12"/>
      <c r="G20" s="12">
        <f t="shared" ref="G20" si="52">G15-G19</f>
        <v>7977</v>
      </c>
      <c r="H20" s="12">
        <f t="shared" ref="H20" si="53">H15-H19</f>
        <v>6383</v>
      </c>
      <c r="I20" s="12">
        <f t="shared" ref="I20" si="54">I15-I19</f>
        <v>11213</v>
      </c>
      <c r="J20" s="12">
        <f t="shared" ref="J20" si="55">J15-J19</f>
        <v>15651</v>
      </c>
      <c r="K20" s="12">
        <f t="shared" ref="K20:N20" si="56">K15-K19</f>
        <v>16437</v>
      </c>
      <c r="L20" s="12">
        <f t="shared" si="56"/>
        <v>19361</v>
      </c>
      <c r="M20" s="12">
        <f t="shared" si="56"/>
        <v>21031</v>
      </c>
      <c r="N20" s="12">
        <f t="shared" si="56"/>
        <v>21885</v>
      </c>
      <c r="O20" s="12">
        <f>O15-O19</f>
        <v>20094</v>
      </c>
      <c r="P20" s="12">
        <f t="shared" ref="P20:R20" si="57">P15-P19</f>
        <v>19453</v>
      </c>
      <c r="Q20" s="12">
        <f t="shared" si="57"/>
        <v>17135</v>
      </c>
      <c r="R20" s="12">
        <f t="shared" si="57"/>
        <v>26023.040749999993</v>
      </c>
      <c r="S20" s="12"/>
      <c r="T20" s="12"/>
      <c r="U20" s="12"/>
      <c r="V20" s="12"/>
      <c r="AD20" s="3">
        <f>AD15-AD19</f>
        <v>41224</v>
      </c>
      <c r="AE20" s="3">
        <f t="shared" ref="AE20:AG20" si="58">AE15-AE19</f>
        <v>78714</v>
      </c>
      <c r="AF20" s="3">
        <f t="shared" si="58"/>
        <v>82705.040749999986</v>
      </c>
      <c r="AG20" s="3">
        <f t="shared" si="58"/>
        <v>97029.598772999976</v>
      </c>
      <c r="AH20" s="3">
        <f t="shared" ref="AH20:AN20" si="59">AH15-AH19</f>
        <v>113829.33748778998</v>
      </c>
      <c r="AI20" s="3">
        <f t="shared" si="59"/>
        <v>131971.60356083373</v>
      </c>
      <c r="AJ20" s="3">
        <f t="shared" si="59"/>
        <v>153814.42702984303</v>
      </c>
      <c r="AK20" s="3">
        <f t="shared" si="59"/>
        <v>180271.62085250427</v>
      </c>
      <c r="AL20" s="3">
        <f t="shared" si="59"/>
        <v>205950.97762762653</v>
      </c>
      <c r="AM20" s="3">
        <f t="shared" si="59"/>
        <v>235625.4046988904</v>
      </c>
      <c r="AN20" s="3">
        <f t="shared" si="59"/>
        <v>269964.31149093539</v>
      </c>
    </row>
    <row r="21" spans="2:97" s="3" customFormat="1" x14ac:dyDescent="0.2">
      <c r="B21" s="3" t="s">
        <v>28</v>
      </c>
      <c r="C21" s="12">
        <v>1538</v>
      </c>
      <c r="D21" s="12"/>
      <c r="E21" s="12"/>
      <c r="F21" s="12"/>
      <c r="G21" s="12">
        <v>-220</v>
      </c>
      <c r="H21" s="12">
        <v>1894</v>
      </c>
      <c r="I21" s="12">
        <v>2146</v>
      </c>
      <c r="J21" s="12">
        <v>3038</v>
      </c>
      <c r="K21" s="12">
        <v>4846</v>
      </c>
      <c r="L21" s="12">
        <v>2264</v>
      </c>
      <c r="M21" s="12">
        <v>2033</v>
      </c>
      <c r="N21" s="12">
        <v>2517</v>
      </c>
      <c r="O21" s="12">
        <v>-1160</v>
      </c>
      <c r="P21" s="12">
        <v>-439</v>
      </c>
      <c r="Q21" s="12">
        <v>-902</v>
      </c>
      <c r="R21" s="12">
        <v>0</v>
      </c>
      <c r="S21" s="12"/>
      <c r="T21" s="12"/>
      <c r="U21" s="12"/>
      <c r="V21" s="12"/>
      <c r="AD21" s="3">
        <v>6858</v>
      </c>
      <c r="AE21" s="3">
        <v>12020</v>
      </c>
      <c r="AF21" s="3">
        <f t="shared" ref="AF21:AF23" si="60">SUM(O21:R21)</f>
        <v>-2501</v>
      </c>
      <c r="AG21" s="3">
        <f>+AF38*$AQ$30</f>
        <v>1538.8435423000001</v>
      </c>
      <c r="AH21" s="3">
        <f t="shared" ref="AH21:AN21" si="61">+AG38*$AQ$30</f>
        <v>2347.10476928546</v>
      </c>
      <c r="AI21" s="3">
        <f t="shared" si="61"/>
        <v>3299.7515957934784</v>
      </c>
      <c r="AJ21" s="3">
        <f t="shared" si="61"/>
        <v>4408.9767080778211</v>
      </c>
      <c r="AK21" s="3">
        <f t="shared" si="61"/>
        <v>5706.4086187287721</v>
      </c>
      <c r="AL21" s="3">
        <f t="shared" si="61"/>
        <v>7231.4284603928836</v>
      </c>
      <c r="AM21" s="3">
        <f t="shared" si="61"/>
        <v>8979.5241903146434</v>
      </c>
      <c r="AN21" s="3">
        <f t="shared" si="61"/>
        <v>10985.284607206124</v>
      </c>
    </row>
    <row r="22" spans="2:97" s="3" customFormat="1" x14ac:dyDescent="0.2">
      <c r="B22" s="3" t="s">
        <v>29</v>
      </c>
      <c r="C22" s="12">
        <f t="shared" ref="C22" si="62">C20+C21</f>
        <v>9843</v>
      </c>
      <c r="D22" s="12"/>
      <c r="E22" s="12"/>
      <c r="F22" s="12"/>
      <c r="G22" s="12">
        <f t="shared" ref="G22" si="63">G20+G21</f>
        <v>7757</v>
      </c>
      <c r="H22" s="12">
        <f t="shared" ref="H22" si="64">H20+H21</f>
        <v>8277</v>
      </c>
      <c r="I22" s="12">
        <f t="shared" ref="I22" si="65">I20+I21</f>
        <v>13359</v>
      </c>
      <c r="J22" s="12">
        <f t="shared" ref="J22" si="66">J20+J21</f>
        <v>18689</v>
      </c>
      <c r="K22" s="12">
        <f>K20+K21</f>
        <v>21283</v>
      </c>
      <c r="L22" s="12">
        <f t="shared" ref="L22:O22" si="67">L20+L21</f>
        <v>21625</v>
      </c>
      <c r="M22" s="12">
        <f t="shared" si="67"/>
        <v>23064</v>
      </c>
      <c r="N22" s="12">
        <f t="shared" si="67"/>
        <v>24402</v>
      </c>
      <c r="O22" s="12">
        <f t="shared" si="67"/>
        <v>18934</v>
      </c>
      <c r="P22" s="12">
        <f t="shared" ref="P22:R22" si="68">P20+P21</f>
        <v>19014</v>
      </c>
      <c r="Q22" s="12">
        <f t="shared" si="68"/>
        <v>16233</v>
      </c>
      <c r="R22" s="12">
        <f t="shared" si="68"/>
        <v>26023.040749999993</v>
      </c>
      <c r="S22" s="12"/>
      <c r="T22" s="12"/>
      <c r="U22" s="12"/>
      <c r="V22" s="12"/>
      <c r="AD22" s="3">
        <f>AD20+AD21</f>
        <v>48082</v>
      </c>
      <c r="AE22" s="3">
        <f t="shared" ref="AE22:AG22" si="69">AE20+AE21</f>
        <v>90734</v>
      </c>
      <c r="AF22" s="3">
        <f t="shared" si="69"/>
        <v>80204.040749999986</v>
      </c>
      <c r="AG22" s="3">
        <f t="shared" si="69"/>
        <v>98568.442315299981</v>
      </c>
      <c r="AH22" s="3">
        <f t="shared" ref="AH22:AN22" si="70">AH20+AH21</f>
        <v>116176.44225707544</v>
      </c>
      <c r="AI22" s="3">
        <f t="shared" si="70"/>
        <v>135271.35515662719</v>
      </c>
      <c r="AJ22" s="3">
        <f t="shared" si="70"/>
        <v>158223.40373792086</v>
      </c>
      <c r="AK22" s="3">
        <f t="shared" si="70"/>
        <v>185978.02947123305</v>
      </c>
      <c r="AL22" s="3">
        <f t="shared" si="70"/>
        <v>213182.40608801943</v>
      </c>
      <c r="AM22" s="3">
        <f t="shared" si="70"/>
        <v>244604.92888920504</v>
      </c>
      <c r="AN22" s="3">
        <f t="shared" si="70"/>
        <v>280949.59609814151</v>
      </c>
    </row>
    <row r="23" spans="2:97" s="3" customFormat="1" x14ac:dyDescent="0.2">
      <c r="B23" s="3" t="s">
        <v>30</v>
      </c>
      <c r="C23" s="12">
        <v>1489</v>
      </c>
      <c r="D23" s="12"/>
      <c r="E23" s="12"/>
      <c r="F23" s="12"/>
      <c r="G23" s="12">
        <v>921</v>
      </c>
      <c r="H23" s="12">
        <v>1318</v>
      </c>
      <c r="I23" s="12">
        <v>2112</v>
      </c>
      <c r="J23" s="12">
        <v>3462</v>
      </c>
      <c r="K23" s="12">
        <v>3353</v>
      </c>
      <c r="L23" s="12">
        <v>3460</v>
      </c>
      <c r="M23" s="12">
        <v>4128</v>
      </c>
      <c r="N23" s="12">
        <v>3760</v>
      </c>
      <c r="O23" s="12">
        <v>2498</v>
      </c>
      <c r="P23" s="12">
        <v>3012</v>
      </c>
      <c r="Q23" s="12">
        <v>2323</v>
      </c>
      <c r="R23" s="12">
        <f>+R22*0.16</f>
        <v>4163.6865199999993</v>
      </c>
      <c r="S23" s="12"/>
      <c r="T23" s="12"/>
      <c r="U23" s="12"/>
      <c r="V23" s="12"/>
      <c r="AD23" s="3">
        <v>7813</v>
      </c>
      <c r="AE23" s="3">
        <v>14701</v>
      </c>
      <c r="AF23" s="3">
        <f t="shared" si="60"/>
        <v>11996.686519999999</v>
      </c>
      <c r="AG23" s="3">
        <f>+AG22*0.18</f>
        <v>17742.319616753997</v>
      </c>
      <c r="AH23" s="3">
        <f t="shared" ref="AH23:AN23" si="71">+AH22*0.18</f>
        <v>20911.759606273579</v>
      </c>
      <c r="AI23" s="3">
        <f t="shared" si="71"/>
        <v>24348.843928192895</v>
      </c>
      <c r="AJ23" s="3">
        <f t="shared" si="71"/>
        <v>28480.212672825754</v>
      </c>
      <c r="AK23" s="3">
        <f t="shared" si="71"/>
        <v>33476.04530482195</v>
      </c>
      <c r="AL23" s="3">
        <f t="shared" si="71"/>
        <v>38372.833095843496</v>
      </c>
      <c r="AM23" s="3">
        <f t="shared" si="71"/>
        <v>44028.887200056903</v>
      </c>
      <c r="AN23" s="3">
        <f t="shared" si="71"/>
        <v>50570.927297665468</v>
      </c>
    </row>
    <row r="24" spans="2:97" s="3" customFormat="1" x14ac:dyDescent="0.2">
      <c r="B24" s="3" t="s">
        <v>31</v>
      </c>
      <c r="C24" s="12">
        <f t="shared" ref="C24" si="72">C22-C23</f>
        <v>8354</v>
      </c>
      <c r="D24" s="12"/>
      <c r="E24" s="12"/>
      <c r="F24" s="12"/>
      <c r="G24" s="12">
        <f t="shared" ref="G24" si="73">G22-G23</f>
        <v>6836</v>
      </c>
      <c r="H24" s="12">
        <f t="shared" ref="H24" si="74">H22-H23</f>
        <v>6959</v>
      </c>
      <c r="I24" s="12">
        <f t="shared" ref="I24" si="75">I22-I23</f>
        <v>11247</v>
      </c>
      <c r="J24" s="12">
        <f t="shared" ref="J24" si="76">J22-J23</f>
        <v>15227</v>
      </c>
      <c r="K24" s="12">
        <f>K22-K23</f>
        <v>17930</v>
      </c>
      <c r="L24" s="12">
        <f t="shared" ref="L24:O24" si="77">L22-L23</f>
        <v>18165</v>
      </c>
      <c r="M24" s="12">
        <f t="shared" si="77"/>
        <v>18936</v>
      </c>
      <c r="N24" s="12">
        <f t="shared" si="77"/>
        <v>20642</v>
      </c>
      <c r="O24" s="12">
        <f t="shared" si="77"/>
        <v>16436</v>
      </c>
      <c r="P24" s="12">
        <f t="shared" ref="P24:R24" si="78">P22-P23</f>
        <v>16002</v>
      </c>
      <c r="Q24" s="12">
        <f t="shared" si="78"/>
        <v>13910</v>
      </c>
      <c r="R24" s="12">
        <f t="shared" si="78"/>
        <v>21859.354229999994</v>
      </c>
      <c r="S24" s="12"/>
      <c r="T24" s="12"/>
      <c r="U24" s="12"/>
      <c r="V24" s="12"/>
      <c r="AD24" s="3">
        <f>AD22-AD23</f>
        <v>40269</v>
      </c>
      <c r="AE24" s="3">
        <f t="shared" ref="AE24:AG24" si="79">AE22-AE23</f>
        <v>76033</v>
      </c>
      <c r="AF24" s="3">
        <f t="shared" si="79"/>
        <v>68207.354229999983</v>
      </c>
      <c r="AG24" s="3">
        <f t="shared" si="79"/>
        <v>80826.12269854598</v>
      </c>
      <c r="AH24" s="3">
        <f t="shared" ref="AH24:AN24" si="80">AH22-AH23</f>
        <v>95264.682650801857</v>
      </c>
      <c r="AI24" s="3">
        <f t="shared" si="80"/>
        <v>110922.5112284343</v>
      </c>
      <c r="AJ24" s="3">
        <f t="shared" si="80"/>
        <v>129743.1910650951</v>
      </c>
      <c r="AK24" s="3">
        <f t="shared" si="80"/>
        <v>152501.9841664111</v>
      </c>
      <c r="AL24" s="3">
        <f t="shared" si="80"/>
        <v>174809.57299217593</v>
      </c>
      <c r="AM24" s="3">
        <f t="shared" si="80"/>
        <v>200576.04168914814</v>
      </c>
      <c r="AN24" s="3">
        <f t="shared" si="80"/>
        <v>230378.66880047604</v>
      </c>
      <c r="AO24" s="3">
        <f>+AN24*(1+$AQ$28)</f>
        <v>228074.88211247127</v>
      </c>
      <c r="AP24" s="3">
        <f t="shared" ref="AP24:CS24" si="81">+AO24*(1+$AQ$28)</f>
        <v>225794.13329134654</v>
      </c>
      <c r="AQ24" s="3">
        <f t="shared" si="81"/>
        <v>223536.19195843308</v>
      </c>
      <c r="AR24" s="3">
        <f t="shared" si="81"/>
        <v>221300.83003884874</v>
      </c>
      <c r="AS24" s="3">
        <f t="shared" si="81"/>
        <v>219087.82173846025</v>
      </c>
      <c r="AT24" s="3">
        <f t="shared" si="81"/>
        <v>216896.94352107565</v>
      </c>
      <c r="AU24" s="3">
        <f t="shared" si="81"/>
        <v>214727.9740858649</v>
      </c>
      <c r="AV24" s="3">
        <f t="shared" si="81"/>
        <v>212580.69434500625</v>
      </c>
      <c r="AW24" s="3">
        <f t="shared" si="81"/>
        <v>210454.88740155619</v>
      </c>
      <c r="AX24" s="3">
        <f t="shared" si="81"/>
        <v>208350.33852754062</v>
      </c>
      <c r="AY24" s="3">
        <f t="shared" si="81"/>
        <v>206266.83514226522</v>
      </c>
      <c r="AZ24" s="3">
        <f t="shared" si="81"/>
        <v>204204.16679084257</v>
      </c>
      <c r="BA24" s="3">
        <f t="shared" si="81"/>
        <v>202162.12512293414</v>
      </c>
      <c r="BB24" s="3">
        <f t="shared" si="81"/>
        <v>200140.5038717048</v>
      </c>
      <c r="BC24" s="3">
        <f t="shared" si="81"/>
        <v>198139.09883298774</v>
      </c>
      <c r="BD24" s="3">
        <f t="shared" si="81"/>
        <v>196157.70784465785</v>
      </c>
      <c r="BE24" s="3">
        <f t="shared" si="81"/>
        <v>194196.13076621128</v>
      </c>
      <c r="BF24" s="3">
        <f t="shared" si="81"/>
        <v>192254.16945854918</v>
      </c>
      <c r="BG24" s="3">
        <f t="shared" si="81"/>
        <v>190331.62776396368</v>
      </c>
      <c r="BH24" s="3">
        <f t="shared" si="81"/>
        <v>188428.31148632403</v>
      </c>
      <c r="BI24" s="3">
        <f t="shared" si="81"/>
        <v>186544.02837146079</v>
      </c>
      <c r="BJ24" s="3">
        <f t="shared" si="81"/>
        <v>184678.58808774618</v>
      </c>
      <c r="BK24" s="3">
        <f t="shared" si="81"/>
        <v>182831.80220686871</v>
      </c>
      <c r="BL24" s="3">
        <f t="shared" si="81"/>
        <v>181003.48418480004</v>
      </c>
      <c r="BM24" s="3">
        <f t="shared" si="81"/>
        <v>179193.44934295202</v>
      </c>
      <c r="BN24" s="3">
        <f t="shared" si="81"/>
        <v>177401.5148495225</v>
      </c>
      <c r="BO24" s="3">
        <f t="shared" si="81"/>
        <v>175627.49970102726</v>
      </c>
      <c r="BP24" s="3">
        <f t="shared" si="81"/>
        <v>173871.22470401699</v>
      </c>
      <c r="BQ24" s="3">
        <f t="shared" si="81"/>
        <v>172132.51245697681</v>
      </c>
      <c r="BR24" s="3">
        <f t="shared" si="81"/>
        <v>170411.18733240705</v>
      </c>
      <c r="BS24" s="3">
        <f t="shared" si="81"/>
        <v>168707.07545908299</v>
      </c>
      <c r="BT24" s="3">
        <f t="shared" si="81"/>
        <v>167020.00470449217</v>
      </c>
      <c r="BU24" s="3">
        <f t="shared" si="81"/>
        <v>165349.80465744724</v>
      </c>
      <c r="BV24" s="3">
        <f t="shared" si="81"/>
        <v>163696.30661087277</v>
      </c>
      <c r="BW24" s="3">
        <f t="shared" si="81"/>
        <v>162059.34354476404</v>
      </c>
      <c r="BX24" s="3">
        <f t="shared" si="81"/>
        <v>160438.7501093164</v>
      </c>
      <c r="BY24" s="3">
        <f t="shared" si="81"/>
        <v>158834.36260822325</v>
      </c>
      <c r="BZ24" s="3">
        <f t="shared" si="81"/>
        <v>157246.01898214102</v>
      </c>
      <c r="CA24" s="3">
        <f t="shared" si="81"/>
        <v>155673.55879231961</v>
      </c>
      <c r="CB24" s="3">
        <f t="shared" si="81"/>
        <v>154116.82320439641</v>
      </c>
      <c r="CC24" s="3">
        <f t="shared" si="81"/>
        <v>152575.65497235244</v>
      </c>
      <c r="CD24" s="3">
        <f t="shared" si="81"/>
        <v>151049.8984226289</v>
      </c>
      <c r="CE24" s="3">
        <f t="shared" si="81"/>
        <v>149539.39943840262</v>
      </c>
      <c r="CF24" s="3">
        <f t="shared" si="81"/>
        <v>148044.00544401858</v>
      </c>
      <c r="CG24" s="3">
        <f t="shared" si="81"/>
        <v>146563.56538957838</v>
      </c>
      <c r="CH24" s="3">
        <f t="shared" si="81"/>
        <v>145097.92973568258</v>
      </c>
      <c r="CI24" s="3">
        <f t="shared" si="81"/>
        <v>143646.95043832576</v>
      </c>
      <c r="CJ24" s="3">
        <f t="shared" si="81"/>
        <v>142210.48093394251</v>
      </c>
      <c r="CK24" s="3">
        <f t="shared" si="81"/>
        <v>140788.37612460309</v>
      </c>
      <c r="CL24" s="3">
        <f t="shared" si="81"/>
        <v>139380.49236335707</v>
      </c>
      <c r="CM24" s="3">
        <f t="shared" si="81"/>
        <v>137986.68743972349</v>
      </c>
      <c r="CN24" s="3">
        <f t="shared" si="81"/>
        <v>136606.82056532626</v>
      </c>
      <c r="CO24" s="3">
        <f t="shared" si="81"/>
        <v>135240.752359673</v>
      </c>
      <c r="CP24" s="3">
        <f t="shared" si="81"/>
        <v>133888.34483607628</v>
      </c>
      <c r="CQ24" s="3">
        <f t="shared" si="81"/>
        <v>132549.46138771554</v>
      </c>
      <c r="CR24" s="3">
        <f t="shared" si="81"/>
        <v>131223.96677383839</v>
      </c>
      <c r="CS24" s="3">
        <f t="shared" si="81"/>
        <v>129911.72710610001</v>
      </c>
    </row>
    <row r="25" spans="2:97" s="8" customFormat="1" x14ac:dyDescent="0.2">
      <c r="B25" s="10" t="s">
        <v>32</v>
      </c>
      <c r="C25" s="15">
        <f t="shared" ref="C25" si="82">C24/C26</f>
        <v>11.919318455824756</v>
      </c>
      <c r="D25" s="15"/>
      <c r="E25" s="15"/>
      <c r="F25" s="15"/>
      <c r="G25" s="15">
        <f t="shared" ref="G25" si="83">G24/G26</f>
        <v>9.8748026411774639</v>
      </c>
      <c r="H25" s="15">
        <f t="shared" ref="H25" si="84">H24/H26</f>
        <v>10.129194904399265</v>
      </c>
      <c r="I25" s="15">
        <f t="shared" ref="I25" si="85">I24/I26</f>
        <v>16.398605528022852</v>
      </c>
      <c r="J25" s="15">
        <f t="shared" ref="J25" si="86">J24/J26</f>
        <v>22.295301836540162</v>
      </c>
      <c r="K25" s="15">
        <f t="shared" ref="K25:N25" si="87">K24/K26</f>
        <v>26.287585896482916</v>
      </c>
      <c r="L25" s="15">
        <f t="shared" si="87"/>
        <v>1.3364479105356091</v>
      </c>
      <c r="M25" s="15">
        <f t="shared" si="87"/>
        <v>27.990344690984287</v>
      </c>
      <c r="N25" s="15">
        <f t="shared" si="87"/>
        <v>30.69474329100823</v>
      </c>
      <c r="O25" s="15">
        <f>O24/O26</f>
        <v>24.621339792764896</v>
      </c>
      <c r="P25" s="15">
        <f t="shared" ref="P25:R25" si="88">P24/P26</f>
        <v>1.2087015635622025</v>
      </c>
      <c r="Q25" s="15">
        <f t="shared" si="88"/>
        <v>1.0620752844162786</v>
      </c>
      <c r="R25" s="15">
        <f t="shared" si="88"/>
        <v>1.6690352164617845</v>
      </c>
      <c r="S25" s="15"/>
      <c r="T25" s="15"/>
      <c r="U25" s="15"/>
      <c r="V25" s="15"/>
      <c r="AD25" s="18">
        <f>AD24/AD26</f>
        <v>58.613331625494155</v>
      </c>
      <c r="AE25" s="18">
        <f>AE24/AE26</f>
        <v>112.19701508394893</v>
      </c>
      <c r="AF25" s="18">
        <f>AF24/AF26</f>
        <v>5.1891071612608712</v>
      </c>
      <c r="AG25" s="18">
        <f>AG24/AG26</f>
        <v>6.1491230212166945</v>
      </c>
      <c r="AH25" s="18">
        <f t="shared" ref="AH25:AN25" si="89">AH24/AH26</f>
        <v>7.2475857264830363</v>
      </c>
      <c r="AI25" s="18">
        <f t="shared" si="89"/>
        <v>8.4388084519388045</v>
      </c>
      <c r="AJ25" s="18">
        <f t="shared" si="89"/>
        <v>9.8706558769377253</v>
      </c>
      <c r="AK25" s="18">
        <f t="shared" si="89"/>
        <v>11.602108703350829</v>
      </c>
      <c r="AL25" s="18">
        <f t="shared" si="89"/>
        <v>13.29923462522577</v>
      </c>
      <c r="AM25" s="18">
        <f t="shared" si="89"/>
        <v>15.259506633211888</v>
      </c>
      <c r="AN25" s="18">
        <f t="shared" si="89"/>
        <v>17.526843161854998</v>
      </c>
    </row>
    <row r="26" spans="2:97" s="3" customFormat="1" x14ac:dyDescent="0.2">
      <c r="B26" s="3" t="s">
        <v>1</v>
      </c>
      <c r="C26" s="12">
        <v>700.87900000000002</v>
      </c>
      <c r="D26" s="12"/>
      <c r="E26" s="12"/>
      <c r="F26" s="12"/>
      <c r="G26" s="12">
        <v>692.26700000000005</v>
      </c>
      <c r="H26" s="12">
        <v>687.024</v>
      </c>
      <c r="I26" s="12">
        <v>685.851</v>
      </c>
      <c r="J26" s="12">
        <v>682.96900000000005</v>
      </c>
      <c r="K26" s="12">
        <v>682.07100000000003</v>
      </c>
      <c r="L26" s="12">
        <v>13592</v>
      </c>
      <c r="M26" s="12">
        <v>676.51900000000001</v>
      </c>
      <c r="N26" s="12">
        <v>672.49300000000005</v>
      </c>
      <c r="O26" s="12">
        <v>667.55100000000004</v>
      </c>
      <c r="P26" s="12">
        <v>13239</v>
      </c>
      <c r="Q26" s="12">
        <v>13097</v>
      </c>
      <c r="R26" s="12">
        <f>+Q26</f>
        <v>13097</v>
      </c>
      <c r="S26" s="12"/>
      <c r="T26" s="12"/>
      <c r="U26" s="12"/>
      <c r="V26" s="12"/>
      <c r="AD26" s="3">
        <v>687.02800000000002</v>
      </c>
      <c r="AE26" s="3">
        <v>677.67399999999998</v>
      </c>
      <c r="AF26" s="3">
        <f>AVERAGE(P26:R26)</f>
        <v>13144.333333333334</v>
      </c>
      <c r="AG26" s="3">
        <f>+AF26</f>
        <v>13144.333333333334</v>
      </c>
      <c r="AH26" s="3">
        <f t="shared" ref="AH26:AN26" si="90">+AG26</f>
        <v>13144.333333333334</v>
      </c>
      <c r="AI26" s="3">
        <f t="shared" si="90"/>
        <v>13144.333333333334</v>
      </c>
      <c r="AJ26" s="3">
        <f t="shared" si="90"/>
        <v>13144.333333333334</v>
      </c>
      <c r="AK26" s="3">
        <f t="shared" si="90"/>
        <v>13144.333333333334</v>
      </c>
      <c r="AL26" s="3">
        <f t="shared" si="90"/>
        <v>13144.333333333334</v>
      </c>
      <c r="AM26" s="3">
        <f t="shared" si="90"/>
        <v>13144.333333333334</v>
      </c>
      <c r="AN26" s="3">
        <f t="shared" si="90"/>
        <v>13144.333333333334</v>
      </c>
    </row>
    <row r="28" spans="2:97" s="19" customFormat="1" x14ac:dyDescent="0.2">
      <c r="B28" s="19" t="s">
        <v>34</v>
      </c>
      <c r="C28" s="17"/>
      <c r="D28" s="17"/>
      <c r="E28" s="17"/>
      <c r="F28" s="17"/>
      <c r="G28" s="17"/>
      <c r="H28" s="17"/>
      <c r="I28" s="17"/>
      <c r="J28" s="17"/>
      <c r="K28" s="17">
        <f t="shared" ref="K28:L28" si="91">K12/G12-1</f>
        <v>0.34391020189994892</v>
      </c>
      <c r="L28" s="17">
        <f t="shared" si="91"/>
        <v>0.61579235971486024</v>
      </c>
      <c r="M28" s="17">
        <f t="shared" ref="M28" si="92">M12/I12-1</f>
        <v>0.41030472353973102</v>
      </c>
      <c r="N28" s="17">
        <f t="shared" ref="N28" si="93">N12/J12-1</f>
        <v>0.32386024113325607</v>
      </c>
      <c r="O28" s="17">
        <f>O12/K12-1</f>
        <v>0.22954405756228069</v>
      </c>
      <c r="P28" s="17">
        <f t="shared" ref="P28:R28" si="94">P12/L12-1</f>
        <v>0.12613122171945701</v>
      </c>
      <c r="Q28" s="17">
        <f t="shared" si="94"/>
        <v>6.1027672840074931E-2</v>
      </c>
      <c r="R28" s="17">
        <f t="shared" si="94"/>
        <v>0.10669512114171908</v>
      </c>
      <c r="S28" s="17"/>
      <c r="T28" s="17"/>
      <c r="U28" s="17"/>
      <c r="V28" s="17"/>
      <c r="AB28" s="19">
        <f t="shared" ref="AB28:AD28" si="95">AB12/AA12-1</f>
        <v>0.23421586757475987</v>
      </c>
      <c r="AC28" s="19">
        <f t="shared" si="95"/>
        <v>0.18300089899794614</v>
      </c>
      <c r="AD28" s="19">
        <f t="shared" si="95"/>
        <v>0.12770532012826141</v>
      </c>
      <c r="AE28" s="19">
        <f>AE12/AD12-1</f>
        <v>0.41150076427049154</v>
      </c>
      <c r="AF28" s="19">
        <f>AF12/AE12-1</f>
        <v>0.12619619852738539</v>
      </c>
      <c r="AG28" s="19">
        <f t="shared" ref="AG28:AN28" si="96">AG12/AF12-1</f>
        <v>0.10192530851562509</v>
      </c>
      <c r="AH28" s="19">
        <f t="shared" si="96"/>
        <v>0.11556247138266795</v>
      </c>
      <c r="AI28" s="19">
        <f t="shared" si="96"/>
        <v>0.11124265771352571</v>
      </c>
      <c r="AJ28" s="19">
        <f t="shared" si="96"/>
        <v>0.11747668944902112</v>
      </c>
      <c r="AK28" s="19">
        <f t="shared" si="96"/>
        <v>0.12433478151472821</v>
      </c>
      <c r="AL28" s="19">
        <f t="shared" si="96"/>
        <v>0.10871368123786351</v>
      </c>
      <c r="AM28" s="19">
        <f t="shared" si="96"/>
        <v>0.11157127966737113</v>
      </c>
      <c r="AN28" s="19">
        <f t="shared" si="96"/>
        <v>0.11448380392014212</v>
      </c>
      <c r="AP28" s="19" t="s">
        <v>72</v>
      </c>
      <c r="AQ28" s="19">
        <v>-0.01</v>
      </c>
    </row>
    <row r="29" spans="2:97" s="19" customFormat="1" x14ac:dyDescent="0.2">
      <c r="B29" s="19" t="s">
        <v>48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>
        <v>0.16</v>
      </c>
      <c r="Q29" s="17"/>
      <c r="R29" s="17"/>
      <c r="S29" s="17"/>
      <c r="T29" s="17"/>
      <c r="U29" s="17"/>
      <c r="V29" s="17"/>
      <c r="AP29" s="19" t="s">
        <v>73</v>
      </c>
      <c r="AQ29" s="19">
        <v>0.08</v>
      </c>
    </row>
    <row r="30" spans="2:97" s="22" customFormat="1" x14ac:dyDescent="0.2">
      <c r="B30" s="22" t="s">
        <v>49</v>
      </c>
      <c r="C30" s="21"/>
      <c r="D30" s="21"/>
      <c r="E30" s="21"/>
      <c r="F30" s="21"/>
      <c r="G30" s="21"/>
      <c r="H30" s="21"/>
      <c r="I30" s="21"/>
      <c r="J30" s="21"/>
      <c r="K30" s="21">
        <f t="shared" ref="K30" si="97">+K10/G10-1</f>
        <v>0.30107746306423966</v>
      </c>
      <c r="L30" s="21">
        <f t="shared" ref="L30:O30" si="98">+L10/H10-1</f>
        <v>0.68136404146535945</v>
      </c>
      <c r="M30" s="21">
        <f t="shared" si="98"/>
        <v>0.43997266307236682</v>
      </c>
      <c r="N30" s="21">
        <f t="shared" si="98"/>
        <v>0.35727047613077145</v>
      </c>
      <c r="O30" s="21">
        <f t="shared" si="98"/>
        <v>0.24276169265033398</v>
      </c>
      <c r="P30" s="21">
        <f>+P10/L10-1</f>
        <v>0.13513739712651684</v>
      </c>
      <c r="Q30" s="21">
        <f>+Q10/M10-1</f>
        <v>4.2530190370722032E-2</v>
      </c>
      <c r="R30" s="21">
        <f>+R10/N10-1</f>
        <v>0.10000000000000009</v>
      </c>
      <c r="S30" s="21"/>
      <c r="T30" s="21"/>
      <c r="U30" s="21"/>
      <c r="V30" s="21"/>
      <c r="AB30" s="22">
        <f t="shared" ref="AB30:AF30" si="99">+AB10/AA10-1</f>
        <v>0.22181318130380601</v>
      </c>
      <c r="AC30" s="22">
        <f t="shared" si="99"/>
        <v>0.15028840742824978</v>
      </c>
      <c r="AD30" s="22">
        <f t="shared" si="99"/>
        <v>6.0612546501554343E-2</v>
      </c>
      <c r="AE30" s="22">
        <f t="shared" si="99"/>
        <v>0.43136783840402826</v>
      </c>
      <c r="AF30" s="22">
        <f t="shared" si="99"/>
        <v>0.12437714416150292</v>
      </c>
      <c r="AG30" s="22">
        <f>+AG10/AF10-1</f>
        <v>0.10000000000000009</v>
      </c>
      <c r="AH30" s="21">
        <f t="shared" ref="AH30:AN30" si="100">+AH10/AG10-1</f>
        <v>0.10000000000000009</v>
      </c>
      <c r="AI30" s="21">
        <f t="shared" si="100"/>
        <v>0.10000000000000009</v>
      </c>
      <c r="AJ30" s="21">
        <f t="shared" si="100"/>
        <v>0.10000000000000009</v>
      </c>
      <c r="AK30" s="21">
        <f t="shared" si="100"/>
        <v>0.10000000000000009</v>
      </c>
      <c r="AL30" s="21">
        <f t="shared" si="100"/>
        <v>0.10000000000000009</v>
      </c>
      <c r="AM30" s="21">
        <f t="shared" si="100"/>
        <v>0.10000000000000009</v>
      </c>
      <c r="AN30" s="21">
        <f t="shared" si="100"/>
        <v>0.10000000000000009</v>
      </c>
      <c r="AP30" s="22" t="s">
        <v>74</v>
      </c>
      <c r="AQ30" s="22">
        <v>0.01</v>
      </c>
    </row>
    <row r="31" spans="2:97" s="22" customFormat="1" x14ac:dyDescent="0.2">
      <c r="B31" s="22" t="s">
        <v>50</v>
      </c>
      <c r="C31" s="21"/>
      <c r="D31" s="21"/>
      <c r="E31" s="21"/>
      <c r="F31" s="21"/>
      <c r="G31" s="21"/>
      <c r="H31" s="21"/>
      <c r="I31" s="21"/>
      <c r="J31" s="21"/>
      <c r="K31" s="21">
        <f t="shared" ref="K31" si="101">+K9/G9-1</f>
        <v>0.48712233779098568</v>
      </c>
      <c r="L31" s="21">
        <f t="shared" ref="L31:R31" si="102">+L9/H9-1</f>
        <v>0.83683105981112282</v>
      </c>
      <c r="M31" s="21">
        <f t="shared" si="102"/>
        <v>0.4304149295215407</v>
      </c>
      <c r="N31" s="21">
        <f t="shared" si="102"/>
        <v>0.25388525780682647</v>
      </c>
      <c r="O31" s="21">
        <f t="shared" si="102"/>
        <v>0.143880099916736</v>
      </c>
      <c r="P31" s="21">
        <f t="shared" si="102"/>
        <v>4.8271922307911996E-2</v>
      </c>
      <c r="Q31" s="21">
        <f t="shared" si="102"/>
        <v>-1.8598195697432374E-2</v>
      </c>
      <c r="R31" s="21">
        <f t="shared" si="102"/>
        <v>6.0000000000000053E-2</v>
      </c>
      <c r="S31" s="21"/>
      <c r="T31" s="21"/>
      <c r="U31" s="21"/>
      <c r="V31" s="21"/>
      <c r="AB31" s="22">
        <f t="shared" ref="AB31:AE31" si="103">+AB9/AA9-1</f>
        <v>0.36871165644171788</v>
      </c>
      <c r="AC31" s="22">
        <f t="shared" si="103"/>
        <v>0.35804571940833707</v>
      </c>
      <c r="AD31" s="22">
        <f t="shared" si="103"/>
        <v>0.30516865799722748</v>
      </c>
      <c r="AE31" s="22">
        <f t="shared" si="103"/>
        <v>0.45888124620675708</v>
      </c>
      <c r="AF31" s="22">
        <f>+AF9/AE9-1</f>
        <v>5.4982839313572507E-2</v>
      </c>
      <c r="AG31" s="22">
        <f>+AG9/AF9-1</f>
        <v>5.0000000000000044E-2</v>
      </c>
      <c r="AH31" s="21">
        <f t="shared" ref="AH31:AN31" si="104">+AH9/AG9-1</f>
        <v>5.0000000000000044E-2</v>
      </c>
      <c r="AI31" s="21">
        <f t="shared" si="104"/>
        <v>5.0000000000000044E-2</v>
      </c>
      <c r="AJ31" s="21">
        <f t="shared" si="104"/>
        <v>5.0000000000000044E-2</v>
      </c>
      <c r="AK31" s="21">
        <f t="shared" si="104"/>
        <v>5.0000000000000044E-2</v>
      </c>
      <c r="AL31" s="21">
        <f t="shared" si="104"/>
        <v>5.0000000000000044E-2</v>
      </c>
      <c r="AM31" s="21">
        <f t="shared" si="104"/>
        <v>5.0000000000000044E-2</v>
      </c>
      <c r="AN31" s="21">
        <f t="shared" si="104"/>
        <v>5.0000000000000044E-2</v>
      </c>
      <c r="AP31" s="22" t="s">
        <v>75</v>
      </c>
      <c r="AQ31" s="20">
        <f>NPV(AQ29,AG24:CS24)+Main!L5-Main!L6</f>
        <v>2295836.3890811075</v>
      </c>
    </row>
    <row r="32" spans="2:97" s="5" customFormat="1" x14ac:dyDescent="0.2">
      <c r="B32" s="5" t="s">
        <v>42</v>
      </c>
      <c r="C32" s="16"/>
      <c r="D32" s="16"/>
      <c r="E32" s="16"/>
      <c r="F32" s="16"/>
      <c r="G32" s="16"/>
      <c r="H32" s="16"/>
      <c r="I32" s="16"/>
      <c r="J32" s="16"/>
      <c r="K32" s="16">
        <f t="shared" ref="K32" si="105">K11/G11-1</f>
        <v>0.33980836693020566</v>
      </c>
      <c r="L32" s="16">
        <f t="shared" ref="L32" si="106">L11/H11-1</f>
        <v>0.63090508988025484</v>
      </c>
      <c r="M32" s="16">
        <f t="shared" ref="M32" si="107">M11/I11-1</f>
        <v>0.40661921875367013</v>
      </c>
      <c r="N32" s="16">
        <f t="shared" ref="N32" si="108">N11/J11-1</f>
        <v>0.31257919921320898</v>
      </c>
      <c r="O32" s="16">
        <f>O11/K11-1</f>
        <v>0.20114111532299028</v>
      </c>
      <c r="P32" s="16">
        <f t="shared" ref="P32:R32" si="109">P11/L11-1</f>
        <v>0.10117931554138115</v>
      </c>
      <c r="Q32" s="16">
        <f t="shared" si="109"/>
        <v>2.4931534299645897E-2</v>
      </c>
      <c r="R32" s="16">
        <f t="shared" si="109"/>
        <v>8.6792651296830003E-2</v>
      </c>
      <c r="S32" s="16"/>
      <c r="T32" s="16"/>
      <c r="U32" s="16"/>
      <c r="V32" s="16"/>
      <c r="AB32" s="5">
        <f t="shared" ref="AB32:AF32" si="110">+AB11/AA11-1</f>
        <v>0.22568104346846218</v>
      </c>
      <c r="AC32" s="5">
        <f t="shared" si="110"/>
        <v>0.16319604057491333</v>
      </c>
      <c r="AD32" s="5">
        <f t="shared" si="110"/>
        <v>0.11071957846204517</v>
      </c>
      <c r="AE32" s="5">
        <f t="shared" si="110"/>
        <v>0.40853915260770313</v>
      </c>
      <c r="AF32" s="5">
        <f t="shared" si="110"/>
        <v>9.9290655035806141E-2</v>
      </c>
      <c r="AG32" s="5">
        <f>+AG11/AF11-1</f>
        <v>7.7228583932169581E-2</v>
      </c>
      <c r="AH32" s="16">
        <f t="shared" ref="AH32:AN32" si="111">+AH11/AG11-1</f>
        <v>7.8118755801603212E-2</v>
      </c>
      <c r="AI32" s="16">
        <f t="shared" si="111"/>
        <v>7.8989996463362022E-2</v>
      </c>
      <c r="AJ32" s="16">
        <f t="shared" si="111"/>
        <v>7.9841390287512359E-2</v>
      </c>
      <c r="AK32" s="16">
        <f t="shared" si="111"/>
        <v>8.067213363666359E-2</v>
      </c>
      <c r="AL32" s="16">
        <f t="shared" si="111"/>
        <v>8.1481534895198715E-2</v>
      </c>
      <c r="AM32" s="16">
        <f t="shared" si="111"/>
        <v>8.2269013375310784E-2</v>
      </c>
      <c r="AN32" s="16">
        <f t="shared" si="111"/>
        <v>8.3034097192792311E-2</v>
      </c>
      <c r="AP32" s="22" t="s">
        <v>76</v>
      </c>
      <c r="AQ32" s="1">
        <f>+AQ31/Main!L3</f>
        <v>173.41463774311561</v>
      </c>
    </row>
    <row r="33" spans="2:40" s="5" customFormat="1" x14ac:dyDescent="0.2">
      <c r="B33" s="5" t="s">
        <v>43</v>
      </c>
      <c r="C33" s="16"/>
      <c r="D33" s="16"/>
      <c r="E33" s="16"/>
      <c r="F33" s="16"/>
      <c r="G33" s="16"/>
      <c r="H33" s="16"/>
      <c r="I33" s="16"/>
      <c r="J33" s="16"/>
      <c r="K33" s="16">
        <f t="shared" ref="K33" si="112">K6/G6-1</f>
        <v>0.4573280518545193</v>
      </c>
      <c r="L33" s="16">
        <f t="shared" ref="L33" si="113">L6/H6-1</f>
        <v>0.53907549052211512</v>
      </c>
      <c r="M33" s="16">
        <f t="shared" ref="M33" si="114">M6/I6-1</f>
        <v>0.44889663182346107</v>
      </c>
      <c r="N33" s="16">
        <f t="shared" ref="N33" si="115">N6/J6-1</f>
        <v>0.44635865309318712</v>
      </c>
      <c r="O33" s="16">
        <f>O6/K6-1</f>
        <v>0.4383493946132937</v>
      </c>
      <c r="P33" s="16">
        <f t="shared" ref="P33:R33" si="116">P6/L6-1</f>
        <v>0.35609334485738975</v>
      </c>
      <c r="Q33" s="16">
        <f t="shared" si="116"/>
        <v>0.37635270541082155</v>
      </c>
      <c r="R33" s="16">
        <f t="shared" si="116"/>
        <v>0.39999999999999991</v>
      </c>
      <c r="S33" s="16"/>
      <c r="T33" s="16"/>
      <c r="U33" s="16"/>
      <c r="V33" s="16"/>
      <c r="AB33" s="5">
        <f t="shared" ref="AB33:AF33" si="117">+AB6/AA6-1</f>
        <v>0.43934911242603558</v>
      </c>
      <c r="AC33" s="5">
        <f t="shared" si="117"/>
        <v>0.52757793764988015</v>
      </c>
      <c r="AD33" s="5">
        <f t="shared" si="117"/>
        <v>0.46434178066831122</v>
      </c>
      <c r="AE33" s="5">
        <f t="shared" si="117"/>
        <v>0.47070985527222597</v>
      </c>
      <c r="AF33" s="5">
        <f t="shared" si="117"/>
        <v>0.39135686764552746</v>
      </c>
      <c r="AG33" s="5">
        <f>+AG6/AF6-1</f>
        <v>0.39999999999999991</v>
      </c>
      <c r="AH33" s="16">
        <f t="shared" ref="AH33:AN33" si="118">+AH6/AG6-1</f>
        <v>0.39999999999999991</v>
      </c>
      <c r="AI33" s="16">
        <f t="shared" si="118"/>
        <v>0.30000000000000004</v>
      </c>
      <c r="AJ33" s="16">
        <f t="shared" si="118"/>
        <v>0.30000000000000004</v>
      </c>
      <c r="AK33" s="16">
        <f t="shared" si="118"/>
        <v>0.30000000000000004</v>
      </c>
      <c r="AL33" s="16">
        <f t="shared" si="118"/>
        <v>0.19999999999999996</v>
      </c>
      <c r="AM33" s="16">
        <f t="shared" si="118"/>
        <v>0.19999999999999996</v>
      </c>
      <c r="AN33" s="16">
        <f t="shared" si="118"/>
        <v>0.19999999999999996</v>
      </c>
    </row>
    <row r="34" spans="2:40" s="5" customFormat="1" x14ac:dyDescent="0.2">
      <c r="B34" s="5" t="s">
        <v>33</v>
      </c>
      <c r="C34" s="16"/>
      <c r="D34" s="16"/>
      <c r="E34" s="16"/>
      <c r="F34" s="16"/>
      <c r="G34" s="16">
        <f t="shared" ref="G34:H34" si="119">G15/G12</f>
        <v>0.53881289632887097</v>
      </c>
      <c r="H34" s="16">
        <f t="shared" si="119"/>
        <v>0.51554952085019712</v>
      </c>
      <c r="I34" s="16">
        <f t="shared" ref="I34" si="120">I15/I12</f>
        <v>0.54265479825872265</v>
      </c>
      <c r="J34" s="16">
        <f t="shared" ref="J34" si="121">J15/J12</f>
        <v>0.54163590987380927</v>
      </c>
      <c r="K34" s="16">
        <f>K15/K12</f>
        <v>0.56425136493473627</v>
      </c>
      <c r="L34" s="16">
        <f t="shared" ref="L34:O34" si="122">L15/L12</f>
        <v>0.57616354234001288</v>
      </c>
      <c r="M34" s="16">
        <f t="shared" si="122"/>
        <v>0.57583156730857832</v>
      </c>
      <c r="N34" s="16">
        <f t="shared" si="122"/>
        <v>0.56205774975107869</v>
      </c>
      <c r="O34" s="16">
        <f t="shared" si="122"/>
        <v>0.5647909896928438</v>
      </c>
      <c r="P34" s="16">
        <f t="shared" ref="P34:R34" si="123">P15/P12</f>
        <v>0.56799885197675248</v>
      </c>
      <c r="Q34" s="16">
        <f t="shared" si="123"/>
        <v>0.54903606785156023</v>
      </c>
      <c r="R34" s="16">
        <f t="shared" si="123"/>
        <v>0.57499999999999996</v>
      </c>
      <c r="S34" s="16"/>
      <c r="T34" s="16"/>
      <c r="U34" s="16"/>
      <c r="V34" s="16"/>
      <c r="AD34" s="5">
        <f t="shared" ref="AD34" si="124">AD15/AD12</f>
        <v>0.53578374706207854</v>
      </c>
      <c r="AE34" s="5">
        <f>AE15/AE12</f>
        <v>0.5693980290098084</v>
      </c>
      <c r="AF34" s="5">
        <f t="shared" ref="AF34:AG34" si="125">AF15/AF12</f>
        <v>0.56474288489108437</v>
      </c>
      <c r="AG34" s="5">
        <f t="shared" si="125"/>
        <v>0.56999999999999995</v>
      </c>
      <c r="AH34" s="16">
        <f t="shared" ref="AH34:AN34" si="126">AH15/AH12</f>
        <v>0.56999999999999995</v>
      </c>
      <c r="AI34" s="16">
        <f t="shared" si="126"/>
        <v>0.56999999999999995</v>
      </c>
      <c r="AJ34" s="16">
        <f t="shared" si="126"/>
        <v>0.56999999999999995</v>
      </c>
      <c r="AK34" s="16">
        <f t="shared" si="126"/>
        <v>0.56999999999999995</v>
      </c>
      <c r="AL34" s="16">
        <f t="shared" si="126"/>
        <v>0.56999999999999995</v>
      </c>
      <c r="AM34" s="16">
        <f t="shared" si="126"/>
        <v>0.56999999999999995</v>
      </c>
      <c r="AN34" s="16">
        <f t="shared" si="126"/>
        <v>0.56999999999999995</v>
      </c>
    </row>
    <row r="35" spans="2:40" s="5" customFormat="1" x14ac:dyDescent="0.2">
      <c r="B35" s="5" t="s">
        <v>70</v>
      </c>
      <c r="C35" s="16"/>
      <c r="D35" s="16"/>
      <c r="E35" s="16"/>
      <c r="F35" s="16"/>
      <c r="G35" s="16">
        <f t="shared" ref="G35" si="127">+G23/G22</f>
        <v>0.11873146835116669</v>
      </c>
      <c r="H35" s="16">
        <f>+H23/H22</f>
        <v>0.15923643832306392</v>
      </c>
      <c r="I35" s="16">
        <f t="shared" ref="I35:R35" si="128">+I23/I22</f>
        <v>0.15809566584325174</v>
      </c>
      <c r="J35" s="16">
        <f t="shared" si="128"/>
        <v>0.18524265610787094</v>
      </c>
      <c r="K35" s="16">
        <f t="shared" si="128"/>
        <v>0.15754357938260583</v>
      </c>
      <c r="L35" s="16">
        <f t="shared" si="128"/>
        <v>0.16</v>
      </c>
      <c r="M35" s="16">
        <f t="shared" si="128"/>
        <v>0.17898022892819979</v>
      </c>
      <c r="N35" s="16">
        <f t="shared" si="128"/>
        <v>0.15408573067781328</v>
      </c>
      <c r="O35" s="16">
        <f t="shared" si="128"/>
        <v>0.13193197422625963</v>
      </c>
      <c r="P35" s="16">
        <f t="shared" si="128"/>
        <v>0.15840959293152415</v>
      </c>
      <c r="Q35" s="16">
        <f t="shared" si="128"/>
        <v>0.14310355448777182</v>
      </c>
      <c r="R35" s="16">
        <f t="shared" si="128"/>
        <v>0.16</v>
      </c>
      <c r="S35" s="16"/>
      <c r="T35" s="16"/>
      <c r="U35" s="16"/>
      <c r="V35" s="16"/>
      <c r="AD35" s="16">
        <f t="shared" ref="AD35:AG35" si="129">+AD23/AD22</f>
        <v>0.16249324071378063</v>
      </c>
      <c r="AE35" s="16">
        <f t="shared" si="129"/>
        <v>0.16202305640663919</v>
      </c>
      <c r="AF35" s="16">
        <f t="shared" si="129"/>
        <v>0.14957708374562165</v>
      </c>
      <c r="AG35" s="16">
        <f t="shared" si="129"/>
        <v>0.18000000000000002</v>
      </c>
      <c r="AH35" s="16">
        <f t="shared" ref="AH35:AN35" si="130">+AH23/AH22</f>
        <v>0.18</v>
      </c>
      <c r="AI35" s="16">
        <f t="shared" si="130"/>
        <v>0.18</v>
      </c>
      <c r="AJ35" s="16">
        <f t="shared" si="130"/>
        <v>0.18</v>
      </c>
      <c r="AK35" s="16">
        <f t="shared" si="130"/>
        <v>0.18</v>
      </c>
      <c r="AL35" s="16">
        <f t="shared" si="130"/>
        <v>0.18</v>
      </c>
      <c r="AM35" s="16">
        <f t="shared" si="130"/>
        <v>0.18</v>
      </c>
      <c r="AN35" s="16">
        <f t="shared" si="130"/>
        <v>0.18</v>
      </c>
    </row>
    <row r="36" spans="2:40" s="5" customFormat="1" x14ac:dyDescent="0.2">
      <c r="B36" s="5" t="s">
        <v>47</v>
      </c>
      <c r="C36" s="16"/>
      <c r="D36" s="16"/>
      <c r="E36" s="16"/>
      <c r="F36" s="16"/>
      <c r="G36" s="16">
        <f t="shared" ref="G36:H36" si="131">G10/G12</f>
        <v>0.5953011492018756</v>
      </c>
      <c r="H36" s="16">
        <f t="shared" si="131"/>
        <v>0.55667545760764547</v>
      </c>
      <c r="I36" s="16">
        <f t="shared" ref="I36" si="132">I10/I12</f>
        <v>0.57041994239057459</v>
      </c>
      <c r="J36" s="16">
        <f>J10/J12</f>
        <v>0.56070512144539353</v>
      </c>
      <c r="K36" s="16">
        <f t="shared" ref="K36:O36" si="133">K10/K12</f>
        <v>0.57632787359438842</v>
      </c>
      <c r="L36" s="16">
        <f t="shared" si="133"/>
        <v>0.57926632191338079</v>
      </c>
      <c r="M36" s="16">
        <f t="shared" si="133"/>
        <v>0.58241960748180222</v>
      </c>
      <c r="N36" s="16">
        <f t="shared" si="133"/>
        <v>0.5748556256223033</v>
      </c>
      <c r="O36" s="16">
        <f t="shared" si="133"/>
        <v>0.58252341532987306</v>
      </c>
      <c r="P36" s="16">
        <f t="shared" ref="P36:R36" si="134">P10/P12</f>
        <v>0.58389897395422252</v>
      </c>
      <c r="Q36" s="16">
        <f t="shared" si="134"/>
        <v>0.57226596422161757</v>
      </c>
      <c r="R36" s="16">
        <f t="shared" si="134"/>
        <v>0.57137794872736092</v>
      </c>
      <c r="S36" s="16"/>
      <c r="T36" s="16"/>
      <c r="U36" s="16"/>
      <c r="V36" s="16"/>
      <c r="AD36" s="16">
        <f t="shared" ref="AD36:AG36" si="135">AD10/AD12</f>
        <v>0.57011839344316184</v>
      </c>
      <c r="AE36" s="16">
        <f t="shared" si="135"/>
        <v>0.57814289096674776</v>
      </c>
      <c r="AF36" s="16">
        <f t="shared" si="135"/>
        <v>0.57720906313879716</v>
      </c>
      <c r="AG36" s="16">
        <f t="shared" si="135"/>
        <v>0.57620055056905317</v>
      </c>
      <c r="AH36" s="16">
        <f t="shared" ref="AH36:AN36" si="136">AH10/AH12</f>
        <v>0.56816235924499925</v>
      </c>
      <c r="AI36" s="16">
        <f t="shared" si="136"/>
        <v>0.5624141503489839</v>
      </c>
      <c r="AJ36" s="16">
        <f t="shared" si="136"/>
        <v>0.55361831814936058</v>
      </c>
      <c r="AK36" s="16">
        <f t="shared" si="136"/>
        <v>0.54163596108257495</v>
      </c>
      <c r="AL36" s="16">
        <f t="shared" si="136"/>
        <v>0.53737909730276834</v>
      </c>
      <c r="AM36" s="16">
        <f t="shared" si="136"/>
        <v>0.53178506664002001</v>
      </c>
      <c r="AN36" s="16">
        <f t="shared" si="136"/>
        <v>0.52487400108143456</v>
      </c>
    </row>
    <row r="38" spans="2:40" x14ac:dyDescent="0.2">
      <c r="B38" s="3" t="s">
        <v>71</v>
      </c>
      <c r="G38" s="12">
        <f>+G39-G57</f>
        <v>124580</v>
      </c>
      <c r="P38" s="12">
        <f>+P39-P57</f>
        <v>140928</v>
      </c>
      <c r="Q38" s="12">
        <f>+Q39-Q57</f>
        <v>132025</v>
      </c>
      <c r="R38" s="12">
        <f>+Q38+R24</f>
        <v>153884.35423</v>
      </c>
      <c r="S38" s="12"/>
      <c r="T38" s="12"/>
      <c r="U38" s="12"/>
      <c r="V38" s="12"/>
      <c r="AF38" s="3">
        <f>+R38</f>
        <v>153884.35423</v>
      </c>
      <c r="AG38" s="3">
        <f>+AF38+AG24</f>
        <v>234710.47692854598</v>
      </c>
      <c r="AH38" s="3">
        <f t="shared" ref="AH38:AN38" si="137">+AG38+AH24</f>
        <v>329975.15957934782</v>
      </c>
      <c r="AI38" s="3">
        <f t="shared" si="137"/>
        <v>440897.67080778209</v>
      </c>
      <c r="AJ38" s="3">
        <f t="shared" si="137"/>
        <v>570640.86187287723</v>
      </c>
      <c r="AK38" s="3">
        <f t="shared" si="137"/>
        <v>723142.84603928833</v>
      </c>
      <c r="AL38" s="3">
        <f t="shared" si="137"/>
        <v>897952.41903146426</v>
      </c>
      <c r="AM38" s="3">
        <f t="shared" si="137"/>
        <v>1098528.4607206124</v>
      </c>
      <c r="AN38" s="3">
        <f t="shared" si="137"/>
        <v>1328907.1295210884</v>
      </c>
    </row>
    <row r="39" spans="2:40" s="3" customFormat="1" x14ac:dyDescent="0.2">
      <c r="B39" s="3" t="s">
        <v>3</v>
      </c>
      <c r="C39" s="12"/>
      <c r="D39" s="12"/>
      <c r="E39" s="12"/>
      <c r="F39" s="12"/>
      <c r="G39" s="12">
        <f>117229+12367</f>
        <v>129596</v>
      </c>
      <c r="H39" s="12"/>
      <c r="I39" s="12"/>
      <c r="J39" s="12"/>
      <c r="K39" s="12"/>
      <c r="L39" s="12"/>
      <c r="M39" s="12"/>
      <c r="N39" s="12"/>
      <c r="O39" s="12"/>
      <c r="P39" s="12">
        <f>124997+30665</f>
        <v>155662</v>
      </c>
      <c r="Q39" s="12">
        <f>21984+94275+30419</f>
        <v>146678</v>
      </c>
      <c r="R39" s="12"/>
      <c r="S39" s="12"/>
      <c r="T39" s="12"/>
      <c r="U39" s="12"/>
      <c r="V39" s="12"/>
    </row>
    <row r="40" spans="2:40" s="3" customFormat="1" x14ac:dyDescent="0.2">
      <c r="B40" s="3" t="s">
        <v>53</v>
      </c>
      <c r="C40" s="12"/>
      <c r="D40" s="12"/>
      <c r="E40" s="12"/>
      <c r="F40" s="12"/>
      <c r="G40" s="12">
        <v>21825</v>
      </c>
      <c r="H40" s="12"/>
      <c r="I40" s="12"/>
      <c r="J40" s="12"/>
      <c r="K40" s="12"/>
      <c r="L40" s="12"/>
      <c r="M40" s="12"/>
      <c r="N40" s="12"/>
      <c r="O40" s="12"/>
      <c r="P40" s="12">
        <v>35707</v>
      </c>
      <c r="Q40" s="12">
        <v>34697</v>
      </c>
      <c r="R40" s="12"/>
      <c r="S40" s="12"/>
      <c r="T40" s="12"/>
      <c r="U40" s="12"/>
      <c r="V40" s="12"/>
    </row>
    <row r="41" spans="2:40" s="3" customFormat="1" x14ac:dyDescent="0.2">
      <c r="B41" s="3" t="s">
        <v>30</v>
      </c>
      <c r="C41" s="12"/>
      <c r="D41" s="12"/>
      <c r="E41" s="12"/>
      <c r="F41" s="12"/>
      <c r="G41" s="12">
        <v>1910</v>
      </c>
      <c r="H41" s="12"/>
      <c r="I41" s="12"/>
      <c r="J41" s="12"/>
      <c r="K41" s="12"/>
      <c r="L41" s="12"/>
      <c r="M41" s="12"/>
      <c r="N41" s="12"/>
      <c r="O41" s="12"/>
      <c r="P41" s="12">
        <v>1366</v>
      </c>
      <c r="Q41" s="12">
        <v>1479</v>
      </c>
      <c r="R41" s="12"/>
      <c r="S41" s="12"/>
      <c r="T41" s="12"/>
      <c r="U41" s="12"/>
      <c r="V41" s="12"/>
    </row>
    <row r="42" spans="2:40" s="3" customFormat="1" x14ac:dyDescent="0.2">
      <c r="B42" s="3" t="s">
        <v>54</v>
      </c>
      <c r="C42" s="12"/>
      <c r="D42" s="12"/>
      <c r="E42" s="12"/>
      <c r="F42" s="12"/>
      <c r="G42" s="12">
        <v>889</v>
      </c>
      <c r="H42" s="12"/>
      <c r="I42" s="12"/>
      <c r="J42" s="12"/>
      <c r="K42" s="12"/>
      <c r="L42" s="12"/>
      <c r="M42" s="12"/>
      <c r="N42" s="12"/>
      <c r="O42" s="12"/>
      <c r="P42" s="12">
        <v>1980</v>
      </c>
      <c r="Q42" s="12">
        <v>3156</v>
      </c>
      <c r="R42" s="12"/>
      <c r="S42" s="12"/>
      <c r="T42" s="12"/>
      <c r="U42" s="12"/>
      <c r="V42" s="12"/>
    </row>
    <row r="43" spans="2:40" s="3" customFormat="1" x14ac:dyDescent="0.2">
      <c r="B43" s="3" t="s">
        <v>55</v>
      </c>
      <c r="C43" s="12"/>
      <c r="D43" s="12"/>
      <c r="E43" s="12"/>
      <c r="F43" s="12"/>
      <c r="G43" s="12">
        <v>5165</v>
      </c>
      <c r="H43" s="12"/>
      <c r="I43" s="12"/>
      <c r="J43" s="12"/>
      <c r="K43" s="12"/>
      <c r="L43" s="12"/>
      <c r="M43" s="12"/>
      <c r="N43" s="12"/>
      <c r="O43" s="12"/>
      <c r="P43" s="12">
        <v>8321</v>
      </c>
      <c r="Q43" s="12">
        <v>10518</v>
      </c>
      <c r="R43" s="12"/>
      <c r="S43" s="12"/>
      <c r="T43" s="12"/>
      <c r="U43" s="12"/>
      <c r="V43" s="12"/>
    </row>
    <row r="44" spans="2:40" x14ac:dyDescent="0.2">
      <c r="B44" s="3" t="s">
        <v>56</v>
      </c>
      <c r="G44" s="12">
        <v>730</v>
      </c>
      <c r="P44" s="12">
        <v>1490</v>
      </c>
      <c r="Q44" s="12">
        <v>2991</v>
      </c>
      <c r="R44" s="12"/>
      <c r="S44" s="12"/>
      <c r="T44" s="12"/>
      <c r="U44" s="12"/>
      <c r="V44" s="12"/>
    </row>
    <row r="45" spans="2:40" x14ac:dyDescent="0.2">
      <c r="B45" s="3" t="s">
        <v>57</v>
      </c>
      <c r="G45" s="12">
        <v>76747</v>
      </c>
      <c r="P45" s="12">
        <v>106223</v>
      </c>
      <c r="Q45" s="12">
        <v>108363</v>
      </c>
      <c r="R45" s="12"/>
      <c r="S45" s="12"/>
      <c r="T45" s="12"/>
      <c r="U45" s="12"/>
      <c r="V45" s="12"/>
    </row>
    <row r="46" spans="2:40" x14ac:dyDescent="0.2">
      <c r="B46" s="3" t="s">
        <v>58</v>
      </c>
      <c r="G46" s="12">
        <v>11219</v>
      </c>
      <c r="P46" s="12">
        <v>13398</v>
      </c>
      <c r="Q46" s="12">
        <v>13677</v>
      </c>
      <c r="R46" s="12"/>
      <c r="S46" s="12"/>
      <c r="T46" s="12"/>
      <c r="U46" s="12"/>
      <c r="V46" s="12"/>
    </row>
    <row r="47" spans="2:40" x14ac:dyDescent="0.2">
      <c r="B47" s="3" t="s">
        <v>61</v>
      </c>
      <c r="G47" s="12">
        <f>1840+20734</f>
        <v>22574</v>
      </c>
      <c r="P47" s="12">
        <f>1377+23949</f>
        <v>25326</v>
      </c>
      <c r="Q47" s="12">
        <f>28834+2192</f>
        <v>31026</v>
      </c>
      <c r="R47" s="12"/>
      <c r="S47" s="12"/>
      <c r="T47" s="12"/>
      <c r="U47" s="12"/>
      <c r="V47" s="12"/>
    </row>
    <row r="48" spans="2:40" x14ac:dyDescent="0.2">
      <c r="B48" s="3" t="s">
        <v>60</v>
      </c>
      <c r="G48" s="12">
        <v>2748</v>
      </c>
      <c r="P48" s="12">
        <v>5712</v>
      </c>
      <c r="Q48" s="12">
        <v>5670</v>
      </c>
      <c r="R48" s="12"/>
      <c r="S48" s="12"/>
      <c r="T48" s="12"/>
      <c r="U48" s="12"/>
      <c r="V48" s="12"/>
    </row>
    <row r="49" spans="2:22" x14ac:dyDescent="0.2">
      <c r="B49" s="3" t="s">
        <v>59</v>
      </c>
      <c r="G49" s="12">
        <f>SUM(G39:G48)</f>
        <v>273403</v>
      </c>
      <c r="P49" s="12">
        <f>SUM(P39:P48)</f>
        <v>355185</v>
      </c>
      <c r="Q49" s="12">
        <f>SUM(Q39:Q48)</f>
        <v>358255</v>
      </c>
      <c r="R49" s="12"/>
      <c r="S49" s="12"/>
      <c r="T49" s="12"/>
      <c r="U49" s="12"/>
      <c r="V49" s="12"/>
    </row>
    <row r="50" spans="2:22" x14ac:dyDescent="0.2">
      <c r="B50" s="3"/>
      <c r="G50" s="12"/>
      <c r="P50" s="12"/>
      <c r="Q50" s="12"/>
      <c r="R50" s="12"/>
      <c r="S50" s="12"/>
      <c r="T50" s="12"/>
      <c r="U50" s="12"/>
      <c r="V50" s="12"/>
    </row>
    <row r="51" spans="2:22" x14ac:dyDescent="0.2">
      <c r="B51" s="3" t="s">
        <v>62</v>
      </c>
      <c r="G51" s="12">
        <v>4099</v>
      </c>
      <c r="P51" s="12">
        <v>4409</v>
      </c>
      <c r="Q51" s="12">
        <v>6303</v>
      </c>
      <c r="R51" s="12"/>
      <c r="S51" s="12"/>
      <c r="T51" s="12"/>
      <c r="U51" s="12"/>
      <c r="V51" s="12"/>
    </row>
    <row r="52" spans="2:22" x14ac:dyDescent="0.2">
      <c r="B52" s="3" t="s">
        <v>63</v>
      </c>
      <c r="G52" s="12">
        <v>5656</v>
      </c>
      <c r="P52" s="12">
        <v>10852</v>
      </c>
      <c r="Q52" s="12">
        <v>12366</v>
      </c>
      <c r="R52" s="12"/>
      <c r="S52" s="12"/>
      <c r="T52" s="12"/>
      <c r="U52" s="12"/>
      <c r="V52" s="12"/>
    </row>
    <row r="53" spans="2:22" x14ac:dyDescent="0.2">
      <c r="B53" s="3" t="s">
        <v>64</v>
      </c>
      <c r="G53" s="12">
        <v>22601</v>
      </c>
      <c r="P53" s="12">
        <v>32976</v>
      </c>
      <c r="Q53" s="12">
        <v>35038</v>
      </c>
      <c r="R53" s="12"/>
      <c r="S53" s="12"/>
      <c r="T53" s="12"/>
      <c r="U53" s="12"/>
      <c r="V53" s="12"/>
    </row>
    <row r="54" spans="2:22" x14ac:dyDescent="0.2">
      <c r="B54" s="3" t="s">
        <v>65</v>
      </c>
      <c r="G54" s="12">
        <v>4982</v>
      </c>
      <c r="P54" s="12">
        <v>7889</v>
      </c>
      <c r="Q54" s="12">
        <v>7662</v>
      </c>
      <c r="R54" s="12"/>
      <c r="S54" s="12"/>
      <c r="T54" s="12"/>
      <c r="U54" s="12"/>
      <c r="V54" s="12"/>
    </row>
    <row r="55" spans="2:22" x14ac:dyDescent="0.2">
      <c r="B55" s="3" t="s">
        <v>66</v>
      </c>
      <c r="G55" s="12">
        <f>1938+350</f>
        <v>2288</v>
      </c>
      <c r="P55" s="12">
        <f>3272+472</f>
        <v>3744</v>
      </c>
      <c r="Q55" s="12">
        <f>3585+594</f>
        <v>4179</v>
      </c>
      <c r="R55" s="12"/>
      <c r="S55" s="12"/>
      <c r="T55" s="12"/>
      <c r="U55" s="12"/>
      <c r="V55" s="12"/>
    </row>
    <row r="56" spans="2:22" x14ac:dyDescent="0.2">
      <c r="B56" s="3" t="s">
        <v>30</v>
      </c>
      <c r="G56" s="12">
        <f>9207+913+2079</f>
        <v>12199</v>
      </c>
      <c r="P56" s="12">
        <f>1956+8163+924</f>
        <v>11043</v>
      </c>
      <c r="Q56" s="12">
        <f>1025+8572+476</f>
        <v>10073</v>
      </c>
      <c r="R56" s="12"/>
      <c r="S56" s="12"/>
      <c r="T56" s="12"/>
      <c r="U56" s="12"/>
      <c r="V56" s="12"/>
    </row>
    <row r="57" spans="2:22" x14ac:dyDescent="0.2">
      <c r="B57" s="3" t="s">
        <v>4</v>
      </c>
      <c r="G57" s="12">
        <v>5016</v>
      </c>
      <c r="P57" s="12">
        <v>14734</v>
      </c>
      <c r="Q57" s="12">
        <v>14653</v>
      </c>
      <c r="R57" s="12"/>
      <c r="S57" s="12"/>
      <c r="T57" s="12"/>
      <c r="U57" s="12"/>
      <c r="V57" s="12"/>
    </row>
    <row r="58" spans="2:22" x14ac:dyDescent="0.2">
      <c r="B58" s="3" t="s">
        <v>58</v>
      </c>
      <c r="G58" s="12">
        <v>10476</v>
      </c>
      <c r="P58" s="12">
        <v>11697</v>
      </c>
      <c r="Q58" s="12">
        <v>11984</v>
      </c>
      <c r="R58" s="12"/>
      <c r="S58" s="12"/>
      <c r="T58" s="12"/>
      <c r="U58" s="12"/>
      <c r="V58" s="12"/>
    </row>
    <row r="59" spans="2:22" x14ac:dyDescent="0.2">
      <c r="B59" s="3" t="s">
        <v>69</v>
      </c>
      <c r="G59" s="12">
        <v>2427</v>
      </c>
      <c r="P59" s="12">
        <v>2422</v>
      </c>
      <c r="Q59" s="12">
        <v>2371</v>
      </c>
      <c r="R59" s="12"/>
      <c r="S59" s="12"/>
      <c r="T59" s="12"/>
      <c r="U59" s="12"/>
      <c r="V59" s="12"/>
    </row>
    <row r="60" spans="2:22" x14ac:dyDescent="0.2">
      <c r="B60" s="3" t="s">
        <v>68</v>
      </c>
      <c r="G60" s="12">
        <v>203659</v>
      </c>
      <c r="P60" s="12">
        <v>255419</v>
      </c>
      <c r="Q60" s="12">
        <v>253626</v>
      </c>
      <c r="R60" s="12"/>
      <c r="S60" s="12"/>
      <c r="T60" s="12"/>
      <c r="U60" s="12"/>
      <c r="V60" s="12"/>
    </row>
    <row r="61" spans="2:22" x14ac:dyDescent="0.2">
      <c r="B61" s="3" t="s">
        <v>67</v>
      </c>
      <c r="G61" s="12">
        <f>SUM(G51:G60)</f>
        <v>273403</v>
      </c>
      <c r="P61" s="12">
        <f>SUM(P51:P60)</f>
        <v>355185</v>
      </c>
      <c r="Q61" s="12">
        <f>SUM(Q51:Q60)</f>
        <v>358255</v>
      </c>
      <c r="R61" s="12"/>
      <c r="S61" s="12"/>
      <c r="T61" s="12"/>
      <c r="U61" s="12"/>
      <c r="V61" s="12"/>
    </row>
    <row r="63" spans="2:22" s="3" customFormat="1" x14ac:dyDescent="0.2">
      <c r="B63" s="3" t="s">
        <v>82</v>
      </c>
      <c r="C63" s="12">
        <f>+C24</f>
        <v>8354</v>
      </c>
      <c r="D63" s="12"/>
      <c r="E63" s="12"/>
      <c r="F63" s="12"/>
      <c r="G63" s="12">
        <f>+G24</f>
        <v>6836</v>
      </c>
      <c r="H63" s="12">
        <f t="shared" ref="H63:Q63" si="138">+H24</f>
        <v>6959</v>
      </c>
      <c r="I63" s="12">
        <f t="shared" si="138"/>
        <v>11247</v>
      </c>
      <c r="J63" s="12">
        <f t="shared" si="138"/>
        <v>15227</v>
      </c>
      <c r="K63" s="12">
        <f t="shared" si="138"/>
        <v>17930</v>
      </c>
      <c r="L63" s="12">
        <f t="shared" si="138"/>
        <v>18165</v>
      </c>
      <c r="M63" s="12">
        <f t="shared" si="138"/>
        <v>18936</v>
      </c>
      <c r="N63" s="12">
        <f t="shared" si="138"/>
        <v>20642</v>
      </c>
      <c r="O63" s="12">
        <f t="shared" si="138"/>
        <v>16436</v>
      </c>
      <c r="P63" s="12">
        <f t="shared" si="138"/>
        <v>16002</v>
      </c>
      <c r="Q63" s="12">
        <f t="shared" si="138"/>
        <v>13910</v>
      </c>
      <c r="R63" s="12"/>
      <c r="S63" s="12"/>
      <c r="T63" s="12"/>
      <c r="U63" s="12"/>
      <c r="V63" s="12"/>
    </row>
    <row r="64" spans="2:22" s="3" customFormat="1" x14ac:dyDescent="0.2">
      <c r="B64" s="3" t="s">
        <v>83</v>
      </c>
      <c r="C64" s="12">
        <v>6657</v>
      </c>
      <c r="D64" s="12"/>
      <c r="E64" s="12"/>
      <c r="F64" s="12"/>
      <c r="G64" s="12">
        <v>6836</v>
      </c>
      <c r="H64" s="12"/>
      <c r="I64" s="12"/>
      <c r="J64" s="12"/>
      <c r="K64" s="12"/>
      <c r="L64" s="12"/>
      <c r="M64" s="12"/>
      <c r="N64" s="12"/>
      <c r="O64" s="12"/>
      <c r="P64" s="12"/>
      <c r="Q64" s="12">
        <v>13910</v>
      </c>
      <c r="R64" s="12"/>
      <c r="S64" s="12"/>
      <c r="T64" s="12"/>
      <c r="U64" s="12"/>
      <c r="V64" s="12"/>
    </row>
    <row r="65" spans="2:22" s="3" customFormat="1" x14ac:dyDescent="0.2">
      <c r="B65" s="3" t="s">
        <v>84</v>
      </c>
      <c r="C65" s="12">
        <v>2416</v>
      </c>
      <c r="D65" s="12"/>
      <c r="E65" s="12"/>
      <c r="F65" s="12"/>
      <c r="G65" s="12">
        <v>2899</v>
      </c>
      <c r="H65" s="12"/>
      <c r="I65" s="12"/>
      <c r="J65" s="12"/>
      <c r="K65" s="12"/>
      <c r="L65" s="12"/>
      <c r="M65" s="12"/>
      <c r="N65" s="12"/>
      <c r="O65" s="12"/>
      <c r="P65" s="12"/>
      <c r="Q65" s="12">
        <v>3933</v>
      </c>
      <c r="R65" s="12"/>
      <c r="S65" s="12"/>
      <c r="T65" s="12"/>
      <c r="U65" s="12"/>
      <c r="V65" s="12"/>
    </row>
    <row r="66" spans="2:22" s="3" customFormat="1" x14ac:dyDescent="0.2">
      <c r="B66" s="3" t="s">
        <v>85</v>
      </c>
      <c r="C66" s="12">
        <v>197</v>
      </c>
      <c r="D66" s="12"/>
      <c r="E66" s="12"/>
      <c r="F66" s="12"/>
      <c r="G66" s="12">
        <v>209</v>
      </c>
      <c r="H66" s="12"/>
      <c r="I66" s="12"/>
      <c r="J66" s="12"/>
      <c r="K66" s="12"/>
      <c r="L66" s="12"/>
      <c r="M66" s="12"/>
      <c r="N66" s="12"/>
      <c r="O66" s="12"/>
      <c r="P66" s="12"/>
      <c r="Q66" s="12">
        <v>113</v>
      </c>
      <c r="R66" s="12"/>
      <c r="S66" s="12"/>
      <c r="T66" s="12"/>
      <c r="U66" s="12"/>
      <c r="V66" s="12"/>
    </row>
    <row r="67" spans="2:22" s="3" customFormat="1" x14ac:dyDescent="0.2">
      <c r="B67" s="3" t="s">
        <v>86</v>
      </c>
      <c r="C67" s="12">
        <v>2769</v>
      </c>
      <c r="D67" s="12"/>
      <c r="E67" s="12"/>
      <c r="F67" s="12"/>
      <c r="G67" s="12">
        <v>3191</v>
      </c>
      <c r="H67" s="12"/>
      <c r="I67" s="12"/>
      <c r="J67" s="12"/>
      <c r="K67" s="12"/>
      <c r="L67" s="12"/>
      <c r="M67" s="12"/>
      <c r="N67" s="12"/>
      <c r="O67" s="12"/>
      <c r="P67" s="12"/>
      <c r="Q67" s="12">
        <v>4976</v>
      </c>
      <c r="R67" s="12"/>
      <c r="S67" s="12"/>
      <c r="T67" s="12"/>
      <c r="U67" s="12"/>
      <c r="V67" s="12"/>
    </row>
    <row r="68" spans="2:22" s="3" customFormat="1" x14ac:dyDescent="0.2">
      <c r="B68" s="3" t="s">
        <v>56</v>
      </c>
      <c r="C68" s="12">
        <v>-73</v>
      </c>
      <c r="D68" s="12"/>
      <c r="E68" s="12"/>
      <c r="F68" s="12"/>
      <c r="G68" s="12">
        <v>175</v>
      </c>
      <c r="H68" s="12"/>
      <c r="I68" s="12"/>
      <c r="J68" s="12"/>
      <c r="K68" s="12"/>
      <c r="L68" s="12"/>
      <c r="M68" s="12"/>
      <c r="N68" s="12"/>
      <c r="O68" s="12"/>
      <c r="P68" s="12"/>
      <c r="Q68" s="12">
        <v>-1920</v>
      </c>
      <c r="R68" s="12"/>
      <c r="S68" s="12"/>
      <c r="T68" s="12"/>
      <c r="U68" s="12"/>
      <c r="V68" s="12"/>
    </row>
    <row r="69" spans="2:22" s="3" customFormat="1" x14ac:dyDescent="0.2">
      <c r="B69" s="3" t="s">
        <v>87</v>
      </c>
      <c r="C69" s="12">
        <v>-1081</v>
      </c>
      <c r="D69" s="12"/>
      <c r="E69" s="12"/>
      <c r="F69" s="12"/>
      <c r="G69" s="12">
        <v>802</v>
      </c>
      <c r="H69" s="12"/>
      <c r="I69" s="12"/>
      <c r="J69" s="12"/>
      <c r="K69" s="12"/>
      <c r="L69" s="12"/>
      <c r="M69" s="12"/>
      <c r="N69" s="12"/>
      <c r="O69" s="12"/>
      <c r="P69" s="12"/>
      <c r="Q69" s="12">
        <v>1378</v>
      </c>
      <c r="R69" s="12"/>
      <c r="S69" s="12"/>
      <c r="T69" s="12"/>
      <c r="U69" s="12"/>
      <c r="V69" s="12"/>
    </row>
    <row r="70" spans="2:22" s="3" customFormat="1" x14ac:dyDescent="0.2">
      <c r="B70" s="3" t="s">
        <v>28</v>
      </c>
      <c r="C70" s="12">
        <v>22</v>
      </c>
      <c r="D70" s="12"/>
      <c r="E70" s="12"/>
      <c r="F70" s="12"/>
      <c r="G70" s="12">
        <v>297</v>
      </c>
      <c r="H70" s="12"/>
      <c r="I70" s="12"/>
      <c r="J70" s="12"/>
      <c r="K70" s="12"/>
      <c r="L70" s="12"/>
      <c r="M70" s="12"/>
      <c r="N70" s="12"/>
      <c r="O70" s="12"/>
      <c r="P70" s="12"/>
      <c r="Q70" s="12">
        <v>167</v>
      </c>
      <c r="R70" s="12"/>
      <c r="S70" s="12"/>
      <c r="T70" s="12"/>
      <c r="U70" s="12"/>
      <c r="V70" s="12"/>
    </row>
    <row r="71" spans="2:22" s="3" customFormat="1" x14ac:dyDescent="0.2">
      <c r="B71" s="3" t="s">
        <v>88</v>
      </c>
      <c r="C71" s="12">
        <f>1172+1068-265-425-229-147-81</f>
        <v>1093</v>
      </c>
      <c r="D71" s="12"/>
      <c r="E71" s="12"/>
      <c r="F71" s="12"/>
      <c r="G71" s="12">
        <f>2602-245-115-835-3531-871+37</f>
        <v>-2958</v>
      </c>
      <c r="H71" s="12"/>
      <c r="I71" s="12"/>
      <c r="J71" s="12"/>
      <c r="K71" s="12"/>
      <c r="L71" s="12"/>
      <c r="M71" s="12"/>
      <c r="N71" s="12"/>
      <c r="O71" s="12"/>
      <c r="P71" s="12"/>
      <c r="Q71" s="12">
        <f>-97-609-2647+1907+2210-80+112</f>
        <v>796</v>
      </c>
      <c r="R71" s="12"/>
      <c r="S71" s="12"/>
      <c r="T71" s="12"/>
      <c r="U71" s="12"/>
      <c r="V71" s="12"/>
    </row>
    <row r="72" spans="2:22" s="3" customFormat="1" x14ac:dyDescent="0.2">
      <c r="B72" s="3" t="s">
        <v>35</v>
      </c>
      <c r="C72" s="12">
        <f>SUM(C64:C71)</f>
        <v>12000</v>
      </c>
      <c r="D72" s="12"/>
      <c r="E72" s="12"/>
      <c r="F72" s="12"/>
      <c r="G72" s="12">
        <f>SUM(G64:G71)</f>
        <v>11451</v>
      </c>
      <c r="H72" s="12"/>
      <c r="I72" s="12"/>
      <c r="J72" s="12">
        <v>22677</v>
      </c>
      <c r="K72" s="12">
        <v>19289</v>
      </c>
      <c r="L72" s="12"/>
      <c r="M72" s="12">
        <v>25539</v>
      </c>
      <c r="N72" s="12">
        <v>24934</v>
      </c>
      <c r="O72" s="12">
        <v>25106</v>
      </c>
      <c r="P72" s="12"/>
      <c r="Q72" s="12">
        <f>SUM(Q64:Q71)</f>
        <v>23353</v>
      </c>
      <c r="R72" s="12"/>
      <c r="S72" s="12"/>
      <c r="T72" s="12"/>
      <c r="U72" s="12"/>
      <c r="V72" s="12"/>
    </row>
    <row r="73" spans="2:22" s="3" customFormat="1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2:22" s="3" customFormat="1" x14ac:dyDescent="0.2">
      <c r="B74" s="3" t="s">
        <v>36</v>
      </c>
      <c r="C74" s="12">
        <v>-4638</v>
      </c>
      <c r="D74" s="12"/>
      <c r="E74" s="12"/>
      <c r="F74" s="12"/>
      <c r="G74" s="12">
        <v>-6005</v>
      </c>
      <c r="H74" s="12"/>
      <c r="I74" s="12"/>
      <c r="J74" s="12">
        <v>5479</v>
      </c>
      <c r="K74" s="12">
        <v>5942</v>
      </c>
      <c r="L74" s="12"/>
      <c r="M74" s="12">
        <v>6819</v>
      </c>
      <c r="N74" s="12">
        <v>6383</v>
      </c>
      <c r="O74" s="12">
        <v>9786</v>
      </c>
      <c r="P74" s="12"/>
      <c r="Q74" s="12">
        <v>7276</v>
      </c>
      <c r="R74" s="12"/>
      <c r="S74" s="12"/>
      <c r="T74" s="12"/>
      <c r="U74" s="12"/>
      <c r="V74" s="12"/>
    </row>
    <row r="75" spans="2:22" s="3" customFormat="1" x14ac:dyDescent="0.2">
      <c r="B75" s="3" t="s">
        <v>89</v>
      </c>
      <c r="C75" s="12">
        <f>-20883+21006-907+99</f>
        <v>-685</v>
      </c>
      <c r="D75" s="12"/>
      <c r="E75" s="12"/>
      <c r="F75" s="12"/>
      <c r="G75" s="12">
        <f>-37563+41811-572+260</f>
        <v>3936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2:22" s="3" customFormat="1" x14ac:dyDescent="0.2">
      <c r="B76" s="3" t="s">
        <v>91</v>
      </c>
      <c r="C76" s="12">
        <v>-99</v>
      </c>
      <c r="D76" s="12"/>
      <c r="E76" s="12"/>
      <c r="F76" s="12"/>
      <c r="G76" s="12">
        <v>-190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2:22" s="3" customFormat="1" x14ac:dyDescent="0.2">
      <c r="B77" s="3" t="s">
        <v>28</v>
      </c>
      <c r="C77" s="12">
        <v>34</v>
      </c>
      <c r="D77" s="12"/>
      <c r="E77" s="12"/>
      <c r="F77" s="12"/>
      <c r="G77" s="12">
        <v>412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2:22" s="3" customFormat="1" x14ac:dyDescent="0.2">
      <c r="B78" s="3" t="s">
        <v>92</v>
      </c>
      <c r="C78" s="12">
        <f>SUM(C74:C77)</f>
        <v>-5388</v>
      </c>
      <c r="D78" s="12"/>
      <c r="E78" s="12"/>
      <c r="F78" s="12"/>
      <c r="G78" s="12">
        <f>SUM(G74:G77)</f>
        <v>-1847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2:22" s="3" customFormat="1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2:22" s="3" customFormat="1" x14ac:dyDescent="0.2">
      <c r="B80" s="3" t="s">
        <v>86</v>
      </c>
      <c r="C80" s="12">
        <v>-1175</v>
      </c>
      <c r="D80" s="12"/>
      <c r="E80" s="12"/>
      <c r="F80" s="12"/>
      <c r="G80" s="12">
        <v>-1241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2:22" s="3" customFormat="1" x14ac:dyDescent="0.2">
      <c r="B81" s="3" t="s">
        <v>93</v>
      </c>
      <c r="C81" s="12">
        <v>-3025</v>
      </c>
      <c r="D81" s="12"/>
      <c r="E81" s="12"/>
      <c r="F81" s="12"/>
      <c r="G81" s="12">
        <v>-8496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2:22" s="3" customFormat="1" x14ac:dyDescent="0.2">
      <c r="B82" s="3" t="s">
        <v>4</v>
      </c>
      <c r="C82" s="12">
        <f>315-345</f>
        <v>-30</v>
      </c>
      <c r="D82" s="12"/>
      <c r="E82" s="12"/>
      <c r="F82" s="12"/>
      <c r="G82" s="12">
        <f>1898-1947</f>
        <v>-49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2:22" s="3" customFormat="1" x14ac:dyDescent="0.2">
      <c r="B83" s="3" t="s">
        <v>94</v>
      </c>
      <c r="C83" s="12">
        <v>47</v>
      </c>
      <c r="D83" s="12"/>
      <c r="E83" s="12"/>
      <c r="F83" s="12"/>
      <c r="G83" s="12">
        <v>1600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2:22" s="3" customFormat="1" x14ac:dyDescent="0.2">
      <c r="B84" s="3" t="s">
        <v>90</v>
      </c>
      <c r="C84" s="12">
        <f>SUM(C80:C83)</f>
        <v>-4183</v>
      </c>
      <c r="D84" s="12"/>
      <c r="E84" s="12"/>
      <c r="F84" s="12"/>
      <c r="G84" s="12">
        <f>SUM(G80:G83)</f>
        <v>-8186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2:22" s="3" customFormat="1" x14ac:dyDescent="0.2">
      <c r="B85" s="3" t="s">
        <v>41</v>
      </c>
      <c r="C85" s="12">
        <v>18</v>
      </c>
      <c r="D85" s="12"/>
      <c r="E85" s="12"/>
      <c r="F85" s="12"/>
      <c r="G85" s="12">
        <v>-272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2:22" s="3" customFormat="1" x14ac:dyDescent="0.2">
      <c r="B86" s="3" t="s">
        <v>95</v>
      </c>
      <c r="C86" s="12">
        <f>+C85+C84+C78+C72</f>
        <v>2447</v>
      </c>
      <c r="D86" s="12"/>
      <c r="E86" s="12"/>
      <c r="F86" s="12"/>
      <c r="G86" s="12">
        <f>+G85+G84+G78+G72</f>
        <v>1146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2:22" s="3" customFormat="1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2:22" s="3" customFormat="1" x14ac:dyDescent="0.2">
      <c r="B88" s="3" t="s">
        <v>37</v>
      </c>
      <c r="C88" s="12"/>
      <c r="D88" s="12"/>
      <c r="E88" s="12"/>
      <c r="F88" s="12"/>
      <c r="G88" s="12"/>
      <c r="H88" s="12"/>
      <c r="I88" s="12"/>
      <c r="J88" s="12">
        <f>J72-J74</f>
        <v>17198</v>
      </c>
      <c r="K88" s="12">
        <f>K72-K74</f>
        <v>13347</v>
      </c>
      <c r="L88" s="12"/>
      <c r="M88" s="12">
        <f>M72-M74</f>
        <v>18720</v>
      </c>
      <c r="N88" s="12">
        <f>N72-N74</f>
        <v>18551</v>
      </c>
      <c r="O88" s="12">
        <f>O72-O74</f>
        <v>15320</v>
      </c>
      <c r="P88" s="12"/>
      <c r="Q88" s="12">
        <f>Q72-Q74</f>
        <v>16077</v>
      </c>
      <c r="R88" s="12"/>
      <c r="S88" s="12"/>
      <c r="T88" s="12"/>
      <c r="U88" s="12"/>
      <c r="V88" s="12"/>
    </row>
    <row r="91" spans="2:22" s="3" customFormat="1" x14ac:dyDescent="0.2">
      <c r="B91" s="3" t="s">
        <v>52</v>
      </c>
      <c r="C91" s="12">
        <v>103459</v>
      </c>
      <c r="D91" s="12"/>
      <c r="E91" s="12"/>
      <c r="F91" s="12"/>
      <c r="G91" s="12">
        <v>123048</v>
      </c>
      <c r="H91" s="12"/>
      <c r="I91" s="12"/>
      <c r="J91" s="12"/>
      <c r="K91" s="12"/>
      <c r="L91" s="12">
        <v>144056</v>
      </c>
      <c r="M91" s="12">
        <v>150028</v>
      </c>
      <c r="N91" s="12"/>
      <c r="O91" s="12"/>
      <c r="P91" s="12">
        <v>174014</v>
      </c>
      <c r="Q91" s="12">
        <v>186779</v>
      </c>
      <c r="R91" s="12"/>
      <c r="S91" s="12"/>
      <c r="T91" s="12"/>
      <c r="U91" s="12"/>
      <c r="V91" s="12"/>
    </row>
    <row r="92" spans="2:22" x14ac:dyDescent="0.2">
      <c r="B92" s="3" t="s">
        <v>81</v>
      </c>
      <c r="P92" s="16">
        <f>+P91/L91-1</f>
        <v>0.20796079302493475</v>
      </c>
      <c r="Q92" s="16">
        <f>+Q91/M91-1</f>
        <v>0.24496094062441687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 Morton</cp:lastModifiedBy>
  <dcterms:created xsi:type="dcterms:W3CDTF">2022-07-14T13:49:22Z</dcterms:created>
  <dcterms:modified xsi:type="dcterms:W3CDTF">2022-11-06T22:37:48Z</dcterms:modified>
</cp:coreProperties>
</file>