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rt\OneDrive\Documents\GitHub Models\"/>
    </mc:Choice>
  </mc:AlternateContent>
  <xr:revisionPtr revIDLastSave="0" documentId="13_ncr:1_{033B06D5-9342-4416-9F41-FDF9BB4A2E95}" xr6:coauthVersionLast="47" xr6:coauthVersionMax="47" xr10:uidLastSave="{00000000-0000-0000-0000-000000000000}"/>
  <bookViews>
    <workbookView xWindow="-120" yWindow="-120" windowWidth="29040" windowHeight="15720" activeTab="1" xr2:uid="{57CE075A-B847-43D0-B510-3B07E3BC25E4}"/>
  </bookViews>
  <sheets>
    <sheet name="Main" sheetId="1" r:id="rId1"/>
    <sheet name="Model" sheetId="2" r:id="rId2"/>
    <sheet name="Supporting Docs -&gt;" sheetId="3" r:id="rId3"/>
    <sheet name="2021 Balance Sheet" sheetId="5" r:id="rId4"/>
    <sheet name="2021 Income Statemen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8" i="2" l="1"/>
  <c r="O8" i="2"/>
  <c r="N8" i="2"/>
  <c r="O14" i="2"/>
  <c r="O15" i="2"/>
  <c r="R4" i="2"/>
  <c r="W3" i="2"/>
  <c r="V3" i="2"/>
  <c r="U3" i="2"/>
  <c r="T3" i="2"/>
  <c r="S3" i="2"/>
  <c r="R3" i="2"/>
  <c r="U25" i="2"/>
  <c r="V2" i="2"/>
  <c r="W2" i="2" s="1"/>
  <c r="U2" i="2"/>
  <c r="U4" i="2"/>
  <c r="V4" i="2"/>
  <c r="V25" i="2" s="1"/>
  <c r="U9" i="2"/>
  <c r="U10" i="2"/>
  <c r="V10" i="2"/>
  <c r="W10" i="2" s="1"/>
  <c r="U16" i="2"/>
  <c r="V16" i="2" s="1"/>
  <c r="W16" i="2" s="1"/>
  <c r="U19" i="2"/>
  <c r="V19" i="2"/>
  <c r="W19" i="2" s="1"/>
  <c r="U20" i="2"/>
  <c r="V20" i="2"/>
  <c r="W20" i="2" s="1"/>
  <c r="O3" i="2"/>
  <c r="N3" i="2"/>
  <c r="P33" i="2"/>
  <c r="P34" i="2"/>
  <c r="E7" i="1"/>
  <c r="P36" i="2"/>
  <c r="T25" i="2"/>
  <c r="S25" i="2"/>
  <c r="R25" i="2"/>
  <c r="Q25" i="2"/>
  <c r="P25" i="2"/>
  <c r="O25" i="2"/>
  <c r="K9" i="2"/>
  <c r="N9" i="2" s="1"/>
  <c r="O9" i="2" s="1"/>
  <c r="K8" i="2"/>
  <c r="K20" i="2"/>
  <c r="N20" i="2" s="1"/>
  <c r="O20" i="2" s="1"/>
  <c r="P20" i="2" s="1"/>
  <c r="Q20" i="2" s="1"/>
  <c r="R20" i="2" s="1"/>
  <c r="S20" i="2" s="1"/>
  <c r="T20" i="2" s="1"/>
  <c r="K19" i="2"/>
  <c r="N19" i="2" s="1"/>
  <c r="O19" i="2" s="1"/>
  <c r="P19" i="2" s="1"/>
  <c r="K16" i="2"/>
  <c r="N16" i="2" s="1"/>
  <c r="O16" i="2" s="1"/>
  <c r="P16" i="2" s="1"/>
  <c r="Q16" i="2" s="1"/>
  <c r="R16" i="2" s="1"/>
  <c r="S16" i="2" s="1"/>
  <c r="T16" i="2" s="1"/>
  <c r="K15" i="2"/>
  <c r="N15" i="2" s="1"/>
  <c r="K14" i="2"/>
  <c r="K3" i="2"/>
  <c r="K10" i="2"/>
  <c r="N10" i="2" s="1"/>
  <c r="O10" i="2" s="1"/>
  <c r="K4" i="2"/>
  <c r="N4" i="2" s="1"/>
  <c r="O4" i="2" s="1"/>
  <c r="P4" i="2" s="1"/>
  <c r="Q4" i="2" s="1"/>
  <c r="S4" i="2" s="1"/>
  <c r="T4" i="2" s="1"/>
  <c r="N2" i="2"/>
  <c r="O2" i="2" s="1"/>
  <c r="P2" i="2" s="1"/>
  <c r="Q2" i="2" s="1"/>
  <c r="R2" i="2" s="1"/>
  <c r="S2" i="2" s="1"/>
  <c r="T2" i="2" s="1"/>
  <c r="J25" i="2"/>
  <c r="J24" i="2"/>
  <c r="J17" i="2"/>
  <c r="J11" i="2"/>
  <c r="J5" i="2"/>
  <c r="I25" i="2"/>
  <c r="H25" i="2"/>
  <c r="I24" i="2"/>
  <c r="H24" i="2"/>
  <c r="G17" i="2"/>
  <c r="G11" i="2"/>
  <c r="G5" i="2"/>
  <c r="G12" i="2" s="1"/>
  <c r="H17" i="2"/>
  <c r="H11" i="2"/>
  <c r="H5" i="2"/>
  <c r="I17" i="2"/>
  <c r="I11" i="2"/>
  <c r="I5" i="2"/>
  <c r="E5" i="1"/>
  <c r="Z20" i="5"/>
  <c r="Z12" i="5"/>
  <c r="D2" i="2"/>
  <c r="E2" i="2" s="1"/>
  <c r="F2" i="2" s="1"/>
  <c r="G2" i="2" s="1"/>
  <c r="H2" i="2" s="1"/>
  <c r="I2" i="2" s="1"/>
  <c r="J2" i="2" s="1"/>
  <c r="P15" i="2" l="1"/>
  <c r="Q15" i="2" s="1"/>
  <c r="R15" i="2" s="1"/>
  <c r="S15" i="2" s="1"/>
  <c r="T15" i="2" s="1"/>
  <c r="U15" i="2" s="1"/>
  <c r="V15" i="2"/>
  <c r="V9" i="2"/>
  <c r="W4" i="2"/>
  <c r="W25" i="2" s="1"/>
  <c r="K11" i="2"/>
  <c r="K17" i="2"/>
  <c r="P9" i="2"/>
  <c r="Q9" i="2" s="1"/>
  <c r="R9" i="2" s="1"/>
  <c r="O24" i="2"/>
  <c r="N5" i="2"/>
  <c r="N11" i="2"/>
  <c r="P8" i="2"/>
  <c r="N14" i="2"/>
  <c r="K5" i="2"/>
  <c r="K12" i="2" s="1"/>
  <c r="K18" i="2" s="1"/>
  <c r="K21" i="2" s="1"/>
  <c r="I26" i="2"/>
  <c r="P10" i="2"/>
  <c r="Q10" i="2" s="1"/>
  <c r="R10" i="2" s="1"/>
  <c r="S10" i="2" s="1"/>
  <c r="T10" i="2" s="1"/>
  <c r="Q19" i="2"/>
  <c r="J26" i="2"/>
  <c r="H26" i="2"/>
  <c r="J12" i="2"/>
  <c r="J18" i="2"/>
  <c r="J21" i="2" s="1"/>
  <c r="G18" i="2"/>
  <c r="G21" i="2" s="1"/>
  <c r="H12" i="2"/>
  <c r="H18" i="2" s="1"/>
  <c r="H21" i="2" s="1"/>
  <c r="I12" i="2"/>
  <c r="I18" i="2" s="1"/>
  <c r="I21" i="2" s="1"/>
  <c r="O11" i="2" l="1"/>
  <c r="W9" i="2"/>
  <c r="W15" i="2"/>
  <c r="H27" i="2"/>
  <c r="N12" i="2"/>
  <c r="O5" i="2"/>
  <c r="P3" i="2"/>
  <c r="P24" i="2" s="1"/>
  <c r="N17" i="2"/>
  <c r="P11" i="2"/>
  <c r="Q8" i="2"/>
  <c r="S9" i="2"/>
  <c r="R19" i="2"/>
  <c r="J27" i="2"/>
  <c r="I27" i="2"/>
  <c r="N18" i="2" l="1"/>
  <c r="N21" i="2" s="1"/>
  <c r="O12" i="2"/>
  <c r="O26" i="2"/>
  <c r="P14" i="2"/>
  <c r="O17" i="2"/>
  <c r="Q3" i="2"/>
  <c r="Q24" i="2" s="1"/>
  <c r="P5" i="2"/>
  <c r="R8" i="2"/>
  <c r="Q11" i="2"/>
  <c r="T9" i="2"/>
  <c r="S19" i="2"/>
  <c r="P12" i="2" l="1"/>
  <c r="P26" i="2"/>
  <c r="O18" i="2"/>
  <c r="O21" i="2" s="1"/>
  <c r="O27" i="2" s="1"/>
  <c r="Q14" i="2"/>
  <c r="P17" i="2"/>
  <c r="S8" i="2"/>
  <c r="R11" i="2"/>
  <c r="R24" i="2"/>
  <c r="Q5" i="2"/>
  <c r="T19" i="2"/>
  <c r="P18" i="2" l="1"/>
  <c r="P21" i="2" s="1"/>
  <c r="P27" i="2" s="1"/>
  <c r="Q12" i="2"/>
  <c r="Q26" i="2"/>
  <c r="S24" i="2"/>
  <c r="R5" i="2"/>
  <c r="R14" i="2"/>
  <c r="Q17" i="2"/>
  <c r="T8" i="2"/>
  <c r="S11" i="2"/>
  <c r="T11" i="2" l="1"/>
  <c r="U8" i="2"/>
  <c r="Q18" i="2"/>
  <c r="Q21" i="2" s="1"/>
  <c r="Q27" i="2" s="1"/>
  <c r="R12" i="2"/>
  <c r="R26" i="2"/>
  <c r="S14" i="2"/>
  <c r="R17" i="2"/>
  <c r="S5" i="2"/>
  <c r="V8" i="2" l="1"/>
  <c r="U11" i="2"/>
  <c r="R18" i="2"/>
  <c r="R21" i="2" s="1"/>
  <c r="R27" i="2" s="1"/>
  <c r="U24" i="2"/>
  <c r="U5" i="2"/>
  <c r="S12" i="2"/>
  <c r="S26" i="2"/>
  <c r="T5" i="2"/>
  <c r="T24" i="2"/>
  <c r="T14" i="2"/>
  <c r="S17" i="2"/>
  <c r="W8" i="2" l="1"/>
  <c r="W11" i="2" s="1"/>
  <c r="V11" i="2"/>
  <c r="T17" i="2"/>
  <c r="U14" i="2"/>
  <c r="V24" i="2"/>
  <c r="V5" i="2"/>
  <c r="U26" i="2"/>
  <c r="U12" i="2"/>
  <c r="S18" i="2"/>
  <c r="S21" i="2" s="1"/>
  <c r="T12" i="2"/>
  <c r="T26" i="2"/>
  <c r="T18" i="2" l="1"/>
  <c r="T21" i="2" s="1"/>
  <c r="T27" i="2" s="1"/>
  <c r="V14" i="2"/>
  <c r="U17" i="2"/>
  <c r="U18" i="2" s="1"/>
  <c r="U21" i="2" s="1"/>
  <c r="S27" i="2"/>
  <c r="W24" i="2"/>
  <c r="W5" i="2"/>
  <c r="V26" i="2"/>
  <c r="V12" i="2"/>
  <c r="U27" i="2" l="1"/>
  <c r="W14" i="2"/>
  <c r="W17" i="2" s="1"/>
  <c r="V17" i="2"/>
  <c r="V18" i="2"/>
  <c r="V21" i="2" s="1"/>
  <c r="V27" i="2" s="1"/>
  <c r="W26" i="2"/>
  <c r="W12" i="2"/>
  <c r="W18" i="2" l="1"/>
  <c r="W21" i="2" s="1"/>
  <c r="W27" i="2"/>
  <c r="P29" i="2"/>
  <c r="P30" i="2" s="1"/>
  <c r="P32" i="2" s="1"/>
  <c r="P35" i="2" l="1"/>
  <c r="P3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Morton</author>
  </authors>
  <commentList>
    <comment ref="G2" authorId="0" shapeId="0" xr:uid="{F6F74922-E001-4100-BE0D-703E9F5E23F6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young company  - new to market</t>
        </r>
      </text>
    </comment>
    <comment ref="K8" authorId="0" shapeId="0" xr:uid="{0DA1CF3A-3983-4E58-9C9B-849F3FAC7A21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based off the amount of ads I personally see - sport betting is legal in many more states now</t>
        </r>
      </text>
    </comment>
    <comment ref="I25" authorId="0" shapeId="0" xr:uid="{72D11182-4483-4C96-90FE-A13B3B30B01C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50% decrease in costs while still growing the top line by 21%</t>
        </r>
      </text>
    </comment>
    <comment ref="H27" authorId="0" shapeId="0" xr:uid="{43F7B6EB-4A3F-412D-A3CC-13E4BCED19A2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sharp drop off in 2021 is nice - assuming this spike is due to startup costs &amp; lingering IPO fees - didn’t look into detail within the 10-k too much</t>
        </r>
      </text>
    </comment>
  </commentList>
</comments>
</file>

<file path=xl/sharedStrings.xml><?xml version="1.0" encoding="utf-8"?>
<sst xmlns="http://schemas.openxmlformats.org/spreadsheetml/2006/main" count="50" uniqueCount="49">
  <si>
    <t>Price</t>
  </si>
  <si>
    <t>Shares</t>
  </si>
  <si>
    <t>Market Cap</t>
  </si>
  <si>
    <t>Cash</t>
  </si>
  <si>
    <t>Debt</t>
  </si>
  <si>
    <t>Main</t>
  </si>
  <si>
    <t>CRFU</t>
  </si>
  <si>
    <t>Total Cash</t>
  </si>
  <si>
    <t>ST Debt</t>
  </si>
  <si>
    <t>LT Debt</t>
  </si>
  <si>
    <t>Total Debt</t>
  </si>
  <si>
    <t>LT Tax Liability</t>
  </si>
  <si>
    <t>shares outstanding from yahoo finance on 3.27.23 due to the financial statements not being uploaded to SEC edgar (should be feb 2023 but most recent is feb 2022)</t>
  </si>
  <si>
    <t>as of 3.27.23</t>
  </si>
  <si>
    <t>Revenue</t>
  </si>
  <si>
    <t>Cost of Revenue</t>
  </si>
  <si>
    <t>Sales &amp; Marketing</t>
  </si>
  <si>
    <t>General &amp; Admin</t>
  </si>
  <si>
    <t>Gross Profit</t>
  </si>
  <si>
    <t>Total Operating Expense</t>
  </si>
  <si>
    <t>Interest Income (expense), net</t>
  </si>
  <si>
    <t>Gain (Loss) on remeasurment of warrant liabilities</t>
  </si>
  <si>
    <t>Other income, net</t>
  </si>
  <si>
    <t>Income Before Tax</t>
  </si>
  <si>
    <t>(Gain) Loss from equity method investment</t>
  </si>
  <si>
    <t>Net Income</t>
  </si>
  <si>
    <t>Total Operating Income</t>
  </si>
  <si>
    <t>Other:</t>
  </si>
  <si>
    <t>Operating Expenses:</t>
  </si>
  <si>
    <t>Total, Other</t>
  </si>
  <si>
    <t>Product &amp; Technology</t>
  </si>
  <si>
    <t>YoY Revenue Growth</t>
  </si>
  <si>
    <t>YoY Cost of Revenue</t>
  </si>
  <si>
    <t>YoY Gross Profit</t>
  </si>
  <si>
    <t>YoY Net (Loss)</t>
  </si>
  <si>
    <t>Income tax provision/benefit</t>
  </si>
  <si>
    <t>2023 ESTIMATE</t>
  </si>
  <si>
    <t>2023 ACTUALS</t>
  </si>
  <si>
    <t>ESTIMATES</t>
  </si>
  <si>
    <t>Given all this remains constand</t>
  </si>
  <si>
    <t>Terminal Value</t>
  </si>
  <si>
    <t>Enterprise Value</t>
  </si>
  <si>
    <t>(+) cash &amp; marketable securities</t>
  </si>
  <si>
    <t>(-) debt</t>
  </si>
  <si>
    <t>Equity Value</t>
  </si>
  <si>
    <t>Shares outstanding</t>
  </si>
  <si>
    <t>Intrinsic Value</t>
  </si>
  <si>
    <t>Upside</t>
  </si>
  <si>
    <t>DKNG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</si>
</sst>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0" fillId="0" borderId="1" xfId="0" applyBorder="1"/>
    <xf numFmtId="43" fontId="0" fillId="0" borderId="0" xfId="1" applyFont="1"/>
    <xf numFmtId="43" fontId="0" fillId="0" borderId="1" xfId="1" applyFont="1" applyBorder="1"/>
    <xf numFmtId="43" fontId="0" fillId="0" borderId="0" xfId="0" applyNumberFormat="1"/>
    <xf numFmtId="0" fontId="2" fillId="0" borderId="0" xfId="0" applyFont="1"/>
    <xf numFmtId="43" fontId="2" fillId="0" borderId="0" xfId="1" applyFont="1"/>
    <xf numFmtId="43" fontId="2" fillId="0" borderId="1" xfId="1" applyFont="1" applyBorder="1"/>
    <xf numFmtId="43" fontId="2" fillId="0" borderId="3" xfId="1" applyFont="1" applyBorder="1"/>
    <xf numFmtId="43" fontId="2" fillId="0" borderId="2" xfId="1" applyFont="1" applyBorder="1"/>
    <xf numFmtId="43" fontId="2" fillId="0" borderId="3" xfId="0" applyNumberFormat="1" applyFont="1" applyBorder="1"/>
    <xf numFmtId="43" fontId="2" fillId="0" borderId="2" xfId="0" applyNumberFormat="1" applyFont="1" applyBorder="1"/>
    <xf numFmtId="0" fontId="0" fillId="0" borderId="0" xfId="0" applyFont="1"/>
    <xf numFmtId="43" fontId="1" fillId="0" borderId="0" xfId="1" applyFont="1"/>
    <xf numFmtId="9" fontId="0" fillId="0" borderId="0" xfId="2" applyFont="1"/>
    <xf numFmtId="0" fontId="0" fillId="3" borderId="0" xfId="0" applyFill="1" applyAlignment="1">
      <alignment horizontal="center"/>
    </xf>
    <xf numFmtId="43" fontId="2" fillId="3" borderId="1" xfId="1" applyFont="1" applyFill="1" applyBorder="1"/>
    <xf numFmtId="43" fontId="0" fillId="3" borderId="0" xfId="1" applyFont="1" applyFill="1"/>
    <xf numFmtId="43" fontId="2" fillId="3" borderId="2" xfId="1" applyFont="1" applyFill="1" applyBorder="1"/>
    <xf numFmtId="43" fontId="2" fillId="3" borderId="0" xfId="1" applyFont="1" applyFill="1"/>
    <xf numFmtId="43" fontId="2" fillId="3" borderId="3" xfId="1" applyFont="1" applyFill="1" applyBorder="1"/>
    <xf numFmtId="43" fontId="2" fillId="3" borderId="3" xfId="0" applyNumberFormat="1" applyFont="1" applyFill="1" applyBorder="1"/>
    <xf numFmtId="43" fontId="2" fillId="3" borderId="2" xfId="0" applyNumberFormat="1" applyFont="1" applyFill="1" applyBorder="1"/>
    <xf numFmtId="43" fontId="0" fillId="4" borderId="0" xfId="1" applyFont="1" applyFill="1" applyAlignment="1">
      <alignment horizontal="center" vertical="center" wrapText="1"/>
    </xf>
    <xf numFmtId="0" fontId="2" fillId="3" borderId="0" xfId="0" applyFont="1" applyFill="1"/>
    <xf numFmtId="0" fontId="0" fillId="3" borderId="0" xfId="0" applyFill="1"/>
    <xf numFmtId="43" fontId="2" fillId="3" borderId="0" xfId="0" applyNumberFormat="1" applyFont="1" applyFill="1"/>
    <xf numFmtId="43" fontId="0" fillId="3" borderId="0" xfId="0" applyNumberFormat="1" applyFill="1"/>
    <xf numFmtId="43" fontId="0" fillId="0" borderId="0" xfId="1" applyFont="1" applyFill="1" applyAlignment="1">
      <alignment horizontal="center" vertical="center" wrapText="1"/>
    </xf>
    <xf numFmtId="0" fontId="6" fillId="0" borderId="5" xfId="0" applyFont="1" applyBorder="1"/>
    <xf numFmtId="0" fontId="6" fillId="0" borderId="6" xfId="0" applyFont="1" applyBorder="1"/>
    <xf numFmtId="9" fontId="0" fillId="3" borderId="0" xfId="2" applyFont="1" applyFill="1"/>
    <xf numFmtId="0" fontId="0" fillId="5" borderId="0" xfId="0" applyFont="1" applyFill="1"/>
    <xf numFmtId="0" fontId="0" fillId="5" borderId="0" xfId="0" applyFill="1"/>
    <xf numFmtId="9" fontId="0" fillId="5" borderId="0" xfId="2" applyFont="1" applyFill="1"/>
    <xf numFmtId="43" fontId="0" fillId="5" borderId="0" xfId="1" applyFont="1" applyFill="1"/>
    <xf numFmtId="43" fontId="0" fillId="0" borderId="7" xfId="0" applyNumberFormat="1" applyBorder="1"/>
    <xf numFmtId="8" fontId="0" fillId="0" borderId="8" xfId="0" applyNumberFormat="1" applyBorder="1"/>
    <xf numFmtId="0" fontId="0" fillId="0" borderId="9" xfId="0" applyBorder="1"/>
    <xf numFmtId="0" fontId="0" fillId="0" borderId="0" xfId="0" applyFont="1" applyBorder="1"/>
    <xf numFmtId="43" fontId="0" fillId="0" borderId="8" xfId="0" applyNumberFormat="1" applyFont="1" applyBorder="1"/>
    <xf numFmtId="0" fontId="0" fillId="0" borderId="0" xfId="0" applyBorder="1"/>
    <xf numFmtId="0" fontId="0" fillId="0" borderId="8" xfId="0" applyBorder="1"/>
    <xf numFmtId="43" fontId="0" fillId="0" borderId="8" xfId="1" applyFont="1" applyBorder="1"/>
    <xf numFmtId="43" fontId="0" fillId="0" borderId="8" xfId="0" applyNumberFormat="1" applyBorder="1"/>
    <xf numFmtId="0" fontId="0" fillId="0" borderId="10" xfId="0" applyBorder="1"/>
    <xf numFmtId="10" fontId="0" fillId="0" borderId="11" xfId="2" applyNumberFormat="1" applyFont="1" applyBorder="1"/>
    <xf numFmtId="0" fontId="2" fillId="0" borderId="4" xfId="0" applyFont="1" applyBorder="1"/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22</xdr:col>
      <xdr:colOff>468577</xdr:colOff>
      <xdr:row>41</xdr:row>
      <xdr:rowOff>86803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815772-B983-E64C-49C3-8F1AA57B7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270177" cy="77258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22</xdr:col>
      <xdr:colOff>420945</xdr:colOff>
      <xdr:row>27</xdr:row>
      <xdr:rowOff>115007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F97E95-0EF3-9033-0125-926794C1F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222545" cy="50680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23</xdr:col>
      <xdr:colOff>59030</xdr:colOff>
      <xdr:row>46</xdr:row>
      <xdr:rowOff>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A96FFC-A734-58CB-AF9C-A4E262F3E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524500"/>
          <a:ext cx="13470230" cy="3238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7005F-0CB5-47F6-9084-9530DF75CB9D}">
  <dimension ref="D3:F7"/>
  <sheetViews>
    <sheetView workbookViewId="0">
      <selection activeCell="E8" sqref="E8"/>
    </sheetView>
  </sheetViews>
  <sheetFormatPr defaultRowHeight="15" x14ac:dyDescent="0.25"/>
  <cols>
    <col min="4" max="4" width="11" bestFit="1" customWidth="1"/>
    <col min="5" max="5" width="16.85546875" bestFit="1" customWidth="1"/>
  </cols>
  <sheetData>
    <row r="3" spans="4:6" x14ac:dyDescent="0.25">
      <c r="D3" t="s">
        <v>0</v>
      </c>
      <c r="E3">
        <v>17.88</v>
      </c>
      <c r="F3" t="s">
        <v>13</v>
      </c>
    </row>
    <row r="4" spans="4:6" x14ac:dyDescent="0.25">
      <c r="D4" t="s">
        <v>1</v>
      </c>
      <c r="E4" s="4">
        <v>451630</v>
      </c>
      <c r="F4" t="s">
        <v>12</v>
      </c>
    </row>
    <row r="5" spans="4:6" x14ac:dyDescent="0.25">
      <c r="D5" t="s">
        <v>2</v>
      </c>
      <c r="E5" s="6">
        <f>E4*E3</f>
        <v>8075144.3999999994</v>
      </c>
    </row>
    <row r="6" spans="4:6" x14ac:dyDescent="0.25">
      <c r="D6" t="s">
        <v>3</v>
      </c>
      <c r="E6" s="6">
        <v>1309172</v>
      </c>
    </row>
    <row r="7" spans="4:6" x14ac:dyDescent="0.25">
      <c r="D7" t="s">
        <v>4</v>
      </c>
      <c r="E7" s="6">
        <f>1251103</f>
        <v>1251103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10E8-0238-4EBC-B856-C9A9D5F4E12A}">
  <sheetPr>
    <tabColor theme="5" tint="0.59999389629810485"/>
  </sheetPr>
  <dimension ref="A1:HZ38"/>
  <sheetViews>
    <sheetView tabSelected="1" topLeftCell="A9" workbookViewId="0">
      <selection activeCell="P38" sqref="P38"/>
    </sheetView>
  </sheetViews>
  <sheetFormatPr defaultRowHeight="15" x14ac:dyDescent="0.25"/>
  <cols>
    <col min="1" max="1" width="6.28515625" bestFit="1" customWidth="1"/>
    <col min="2" max="2" width="46.42578125" bestFit="1" customWidth="1"/>
    <col min="3" max="6" width="0" hidden="1" customWidth="1"/>
    <col min="7" max="9" width="14" bestFit="1" customWidth="1"/>
    <col min="10" max="11" width="14" customWidth="1"/>
    <col min="12" max="12" width="14.140625" bestFit="1" customWidth="1"/>
    <col min="13" max="13" width="2.85546875" customWidth="1"/>
    <col min="14" max="15" width="14" bestFit="1" customWidth="1"/>
    <col min="16" max="16" width="14.28515625" bestFit="1" customWidth="1"/>
    <col min="17" max="17" width="14" bestFit="1" customWidth="1"/>
    <col min="18" max="21" width="14.28515625" bestFit="1" customWidth="1"/>
    <col min="22" max="22" width="14.5703125" customWidth="1"/>
    <col min="23" max="23" width="20.85546875" customWidth="1"/>
    <col min="24" max="24" width="15.28515625" bestFit="1" customWidth="1"/>
  </cols>
  <sheetData>
    <row r="1" spans="1:234" x14ac:dyDescent="0.25">
      <c r="N1" s="17" t="s">
        <v>38</v>
      </c>
      <c r="O1" s="17"/>
      <c r="P1" s="17"/>
      <c r="Q1" s="17"/>
      <c r="R1" s="17"/>
      <c r="S1" s="17"/>
      <c r="T1" s="17"/>
      <c r="U1" s="17"/>
      <c r="V1" s="17"/>
      <c r="W1" s="17"/>
    </row>
    <row r="2" spans="1:234" s="1" customFormat="1" x14ac:dyDescent="0.25">
      <c r="A2" s="1" t="s">
        <v>5</v>
      </c>
      <c r="C2" s="1">
        <v>2015</v>
      </c>
      <c r="D2" s="1">
        <f>+C2+1</f>
        <v>2016</v>
      </c>
      <c r="E2" s="1">
        <f t="shared" ref="E2:J2" si="0">+D2+1</f>
        <v>2017</v>
      </c>
      <c r="F2" s="1">
        <f t="shared" si="0"/>
        <v>2018</v>
      </c>
      <c r="G2" s="1">
        <f t="shared" si="0"/>
        <v>2019</v>
      </c>
      <c r="H2" s="1">
        <f t="shared" si="0"/>
        <v>2020</v>
      </c>
      <c r="I2" s="1">
        <f t="shared" si="0"/>
        <v>2021</v>
      </c>
      <c r="J2" s="1">
        <f t="shared" si="0"/>
        <v>2022</v>
      </c>
      <c r="K2" s="2" t="s">
        <v>36</v>
      </c>
      <c r="L2" s="1" t="s">
        <v>37</v>
      </c>
      <c r="N2" s="1">
        <f>2024</f>
        <v>2024</v>
      </c>
      <c r="O2" s="1">
        <f>+N2+1</f>
        <v>2025</v>
      </c>
      <c r="P2" s="1">
        <f t="shared" ref="P2:T2" si="1">+O2+1</f>
        <v>2026</v>
      </c>
      <c r="Q2" s="1">
        <f t="shared" si="1"/>
        <v>2027</v>
      </c>
      <c r="R2" s="1">
        <f t="shared" si="1"/>
        <v>2028</v>
      </c>
      <c r="S2" s="1">
        <f t="shared" si="1"/>
        <v>2029</v>
      </c>
      <c r="T2" s="1">
        <f t="shared" si="1"/>
        <v>2030</v>
      </c>
      <c r="U2" s="1">
        <f>T2+1</f>
        <v>2031</v>
      </c>
      <c r="V2" s="1">
        <f t="shared" ref="V2:W2" si="2">U2+1</f>
        <v>2032</v>
      </c>
      <c r="W2" s="1">
        <f t="shared" si="2"/>
        <v>2033</v>
      </c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</row>
    <row r="3" spans="1:234" s="7" customFormat="1" ht="15.75" thickBot="1" x14ac:dyDescent="0.3">
      <c r="B3" s="7" t="s">
        <v>14</v>
      </c>
      <c r="C3" s="8"/>
      <c r="D3" s="8"/>
      <c r="E3" s="8"/>
      <c r="F3" s="8"/>
      <c r="G3" s="9">
        <v>323410</v>
      </c>
      <c r="H3" s="9">
        <v>614532</v>
      </c>
      <c r="I3" s="9">
        <v>1296025</v>
      </c>
      <c r="J3" s="9">
        <v>2240461</v>
      </c>
      <c r="K3" s="18">
        <f>J3*1.4</f>
        <v>3136645.4</v>
      </c>
      <c r="L3" s="8"/>
      <c r="M3" s="8"/>
      <c r="N3" s="28">
        <f>K3*1.3</f>
        <v>4077639.02</v>
      </c>
      <c r="O3" s="28">
        <f>N3*1.3</f>
        <v>5300930.7259999998</v>
      </c>
      <c r="P3" s="28">
        <f>O3*1.3</f>
        <v>6891209.9437999995</v>
      </c>
      <c r="Q3" s="28">
        <f>P3*1.25</f>
        <v>8614012.4297499992</v>
      </c>
      <c r="R3" s="28">
        <f>Q3*1.15</f>
        <v>9906114.2942124978</v>
      </c>
      <c r="S3" s="28">
        <f>R3*1.15</f>
        <v>11392031.438344372</v>
      </c>
      <c r="T3" s="28">
        <f>S3*1.15</f>
        <v>13100836.154096028</v>
      </c>
      <c r="U3" s="28">
        <f>T3*1.15</f>
        <v>15065961.57721043</v>
      </c>
      <c r="V3" s="28">
        <f>U3*1.15</f>
        <v>17325855.813791994</v>
      </c>
      <c r="W3" s="28">
        <f>V3*1.15</f>
        <v>19924734.18586079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</row>
    <row r="4" spans="1:234" x14ac:dyDescent="0.25">
      <c r="B4" t="s">
        <v>15</v>
      </c>
      <c r="C4" s="4"/>
      <c r="D4" s="4"/>
      <c r="E4" s="4"/>
      <c r="F4" s="4"/>
      <c r="G4" s="4">
        <v>103889</v>
      </c>
      <c r="H4" s="4">
        <v>346589</v>
      </c>
      <c r="I4" s="4">
        <v>794162</v>
      </c>
      <c r="J4" s="4">
        <v>1484273</v>
      </c>
      <c r="K4" s="19">
        <f>J4*1.3</f>
        <v>1929554.9000000001</v>
      </c>
      <c r="L4" s="4"/>
      <c r="M4" s="4"/>
      <c r="N4" s="29">
        <f>K4*1.3</f>
        <v>2508421.37</v>
      </c>
      <c r="O4" s="29">
        <f>N4*1.25</f>
        <v>3135526.7125000004</v>
      </c>
      <c r="P4" s="29">
        <f>O4*1.2</f>
        <v>3762632.0550000002</v>
      </c>
      <c r="Q4" s="29">
        <f>P4*1.2</f>
        <v>4515158.466</v>
      </c>
      <c r="R4" s="29">
        <f>Q4*1.1</f>
        <v>4966674.3126000008</v>
      </c>
      <c r="S4" s="29">
        <f>R4*1.1</f>
        <v>5463341.7438600017</v>
      </c>
      <c r="T4" s="29">
        <f>S4*1.1</f>
        <v>6009675.9182460019</v>
      </c>
      <c r="U4" s="29">
        <f t="shared" ref="U4:CF4" si="3">T4*1.1</f>
        <v>6610643.5100706024</v>
      </c>
      <c r="V4" s="29">
        <f t="shared" si="3"/>
        <v>7271707.8610776635</v>
      </c>
      <c r="W4" s="29">
        <f t="shared" si="3"/>
        <v>7998878.6471854309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</row>
    <row r="5" spans="1:234" s="7" customFormat="1" ht="15.75" thickBot="1" x14ac:dyDescent="0.3">
      <c r="B5" s="7" t="s">
        <v>18</v>
      </c>
      <c r="C5" s="8"/>
      <c r="D5" s="8"/>
      <c r="E5" s="8"/>
      <c r="F5" s="8"/>
      <c r="G5" s="11">
        <f>+G3-G4</f>
        <v>219521</v>
      </c>
      <c r="H5" s="11">
        <f>+H3-H4</f>
        <v>267943</v>
      </c>
      <c r="I5" s="11">
        <f>+I3-I4</f>
        <v>501863</v>
      </c>
      <c r="J5" s="11">
        <f>+J3-J4</f>
        <v>756188</v>
      </c>
      <c r="K5" s="20">
        <f>+K3-K4</f>
        <v>1207090.4999999998</v>
      </c>
      <c r="L5" s="8"/>
      <c r="M5" s="8"/>
      <c r="N5" s="20">
        <f t="shared" ref="N5:T5" si="4">+N3-N4</f>
        <v>1569217.65</v>
      </c>
      <c r="O5" s="20">
        <f t="shared" si="4"/>
        <v>2165404.0134999994</v>
      </c>
      <c r="P5" s="20">
        <f t="shared" si="4"/>
        <v>3128577.8887999994</v>
      </c>
      <c r="Q5" s="20">
        <f t="shared" si="4"/>
        <v>4098853.9637499992</v>
      </c>
      <c r="R5" s="20">
        <f t="shared" si="4"/>
        <v>4939439.981612497</v>
      </c>
      <c r="S5" s="20">
        <f t="shared" si="4"/>
        <v>5928689.6944843708</v>
      </c>
      <c r="T5" s="20">
        <f t="shared" si="4"/>
        <v>7091160.2358500259</v>
      </c>
      <c r="U5" s="20">
        <f t="shared" ref="U5" si="5">+U3-U4</f>
        <v>8455318.0671398267</v>
      </c>
      <c r="V5" s="20">
        <f t="shared" ref="V5" si="6">+V3-V4</f>
        <v>10054147.952714331</v>
      </c>
      <c r="W5" s="20">
        <f t="shared" ref="W5" si="7">+W3-W4</f>
        <v>11925855.53867536</v>
      </c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</row>
    <row r="6" spans="1:234" ht="15.75" thickTop="1" x14ac:dyDescent="0.25">
      <c r="C6" s="4"/>
      <c r="D6" s="4"/>
      <c r="E6" s="4"/>
      <c r="F6" s="4"/>
      <c r="G6" s="4"/>
      <c r="H6" s="4"/>
      <c r="I6" s="4"/>
      <c r="J6" s="4"/>
      <c r="K6" s="19"/>
      <c r="L6" s="4"/>
      <c r="M6" s="4"/>
      <c r="N6" s="27"/>
      <c r="O6" s="27"/>
      <c r="P6" s="27"/>
      <c r="Q6" s="27"/>
      <c r="R6" s="27"/>
      <c r="S6" s="27"/>
      <c r="T6" s="27"/>
      <c r="U6" s="27"/>
      <c r="V6" s="27"/>
      <c r="W6" s="27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</row>
    <row r="7" spans="1:234" x14ac:dyDescent="0.25">
      <c r="B7" s="7" t="s">
        <v>28</v>
      </c>
      <c r="C7" s="4"/>
      <c r="D7" s="4"/>
      <c r="E7" s="4"/>
      <c r="F7" s="4"/>
      <c r="G7" s="4"/>
      <c r="H7" s="16"/>
      <c r="I7" s="16"/>
      <c r="J7" s="16"/>
      <c r="K7" s="19"/>
      <c r="L7" s="4"/>
      <c r="M7" s="4"/>
      <c r="N7" s="27"/>
      <c r="O7" s="27"/>
      <c r="P7" s="27"/>
      <c r="Q7" s="27"/>
      <c r="R7" s="27"/>
      <c r="S7" s="27"/>
      <c r="T7" s="27"/>
      <c r="U7" s="27"/>
      <c r="V7" s="27"/>
      <c r="W7" s="27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</row>
    <row r="8" spans="1:234" x14ac:dyDescent="0.25">
      <c r="B8" t="s">
        <v>16</v>
      </c>
      <c r="C8" s="4"/>
      <c r="D8" s="4"/>
      <c r="E8" s="4"/>
      <c r="F8" s="4"/>
      <c r="G8" s="4">
        <v>185269</v>
      </c>
      <c r="H8" s="4">
        <v>495192</v>
      </c>
      <c r="I8" s="4">
        <v>981500</v>
      </c>
      <c r="J8" s="4">
        <v>1185977</v>
      </c>
      <c r="K8" s="19">
        <f>J8*1.35</f>
        <v>1601068.9500000002</v>
      </c>
      <c r="L8" s="4"/>
      <c r="M8" s="4"/>
      <c r="N8" s="29">
        <f>K8*1.15</f>
        <v>1841229.2925</v>
      </c>
      <c r="O8" s="29">
        <f>N8*1.15</f>
        <v>2117413.6863749996</v>
      </c>
      <c r="P8" s="29">
        <f>O8*1.15</f>
        <v>2435025.7393312491</v>
      </c>
      <c r="Q8" s="29">
        <f t="shared" ref="Q8:T8" si="8">P8*1.1</f>
        <v>2678528.3132643742</v>
      </c>
      <c r="R8" s="29">
        <f t="shared" si="8"/>
        <v>2946381.1445908118</v>
      </c>
      <c r="S8" s="29">
        <f t="shared" si="8"/>
        <v>3241019.2590498934</v>
      </c>
      <c r="T8" s="29">
        <f t="shared" si="8"/>
        <v>3565121.1849548831</v>
      </c>
      <c r="U8" s="29">
        <f t="shared" ref="U8:CF8" si="9">T8*1.1</f>
        <v>3921633.3034503716</v>
      </c>
      <c r="V8" s="29">
        <f t="shared" si="9"/>
        <v>4313796.6337954095</v>
      </c>
      <c r="W8" s="29">
        <f t="shared" si="9"/>
        <v>4745176.2971749511</v>
      </c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</row>
    <row r="9" spans="1:234" x14ac:dyDescent="0.25">
      <c r="B9" t="s">
        <v>30</v>
      </c>
      <c r="C9" s="4"/>
      <c r="D9" s="4"/>
      <c r="E9" s="4"/>
      <c r="F9" s="4"/>
      <c r="G9" s="4">
        <v>55929</v>
      </c>
      <c r="H9" s="4">
        <v>168633</v>
      </c>
      <c r="I9" s="4">
        <v>253655</v>
      </c>
      <c r="J9" s="4">
        <v>318247</v>
      </c>
      <c r="K9" s="19">
        <f>J9*1.25</f>
        <v>397808.75</v>
      </c>
      <c r="L9" s="4"/>
      <c r="M9" s="4"/>
      <c r="N9" s="29">
        <f>K9*1.25</f>
        <v>497260.9375</v>
      </c>
      <c r="O9" s="29">
        <f>N9*1.1</f>
        <v>546987.03125</v>
      </c>
      <c r="P9" s="29">
        <f>O9*1.1</f>
        <v>601685.734375</v>
      </c>
      <c r="Q9" s="29">
        <f>P9*1.1</f>
        <v>661854.30781250005</v>
      </c>
      <c r="R9" s="29">
        <f>Q9*1.1</f>
        <v>728039.73859375017</v>
      </c>
      <c r="S9" s="29">
        <f>R9*1.05</f>
        <v>764441.72552343772</v>
      </c>
      <c r="T9" s="29">
        <f>S9*1.05</f>
        <v>802663.81179960968</v>
      </c>
      <c r="U9" s="29">
        <f t="shared" ref="U9:CF9" si="10">T9*1.05</f>
        <v>842797.00238959026</v>
      </c>
      <c r="V9" s="29">
        <f t="shared" si="10"/>
        <v>884936.85250906984</v>
      </c>
      <c r="W9" s="29">
        <f t="shared" si="10"/>
        <v>929183.69513452332</v>
      </c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</row>
    <row r="10" spans="1:234" x14ac:dyDescent="0.25">
      <c r="B10" t="s">
        <v>17</v>
      </c>
      <c r="C10" s="4"/>
      <c r="D10" s="4"/>
      <c r="E10" s="4"/>
      <c r="F10" s="4"/>
      <c r="G10" s="4">
        <v>124868</v>
      </c>
      <c r="H10" s="4">
        <v>447374</v>
      </c>
      <c r="I10" s="4">
        <v>828325</v>
      </c>
      <c r="J10" s="4">
        <v>763720</v>
      </c>
      <c r="K10" s="19">
        <f>763720-(J10*0.1)</f>
        <v>687348</v>
      </c>
      <c r="L10" s="4"/>
      <c r="M10" s="4"/>
      <c r="N10" s="29">
        <f>687348-(K10*0.05)</f>
        <v>652980.6</v>
      </c>
      <c r="O10" s="29">
        <f>639233.64-(N10*0.02)</f>
        <v>626174.02800000005</v>
      </c>
      <c r="P10" s="29">
        <f>594487.29-(O10*0.02)</f>
        <v>581963.80943999998</v>
      </c>
      <c r="Q10" s="29">
        <f>P10</f>
        <v>581963.80943999998</v>
      </c>
      <c r="R10" s="29">
        <f t="shared" ref="R10:T10" si="11">Q10</f>
        <v>581963.80943999998</v>
      </c>
      <c r="S10" s="29">
        <f t="shared" si="11"/>
        <v>581963.80943999998</v>
      </c>
      <c r="T10" s="29">
        <f t="shared" si="11"/>
        <v>581963.80943999998</v>
      </c>
      <c r="U10" s="29">
        <f t="shared" ref="U10:CF10" si="12">T10</f>
        <v>581963.80943999998</v>
      </c>
      <c r="V10" s="29">
        <f t="shared" si="12"/>
        <v>581963.80943999998</v>
      </c>
      <c r="W10" s="29">
        <f t="shared" si="12"/>
        <v>581963.80943999998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</row>
    <row r="11" spans="1:234" s="7" customFormat="1" x14ac:dyDescent="0.25">
      <c r="B11" s="7" t="s">
        <v>19</v>
      </c>
      <c r="C11" s="8"/>
      <c r="D11" s="8"/>
      <c r="E11" s="8"/>
      <c r="F11" s="8"/>
      <c r="G11" s="10">
        <f>SUM(G8:G10)</f>
        <v>366066</v>
      </c>
      <c r="H11" s="10">
        <f>SUM(H8:H10)</f>
        <v>1111199</v>
      </c>
      <c r="I11" s="10">
        <f>SUM(I8:I10)</f>
        <v>2063480</v>
      </c>
      <c r="J11" s="10">
        <f>SUM(J8:J10)</f>
        <v>2267944</v>
      </c>
      <c r="K11" s="22">
        <f>SUM(K8:K10)</f>
        <v>2686225.7</v>
      </c>
      <c r="L11" s="8"/>
      <c r="M11" s="8"/>
      <c r="N11" s="22">
        <f t="shared" ref="N11:T11" si="13">SUM(N8:N10)</f>
        <v>2991470.83</v>
      </c>
      <c r="O11" s="22">
        <f t="shared" si="13"/>
        <v>3290574.7456249995</v>
      </c>
      <c r="P11" s="22">
        <f t="shared" si="13"/>
        <v>3618675.2831462491</v>
      </c>
      <c r="Q11" s="22">
        <f t="shared" si="13"/>
        <v>3922346.4305168744</v>
      </c>
      <c r="R11" s="22">
        <f t="shared" si="13"/>
        <v>4256384.6926245615</v>
      </c>
      <c r="S11" s="22">
        <f t="shared" si="13"/>
        <v>4587424.7940133307</v>
      </c>
      <c r="T11" s="22">
        <f t="shared" si="13"/>
        <v>4949748.8061944926</v>
      </c>
      <c r="U11" s="22">
        <f t="shared" ref="U11" si="14">SUM(U8:U10)</f>
        <v>5346394.1152799614</v>
      </c>
      <c r="V11" s="22">
        <f t="shared" ref="V11" si="15">SUM(V8:V10)</f>
        <v>5780697.2957444796</v>
      </c>
      <c r="W11" s="22">
        <f t="shared" ref="W11" si="16">SUM(W8:W10)</f>
        <v>6256323.8017494744</v>
      </c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</row>
    <row r="12" spans="1:234" s="7" customFormat="1" ht="15.75" thickBot="1" x14ac:dyDescent="0.3">
      <c r="B12" s="7" t="s">
        <v>26</v>
      </c>
      <c r="G12" s="11">
        <f>+G5-G11</f>
        <v>-146545</v>
      </c>
      <c r="H12" s="11">
        <f>+H5-H11</f>
        <v>-843256</v>
      </c>
      <c r="I12" s="11">
        <f>+I5-I11</f>
        <v>-1561617</v>
      </c>
      <c r="J12" s="11">
        <f>+J5-J11</f>
        <v>-1511756</v>
      </c>
      <c r="K12" s="20">
        <f>+K5-K11</f>
        <v>-1479135.2000000004</v>
      </c>
      <c r="L12" s="8"/>
      <c r="M12" s="8"/>
      <c r="N12" s="20">
        <f t="shared" ref="N12:T12" si="17">+N5-N11</f>
        <v>-1422253.1800000002</v>
      </c>
      <c r="O12" s="20">
        <f t="shared" si="17"/>
        <v>-1125170.7321250001</v>
      </c>
      <c r="P12" s="20">
        <f t="shared" si="17"/>
        <v>-490097.39434624976</v>
      </c>
      <c r="Q12" s="20">
        <f t="shared" si="17"/>
        <v>176507.53323312476</v>
      </c>
      <c r="R12" s="20">
        <f t="shared" si="17"/>
        <v>683055.28898793552</v>
      </c>
      <c r="S12" s="20">
        <f t="shared" si="17"/>
        <v>1341264.90047104</v>
      </c>
      <c r="T12" s="20">
        <f t="shared" si="17"/>
        <v>2141411.4296555333</v>
      </c>
      <c r="U12" s="20">
        <f t="shared" ref="U12" si="18">+U5-U11</f>
        <v>3108923.9518598653</v>
      </c>
      <c r="V12" s="20">
        <f t="shared" ref="V12" si="19">+V5-V11</f>
        <v>4273450.6569698518</v>
      </c>
      <c r="W12" s="20">
        <f t="shared" ref="W12" si="20">+W5-W11</f>
        <v>5669531.736925886</v>
      </c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</row>
    <row r="13" spans="1:234" s="7" customFormat="1" ht="15.75" thickTop="1" x14ac:dyDescent="0.25">
      <c r="B13" s="7" t="s">
        <v>27</v>
      </c>
      <c r="G13" s="8"/>
      <c r="H13" s="8"/>
      <c r="I13" s="8"/>
      <c r="J13" s="8"/>
      <c r="K13" s="21"/>
      <c r="L13" s="8"/>
      <c r="M13" s="8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</row>
    <row r="14" spans="1:234" x14ac:dyDescent="0.25">
      <c r="B14" t="s">
        <v>20</v>
      </c>
      <c r="C14" s="4"/>
      <c r="D14" s="4"/>
      <c r="E14" s="4"/>
      <c r="F14" s="4"/>
      <c r="G14" s="4">
        <v>1348</v>
      </c>
      <c r="H14" s="4">
        <v>-1070</v>
      </c>
      <c r="I14" s="4">
        <v>1957</v>
      </c>
      <c r="J14" s="4">
        <v>18702</v>
      </c>
      <c r="K14" s="19">
        <f>J14</f>
        <v>18702</v>
      </c>
      <c r="L14" s="25" t="s">
        <v>39</v>
      </c>
      <c r="M14" s="30"/>
      <c r="N14" s="29">
        <f>K14</f>
        <v>18702</v>
      </c>
      <c r="O14" s="29">
        <f>N14</f>
        <v>18702</v>
      </c>
      <c r="P14" s="29">
        <f t="shared" ref="P14:T14" si="21">O14</f>
        <v>18702</v>
      </c>
      <c r="Q14" s="29">
        <f t="shared" si="21"/>
        <v>18702</v>
      </c>
      <c r="R14" s="29">
        <f t="shared" si="21"/>
        <v>18702</v>
      </c>
      <c r="S14" s="29">
        <f t="shared" si="21"/>
        <v>18702</v>
      </c>
      <c r="T14" s="29">
        <f t="shared" si="21"/>
        <v>18702</v>
      </c>
      <c r="U14" s="29">
        <f t="shared" ref="U14:CF14" si="22">T14</f>
        <v>18702</v>
      </c>
      <c r="V14" s="29">
        <f t="shared" si="22"/>
        <v>18702</v>
      </c>
      <c r="W14" s="29">
        <f t="shared" si="22"/>
        <v>18702</v>
      </c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</row>
    <row r="15" spans="1:234" x14ac:dyDescent="0.25">
      <c r="B15" t="s">
        <v>21</v>
      </c>
      <c r="C15" s="4"/>
      <c r="D15" s="4"/>
      <c r="E15" s="4"/>
      <c r="F15" s="4"/>
      <c r="G15" s="4">
        <v>0</v>
      </c>
      <c r="H15" s="4">
        <v>-387565</v>
      </c>
      <c r="I15" s="4">
        <v>30065</v>
      </c>
      <c r="J15" s="4">
        <v>29396</v>
      </c>
      <c r="K15" s="19">
        <f>J15</f>
        <v>29396</v>
      </c>
      <c r="L15" s="25"/>
      <c r="M15" s="30"/>
      <c r="N15" s="29">
        <f>K15</f>
        <v>29396</v>
      </c>
      <c r="O15" s="29">
        <f>N15</f>
        <v>29396</v>
      </c>
      <c r="P15" s="29">
        <f t="shared" ref="P15:T15" si="23">O15</f>
        <v>29396</v>
      </c>
      <c r="Q15" s="29">
        <f t="shared" si="23"/>
        <v>29396</v>
      </c>
      <c r="R15" s="29">
        <f t="shared" si="23"/>
        <v>29396</v>
      </c>
      <c r="S15" s="29">
        <f t="shared" si="23"/>
        <v>29396</v>
      </c>
      <c r="T15" s="29">
        <f t="shared" si="23"/>
        <v>29396</v>
      </c>
      <c r="U15" s="29">
        <f t="shared" ref="U15:CF15" si="24">T15</f>
        <v>29396</v>
      </c>
      <c r="V15" s="29">
        <f t="shared" si="24"/>
        <v>29396</v>
      </c>
      <c r="W15" s="29">
        <f t="shared" si="24"/>
        <v>29396</v>
      </c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</row>
    <row r="16" spans="1:234" x14ac:dyDescent="0.25">
      <c r="B16" t="s">
        <v>22</v>
      </c>
      <c r="C16" s="4"/>
      <c r="D16" s="4"/>
      <c r="E16" s="4"/>
      <c r="F16" s="4"/>
      <c r="G16" s="4">
        <v>3000</v>
      </c>
      <c r="H16" s="4">
        <v>0</v>
      </c>
      <c r="I16" s="4">
        <v>11951</v>
      </c>
      <c r="J16" s="4">
        <v>20700</v>
      </c>
      <c r="K16" s="19">
        <f>J16</f>
        <v>20700</v>
      </c>
      <c r="L16" s="25"/>
      <c r="M16" s="30"/>
      <c r="N16" s="29">
        <f>K16</f>
        <v>20700</v>
      </c>
      <c r="O16" s="29">
        <f>N16</f>
        <v>20700</v>
      </c>
      <c r="P16" s="29">
        <f t="shared" ref="P16:T16" si="25">O16</f>
        <v>20700</v>
      </c>
      <c r="Q16" s="29">
        <f t="shared" si="25"/>
        <v>20700</v>
      </c>
      <c r="R16" s="29">
        <f t="shared" si="25"/>
        <v>20700</v>
      </c>
      <c r="S16" s="29">
        <f t="shared" si="25"/>
        <v>20700</v>
      </c>
      <c r="T16" s="29">
        <f t="shared" si="25"/>
        <v>20700</v>
      </c>
      <c r="U16" s="29">
        <f t="shared" ref="U16:CF16" si="26">T16</f>
        <v>20700</v>
      </c>
      <c r="V16" s="29">
        <f t="shared" si="26"/>
        <v>20700</v>
      </c>
      <c r="W16" s="29">
        <f t="shared" si="26"/>
        <v>20700</v>
      </c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</row>
    <row r="17" spans="2:234" s="7" customFormat="1" x14ac:dyDescent="0.25">
      <c r="B17" s="7" t="s">
        <v>29</v>
      </c>
      <c r="G17" s="12">
        <f>SUM(G14:G16)</f>
        <v>4348</v>
      </c>
      <c r="H17" s="12">
        <f>SUM(H14:H16)</f>
        <v>-388635</v>
      </c>
      <c r="I17" s="12">
        <f>SUM(I14:I16)</f>
        <v>43973</v>
      </c>
      <c r="J17" s="12">
        <f>SUM(J14:J16)</f>
        <v>68798</v>
      </c>
      <c r="K17" s="23">
        <f>SUM(K14:K16)</f>
        <v>68798</v>
      </c>
      <c r="L17" s="25"/>
      <c r="M17" s="30"/>
      <c r="N17" s="23">
        <f>SUM(N14:N16)</f>
        <v>68798</v>
      </c>
      <c r="O17" s="23">
        <f t="shared" ref="O17:T17" si="27">SUM(O14:O16)</f>
        <v>68798</v>
      </c>
      <c r="P17" s="23">
        <f t="shared" si="27"/>
        <v>68798</v>
      </c>
      <c r="Q17" s="23">
        <f t="shared" si="27"/>
        <v>68798</v>
      </c>
      <c r="R17" s="23">
        <f t="shared" si="27"/>
        <v>68798</v>
      </c>
      <c r="S17" s="23">
        <f t="shared" si="27"/>
        <v>68798</v>
      </c>
      <c r="T17" s="23">
        <f t="shared" si="27"/>
        <v>68798</v>
      </c>
      <c r="U17" s="23">
        <f t="shared" ref="U17" si="28">SUM(U14:U16)</f>
        <v>68798</v>
      </c>
      <c r="V17" s="23">
        <f t="shared" ref="V17" si="29">SUM(V14:V16)</f>
        <v>68798</v>
      </c>
      <c r="W17" s="23">
        <f t="shared" ref="W17" si="30">SUM(W14:W16)</f>
        <v>68798</v>
      </c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</row>
    <row r="18" spans="2:234" s="7" customFormat="1" ht="15.75" thickBot="1" x14ac:dyDescent="0.3">
      <c r="B18" s="7" t="s">
        <v>23</v>
      </c>
      <c r="C18" s="8"/>
      <c r="D18" s="8"/>
      <c r="E18" s="8"/>
      <c r="F18" s="8"/>
      <c r="G18" s="13">
        <f>G12+G17</f>
        <v>-142197</v>
      </c>
      <c r="H18" s="13">
        <f>H12+H17</f>
        <v>-1231891</v>
      </c>
      <c r="I18" s="13">
        <f>I12+I17</f>
        <v>-1517644</v>
      </c>
      <c r="J18" s="13">
        <f>J12+J17</f>
        <v>-1442958</v>
      </c>
      <c r="K18" s="24">
        <f>K12+K17</f>
        <v>-1410337.2000000004</v>
      </c>
      <c r="L18" s="25"/>
      <c r="M18" s="30"/>
      <c r="N18" s="24">
        <f>N12+N17</f>
        <v>-1353455.1800000002</v>
      </c>
      <c r="O18" s="24">
        <f t="shared" ref="O18:T18" si="31">O12+O17</f>
        <v>-1056372.7321250001</v>
      </c>
      <c r="P18" s="24">
        <f t="shared" si="31"/>
        <v>-421299.39434624976</v>
      </c>
      <c r="Q18" s="24">
        <f t="shared" si="31"/>
        <v>245305.53323312476</v>
      </c>
      <c r="R18" s="24">
        <f t="shared" si="31"/>
        <v>751853.28898793552</v>
      </c>
      <c r="S18" s="24">
        <f t="shared" si="31"/>
        <v>1410062.90047104</v>
      </c>
      <c r="T18" s="24">
        <f t="shared" si="31"/>
        <v>2210209.4296555333</v>
      </c>
      <c r="U18" s="24">
        <f t="shared" ref="U18" si="32">U12+U17</f>
        <v>3177721.9518598653</v>
      </c>
      <c r="V18" s="24">
        <f t="shared" ref="V18" si="33">V12+V17</f>
        <v>4342248.6569698518</v>
      </c>
      <c r="W18" s="24">
        <f t="shared" ref="W18" si="34">W12+W17</f>
        <v>5738329.736925886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</row>
    <row r="19" spans="2:234" ht="15.75" thickTop="1" x14ac:dyDescent="0.25">
      <c r="B19" t="s">
        <v>35</v>
      </c>
      <c r="C19" s="4"/>
      <c r="D19" s="4"/>
      <c r="E19" s="4"/>
      <c r="F19" s="4"/>
      <c r="G19" s="4">
        <v>58</v>
      </c>
      <c r="H19" s="4">
        <v>-622</v>
      </c>
      <c r="I19" s="4">
        <v>8269</v>
      </c>
      <c r="J19" s="4">
        <v>67866</v>
      </c>
      <c r="K19" s="19">
        <f>J19</f>
        <v>67866</v>
      </c>
      <c r="L19" s="25"/>
      <c r="M19" s="30"/>
      <c r="N19" s="29">
        <f>67866-(K19*0.7)</f>
        <v>20359.800000000003</v>
      </c>
      <c r="O19" s="29">
        <f>20359.8-(N19*0.3)</f>
        <v>14251.859999999999</v>
      </c>
      <c r="P19" s="29">
        <f>14251.86-(O19*0.15)</f>
        <v>12114.081000000002</v>
      </c>
      <c r="Q19" s="29">
        <f t="shared" ref="Q19:T19" si="35">P19</f>
        <v>12114.081000000002</v>
      </c>
      <c r="R19" s="29">
        <f t="shared" si="35"/>
        <v>12114.081000000002</v>
      </c>
      <c r="S19" s="29">
        <f t="shared" si="35"/>
        <v>12114.081000000002</v>
      </c>
      <c r="T19" s="29">
        <f t="shared" si="35"/>
        <v>12114.081000000002</v>
      </c>
      <c r="U19" s="29">
        <f t="shared" ref="U19:CF19" si="36">T19</f>
        <v>12114.081000000002</v>
      </c>
      <c r="V19" s="29">
        <f t="shared" si="36"/>
        <v>12114.081000000002</v>
      </c>
      <c r="W19" s="29">
        <f t="shared" si="36"/>
        <v>12114.081000000002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</row>
    <row r="20" spans="2:234" x14ac:dyDescent="0.25">
      <c r="B20" t="s">
        <v>24</v>
      </c>
      <c r="C20" s="4"/>
      <c r="D20" s="4"/>
      <c r="E20" s="4"/>
      <c r="F20" s="4"/>
      <c r="G20" s="4">
        <v>479</v>
      </c>
      <c r="H20" s="4">
        <v>566</v>
      </c>
      <c r="I20" s="4">
        <v>-2718</v>
      </c>
      <c r="J20" s="4">
        <v>-2895</v>
      </c>
      <c r="K20" s="19">
        <f>J20</f>
        <v>-2895</v>
      </c>
      <c r="L20" s="25"/>
      <c r="M20" s="30"/>
      <c r="N20" s="29">
        <f>K20</f>
        <v>-2895</v>
      </c>
      <c r="O20" s="29">
        <f>N20</f>
        <v>-2895</v>
      </c>
      <c r="P20" s="29">
        <f t="shared" ref="P20:T20" si="37">O20</f>
        <v>-2895</v>
      </c>
      <c r="Q20" s="29">
        <f t="shared" si="37"/>
        <v>-2895</v>
      </c>
      <c r="R20" s="29">
        <f t="shared" si="37"/>
        <v>-2895</v>
      </c>
      <c r="S20" s="29">
        <f t="shared" si="37"/>
        <v>-2895</v>
      </c>
      <c r="T20" s="29">
        <f t="shared" si="37"/>
        <v>-2895</v>
      </c>
      <c r="U20" s="29">
        <f t="shared" ref="U20:CF20" si="38">T20</f>
        <v>-2895</v>
      </c>
      <c r="V20" s="29">
        <f t="shared" si="38"/>
        <v>-2895</v>
      </c>
      <c r="W20" s="29">
        <f t="shared" si="38"/>
        <v>-2895</v>
      </c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</row>
    <row r="21" spans="2:234" s="7" customFormat="1" ht="15.75" thickBot="1" x14ac:dyDescent="0.3">
      <c r="B21" s="7" t="s">
        <v>25</v>
      </c>
      <c r="C21" s="8"/>
      <c r="D21" s="8"/>
      <c r="E21" s="8"/>
      <c r="F21" s="8"/>
      <c r="G21" s="11">
        <f>G18+G19+G20</f>
        <v>-141660</v>
      </c>
      <c r="H21" s="11">
        <f>H18+H19+H20</f>
        <v>-1231947</v>
      </c>
      <c r="I21" s="11">
        <f>I18+I19+I20</f>
        <v>-1512093</v>
      </c>
      <c r="J21" s="11">
        <f>J18+J19+J20</f>
        <v>-1377987</v>
      </c>
      <c r="K21" s="20">
        <f>K18+K19+K20</f>
        <v>-1345366.2000000004</v>
      </c>
      <c r="L21" s="25"/>
      <c r="M21" s="30"/>
      <c r="N21" s="20">
        <f>N18+N19+N20</f>
        <v>-1335990.3800000001</v>
      </c>
      <c r="O21" s="20">
        <f>O18+O19+O20</f>
        <v>-1045015.8721250001</v>
      </c>
      <c r="P21" s="20">
        <f t="shared" ref="P21:T21" si="39">P18+P19+P20</f>
        <v>-412080.31334624975</v>
      </c>
      <c r="Q21" s="20">
        <f t="shared" si="39"/>
        <v>254524.61423312477</v>
      </c>
      <c r="R21" s="20">
        <f t="shared" si="39"/>
        <v>761072.36998793553</v>
      </c>
      <c r="S21" s="20">
        <f t="shared" si="39"/>
        <v>1419281.9814710401</v>
      </c>
      <c r="T21" s="20">
        <f t="shared" si="39"/>
        <v>2219428.5106555331</v>
      </c>
      <c r="U21" s="20">
        <f t="shared" ref="U21" si="40">U18+U19+U20</f>
        <v>3186941.0328598651</v>
      </c>
      <c r="V21" s="20">
        <f t="shared" ref="V21" si="41">V18+V19+V20</f>
        <v>4351467.7379698521</v>
      </c>
      <c r="W21" s="20">
        <f t="shared" ref="W21" si="42">W18+W19+W20</f>
        <v>5747548.8179258863</v>
      </c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</row>
    <row r="22" spans="2:234" ht="15.75" thickTop="1" x14ac:dyDescent="0.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234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2:234" s="14" customFormat="1" x14ac:dyDescent="0.25">
      <c r="B24" s="7" t="s">
        <v>31</v>
      </c>
      <c r="G24" s="36"/>
      <c r="H24" s="16">
        <f>(H3-G3)/G3</f>
        <v>0.90016387866794467</v>
      </c>
      <c r="I24" s="16">
        <f>(I3-H3)/H3</f>
        <v>1.1089625926721474</v>
      </c>
      <c r="J24" s="16">
        <f>(J3-I3)/I3</f>
        <v>0.72871742443239906</v>
      </c>
      <c r="K24" s="15"/>
      <c r="L24" s="15"/>
      <c r="M24" s="15"/>
      <c r="N24" s="34"/>
      <c r="O24" s="33">
        <f>(O3-N3)/N3</f>
        <v>0.29999999999999993</v>
      </c>
      <c r="P24" s="33">
        <f t="shared" ref="P24:T24" si="43">(P3-O3)/O3</f>
        <v>0.3</v>
      </c>
      <c r="Q24" s="33">
        <f t="shared" si="43"/>
        <v>0.24999999999999997</v>
      </c>
      <c r="R24" s="33">
        <f t="shared" si="43"/>
        <v>0.14999999999999986</v>
      </c>
      <c r="S24" s="33">
        <f t="shared" si="43"/>
        <v>0.15</v>
      </c>
      <c r="T24" s="33">
        <f t="shared" si="43"/>
        <v>0.14999999999999997</v>
      </c>
      <c r="U24" s="33">
        <f t="shared" ref="U24:W24" si="44">(U3-T3)/T3</f>
        <v>0.14999999999999986</v>
      </c>
      <c r="V24" s="33">
        <f t="shared" si="44"/>
        <v>0.14999999999999997</v>
      </c>
      <c r="W24" s="33">
        <f t="shared" si="44"/>
        <v>0.14999999999999983</v>
      </c>
    </row>
    <row r="25" spans="2:234" x14ac:dyDescent="0.25">
      <c r="B25" s="7" t="s">
        <v>32</v>
      </c>
      <c r="G25" s="36"/>
      <c r="H25" s="16">
        <f>(H4-G4)/G4</f>
        <v>2.3361472340671292</v>
      </c>
      <c r="I25" s="16">
        <f>(I4-H4)/H4</f>
        <v>1.2913652770284112</v>
      </c>
      <c r="J25" s="16">
        <f>(J4-I4)/I4</f>
        <v>0.86898013251704309</v>
      </c>
      <c r="K25" s="4"/>
      <c r="L25" s="4"/>
      <c r="M25" s="4"/>
      <c r="N25" s="35"/>
      <c r="O25" s="33">
        <f>(O4-N4)/N4</f>
        <v>0.25000000000000011</v>
      </c>
      <c r="P25" s="33">
        <f t="shared" ref="P25:T25" si="45">(P4-O4)/O4</f>
        <v>0.1999999999999999</v>
      </c>
      <c r="Q25" s="33">
        <f t="shared" si="45"/>
        <v>0.19999999999999996</v>
      </c>
      <c r="R25" s="33">
        <f t="shared" si="45"/>
        <v>0.10000000000000016</v>
      </c>
      <c r="S25" s="33">
        <f t="shared" si="45"/>
        <v>0.10000000000000017</v>
      </c>
      <c r="T25" s="33">
        <f t="shared" si="45"/>
        <v>0.10000000000000002</v>
      </c>
      <c r="U25" s="33">
        <f t="shared" ref="U25:W25" si="46">(U4-T4)/T4</f>
        <v>0.10000000000000005</v>
      </c>
      <c r="V25" s="33">
        <f t="shared" si="46"/>
        <v>0.10000000000000013</v>
      </c>
      <c r="W25" s="33">
        <f t="shared" si="46"/>
        <v>0.10000000000000014</v>
      </c>
    </row>
    <row r="26" spans="2:234" x14ac:dyDescent="0.25">
      <c r="B26" s="7" t="s">
        <v>33</v>
      </c>
      <c r="G26" s="35"/>
      <c r="H26" s="16">
        <f>(H5-G5)/G5</f>
        <v>0.22058026339165729</v>
      </c>
      <c r="I26" s="16">
        <f>(I5-H5)/H5</f>
        <v>0.87302150084159691</v>
      </c>
      <c r="J26" s="16">
        <f>(J5-I5)/I5</f>
        <v>0.50676180551265981</v>
      </c>
      <c r="K26" s="4"/>
      <c r="L26" s="4"/>
      <c r="M26" s="4"/>
      <c r="N26" s="35"/>
      <c r="O26" s="33">
        <f>(O5-N5)/N5</f>
        <v>0.37992585891447217</v>
      </c>
      <c r="P26" s="33">
        <f t="shared" ref="P26:T26" si="47">(P5-O5)/O5</f>
        <v>0.4448010021664256</v>
      </c>
      <c r="Q26" s="33">
        <f t="shared" si="47"/>
        <v>0.31013326483687448</v>
      </c>
      <c r="R26" s="33">
        <f t="shared" si="47"/>
        <v>0.20507830366648494</v>
      </c>
      <c r="S26" s="33">
        <f t="shared" si="47"/>
        <v>0.20027568237582469</v>
      </c>
      <c r="T26" s="33">
        <f t="shared" si="47"/>
        <v>0.19607545701829102</v>
      </c>
      <c r="U26" s="33">
        <f t="shared" ref="U26:W26" si="48">(U5-T5)/T5</f>
        <v>0.19237441912441533</v>
      </c>
      <c r="V26" s="33">
        <f t="shared" si="48"/>
        <v>0.18909163119340106</v>
      </c>
      <c r="W26" s="33">
        <f t="shared" si="48"/>
        <v>0.18616272555007723</v>
      </c>
    </row>
    <row r="27" spans="2:234" x14ac:dyDescent="0.25">
      <c r="B27" s="7" t="s">
        <v>34</v>
      </c>
      <c r="C27" s="4"/>
      <c r="D27" s="4"/>
      <c r="E27" s="4"/>
      <c r="F27" s="4"/>
      <c r="G27" s="37"/>
      <c r="H27" s="16">
        <f>-(H21-G21)/G21</f>
        <v>-7.6965057179161374</v>
      </c>
      <c r="I27" s="16">
        <f>-(I21-H21)/H21</f>
        <v>-0.2274010164398306</v>
      </c>
      <c r="J27" s="16">
        <f>(J21-I21)/I21</f>
        <v>-8.8688989367717463E-2</v>
      </c>
      <c r="K27" s="4"/>
      <c r="L27" s="4"/>
      <c r="M27" s="4"/>
      <c r="N27" s="35"/>
      <c r="O27" s="33">
        <f>O21/N21-1</f>
        <v>-0.21779685859339792</v>
      </c>
      <c r="P27" s="33">
        <f t="shared" ref="P27:T27" si="49">P21/O21-1</f>
        <v>-0.60567076124087948</v>
      </c>
      <c r="Q27" s="33">
        <f t="shared" si="49"/>
        <v>-1.6176577865763293</v>
      </c>
      <c r="R27" s="33">
        <f t="shared" si="49"/>
        <v>1.9901719811304868</v>
      </c>
      <c r="S27" s="33">
        <f t="shared" si="49"/>
        <v>0.86484497064784849</v>
      </c>
      <c r="T27" s="33">
        <f t="shared" si="49"/>
        <v>0.56376853904335977</v>
      </c>
      <c r="U27" s="33">
        <f t="shared" ref="U27:W27" si="50">U21/T21-1</f>
        <v>0.43592867152930581</v>
      </c>
      <c r="V27" s="33">
        <f t="shared" si="50"/>
        <v>0.36540578978487592</v>
      </c>
      <c r="W27" s="33">
        <f t="shared" si="50"/>
        <v>0.32082992774464802</v>
      </c>
    </row>
    <row r="28" spans="2:234" ht="15.75" thickBot="1" x14ac:dyDescent="0.3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2:234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9" t="s">
        <v>48</v>
      </c>
      <c r="O29" s="40"/>
      <c r="P29" s="38">
        <f>W21*(1+0.025)/(0.15-0.025)</f>
        <v>47129900.306992263</v>
      </c>
    </row>
    <row r="30" spans="2:234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31" t="s">
        <v>40</v>
      </c>
      <c r="O30" s="41"/>
      <c r="P30" s="42">
        <f>SUM(P29,T21)</f>
        <v>49349328.817647792</v>
      </c>
    </row>
    <row r="31" spans="2:234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31"/>
      <c r="O31" s="43"/>
      <c r="P31" s="44"/>
    </row>
    <row r="32" spans="2:234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31" t="s">
        <v>41</v>
      </c>
      <c r="O32" s="43"/>
      <c r="P32" s="39">
        <f>NPV(0.15,N21:W21,P30)</f>
        <v>14055795.840100255</v>
      </c>
    </row>
    <row r="33" spans="3:16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31" t="s">
        <v>42</v>
      </c>
      <c r="O33" s="43"/>
      <c r="P33" s="45">
        <f>Main!E6</f>
        <v>1309172</v>
      </c>
    </row>
    <row r="34" spans="3:16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31" t="s">
        <v>43</v>
      </c>
      <c r="O34" s="43"/>
      <c r="P34" s="45">
        <f>Main!E7</f>
        <v>1251103</v>
      </c>
    </row>
    <row r="35" spans="3:16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31" t="s">
        <v>44</v>
      </c>
      <c r="O35" s="43"/>
      <c r="P35" s="39">
        <f>P32+P33-P34</f>
        <v>14113864.840100255</v>
      </c>
    </row>
    <row r="36" spans="3:16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31" t="s">
        <v>45</v>
      </c>
      <c r="O36" s="43"/>
      <c r="P36" s="46">
        <f>Main!E4</f>
        <v>451630</v>
      </c>
    </row>
    <row r="37" spans="3:16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31" t="s">
        <v>46</v>
      </c>
      <c r="O37" s="43"/>
      <c r="P37" s="44">
        <f>P35/P36</f>
        <v>31.250946217258054</v>
      </c>
    </row>
    <row r="38" spans="3:16" ht="15.75" thickBot="1" x14ac:dyDescent="0.3">
      <c r="N38" s="32" t="s">
        <v>47</v>
      </c>
      <c r="O38" s="47"/>
      <c r="P38" s="48">
        <f>P37/Main!E3-1</f>
        <v>0.74781578396297843</v>
      </c>
    </row>
  </sheetData>
  <mergeCells count="2">
    <mergeCell ref="L14:L21"/>
    <mergeCell ref="N1:W1"/>
  </mergeCells>
  <conditionalFormatting sqref="P38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7F0B-88E5-47B8-A174-C9A65C29AFAB}">
  <sheetPr>
    <tabColor theme="1" tint="4.9989318521683403E-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442E-77BC-4687-BED6-E87CAD8C00FB}">
  <sheetPr>
    <tabColor theme="4" tint="0.59999389629810485"/>
  </sheetPr>
  <dimension ref="Y10:Z20"/>
  <sheetViews>
    <sheetView workbookViewId="0">
      <selection activeCell="Z20" sqref="Z20"/>
    </sheetView>
  </sheetViews>
  <sheetFormatPr defaultRowHeight="15" x14ac:dyDescent="0.25"/>
  <cols>
    <col min="25" max="25" width="13.85546875" bestFit="1" customWidth="1"/>
    <col min="26" max="26" width="13.28515625" bestFit="1" customWidth="1"/>
  </cols>
  <sheetData>
    <row r="10" spans="25:26" x14ac:dyDescent="0.25">
      <c r="Y10" t="s">
        <v>3</v>
      </c>
      <c r="Z10" s="4">
        <v>2152892</v>
      </c>
    </row>
    <row r="11" spans="25:26" x14ac:dyDescent="0.25">
      <c r="Y11" t="s">
        <v>6</v>
      </c>
      <c r="Z11" s="4">
        <v>476950</v>
      </c>
    </row>
    <row r="12" spans="25:26" ht="15.75" thickBot="1" x14ac:dyDescent="0.3">
      <c r="Y12" s="3" t="s">
        <v>7</v>
      </c>
      <c r="Z12" s="5">
        <f>SUM(Z10:Z11)</f>
        <v>2629842</v>
      </c>
    </row>
    <row r="17" spans="25:26" x14ac:dyDescent="0.25">
      <c r="Y17" t="s">
        <v>11</v>
      </c>
      <c r="Z17">
        <v>79125</v>
      </c>
    </row>
    <row r="18" spans="25:26" x14ac:dyDescent="0.25">
      <c r="Y18" t="s">
        <v>8</v>
      </c>
      <c r="Z18" s="4">
        <v>528874</v>
      </c>
    </row>
    <row r="19" spans="25:26" x14ac:dyDescent="0.25">
      <c r="Y19" t="s">
        <v>9</v>
      </c>
      <c r="Z19" s="4">
        <v>49272</v>
      </c>
    </row>
    <row r="20" spans="25:26" ht="15.75" thickBot="1" x14ac:dyDescent="0.3">
      <c r="Y20" s="3" t="s">
        <v>10</v>
      </c>
      <c r="Z20" s="5">
        <f>SUM(Z17:Z19)</f>
        <v>657271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AA05-07E0-4A73-9D6F-C85714B9352D}">
  <sheetPr>
    <tabColor theme="4" tint="0.59999389629810485"/>
  </sheetPr>
  <dimension ref="A1"/>
  <sheetViews>
    <sheetView topLeftCell="A10" workbookViewId="0">
      <selection activeCell="C51" sqref="C5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Supporting Docs -&gt;</vt:lpstr>
      <vt:lpstr>2021 Balance Sheet</vt:lpstr>
      <vt:lpstr>2021 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Morton</dc:creator>
  <cp:lastModifiedBy>Josh Morton</cp:lastModifiedBy>
  <dcterms:created xsi:type="dcterms:W3CDTF">2023-03-27T23:34:27Z</dcterms:created>
  <dcterms:modified xsi:type="dcterms:W3CDTF">2023-03-28T01:53:42Z</dcterms:modified>
</cp:coreProperties>
</file>