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4b76a65d58f2796f/Desktop/Personal Finance Plan/"/>
    </mc:Choice>
  </mc:AlternateContent>
  <xr:revisionPtr revIDLastSave="401" documentId="8_{EC81D1ED-7F28-4A45-8BAC-DAF68445CC93}" xr6:coauthVersionLast="47" xr6:coauthVersionMax="47" xr10:uidLastSave="{8AB7B0C2-995C-49F1-B2F6-510C6C614111}"/>
  <bookViews>
    <workbookView xWindow="-120" yWindow="-120" windowWidth="29040" windowHeight="15720" activeTab="1" xr2:uid="{00000000-000D-0000-FFFF-FFFF00000000}"/>
  </bookViews>
  <sheets>
    <sheet name="Main" sheetId="89" r:id="rId1"/>
    <sheet name="Consolidated Statements of Ope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4" l="1"/>
  <c r="T7" i="4" s="1"/>
  <c r="U7" i="4" s="1"/>
  <c r="V7" i="4" s="1"/>
  <c r="W7" i="4" s="1"/>
  <c r="S6" i="4"/>
  <c r="T6" i="4" s="1"/>
  <c r="U6" i="4" s="1"/>
  <c r="V6" i="4" s="1"/>
  <c r="W6" i="4" s="1"/>
  <c r="S5" i="4"/>
  <c r="T5" i="4" s="1"/>
  <c r="U5" i="4" s="1"/>
  <c r="V5" i="4" s="1"/>
  <c r="W5" i="4" s="1"/>
  <c r="S4" i="4"/>
  <c r="T4" i="4" s="1"/>
  <c r="U4" i="4" s="1"/>
  <c r="V4" i="4" s="1"/>
  <c r="W4" i="4" s="1"/>
  <c r="R7" i="4"/>
  <c r="R6" i="4"/>
  <c r="R5" i="4"/>
  <c r="R4" i="4"/>
  <c r="Q7" i="4"/>
  <c r="Q4" i="4"/>
  <c r="P7" i="4"/>
  <c r="P6" i="4"/>
  <c r="Q6" i="4" s="1"/>
  <c r="P5" i="4"/>
  <c r="Q5" i="4" s="1"/>
  <c r="P4" i="4"/>
  <c r="O7" i="4"/>
  <c r="O4" i="4"/>
  <c r="O6" i="4"/>
  <c r="O5" i="4"/>
  <c r="N7" i="4"/>
  <c r="N4" i="4"/>
  <c r="M4" i="4"/>
  <c r="M7" i="4"/>
  <c r="L17" i="4"/>
  <c r="L7" i="4"/>
  <c r="L4" i="4"/>
  <c r="C47" i="4"/>
  <c r="C45" i="4"/>
  <c r="C44" i="4"/>
  <c r="D5" i="89"/>
  <c r="D6" i="89"/>
  <c r="D3" i="89"/>
  <c r="D4" i="89" s="1"/>
  <c r="P18" i="4"/>
  <c r="P16" i="4"/>
  <c r="O18" i="4"/>
  <c r="O16" i="4"/>
  <c r="N18" i="4"/>
  <c r="N16" i="4"/>
  <c r="O20" i="4"/>
  <c r="N20" i="4"/>
  <c r="M20" i="4"/>
  <c r="Q18" i="4"/>
  <c r="R18" i="4" s="1"/>
  <c r="S18" i="4" s="1"/>
  <c r="T18" i="4" s="1"/>
  <c r="U18" i="4" s="1"/>
  <c r="V18" i="4" s="1"/>
  <c r="W18" i="4" s="1"/>
  <c r="Q16" i="4"/>
  <c r="R16" i="4" s="1"/>
  <c r="S16" i="4" s="1"/>
  <c r="T16" i="4" s="1"/>
  <c r="U16" i="4" s="1"/>
  <c r="V16" i="4" s="1"/>
  <c r="W16" i="4" s="1"/>
  <c r="W36" i="4"/>
  <c r="V36" i="4"/>
  <c r="U36" i="4"/>
  <c r="T36" i="4"/>
  <c r="S36" i="4"/>
  <c r="R36" i="4"/>
  <c r="Q36" i="4"/>
  <c r="P36" i="4"/>
  <c r="O36" i="4"/>
  <c r="N36" i="4"/>
  <c r="M36" i="4"/>
  <c r="O32" i="4"/>
  <c r="P32" i="4" s="1"/>
  <c r="Q32" i="4" s="1"/>
  <c r="R32" i="4" s="1"/>
  <c r="S32" i="4" s="1"/>
  <c r="T32" i="4" s="1"/>
  <c r="U32" i="4" s="1"/>
  <c r="V32" i="4" s="1"/>
  <c r="W32" i="4" s="1"/>
  <c r="O30" i="4"/>
  <c r="P30" i="4" s="1"/>
  <c r="Q30" i="4" s="1"/>
  <c r="R30" i="4" s="1"/>
  <c r="S30" i="4" s="1"/>
  <c r="T30" i="4" s="1"/>
  <c r="U30" i="4" s="1"/>
  <c r="V30" i="4" s="1"/>
  <c r="W30" i="4" s="1"/>
  <c r="N32" i="4"/>
  <c r="N30" i="4"/>
  <c r="N6" i="4"/>
  <c r="N5" i="4"/>
  <c r="O13" i="4"/>
  <c r="P13" i="4" s="1"/>
  <c r="Q13" i="4" s="1"/>
  <c r="R13" i="4" s="1"/>
  <c r="S13" i="4" s="1"/>
  <c r="T13" i="4" s="1"/>
  <c r="U13" i="4" s="1"/>
  <c r="V13" i="4" s="1"/>
  <c r="W13" i="4" s="1"/>
  <c r="O12" i="4"/>
  <c r="P12" i="4" s="1"/>
  <c r="Q12" i="4" s="1"/>
  <c r="R12" i="4" s="1"/>
  <c r="S12" i="4" s="1"/>
  <c r="T12" i="4" s="1"/>
  <c r="U12" i="4" s="1"/>
  <c r="V12" i="4" s="1"/>
  <c r="W12" i="4" s="1"/>
  <c r="O11" i="4"/>
  <c r="P11" i="4" s="1"/>
  <c r="Q11" i="4" s="1"/>
  <c r="R11" i="4" s="1"/>
  <c r="S11" i="4" s="1"/>
  <c r="T11" i="4" s="1"/>
  <c r="U11" i="4" s="1"/>
  <c r="V11" i="4" s="1"/>
  <c r="W11" i="4" s="1"/>
  <c r="O10" i="4"/>
  <c r="O14" i="4" s="1"/>
  <c r="N13" i="4"/>
  <c r="N14" i="4" s="1"/>
  <c r="N12" i="4"/>
  <c r="N11" i="4"/>
  <c r="N10" i="4"/>
  <c r="M18" i="4"/>
  <c r="M16" i="4"/>
  <c r="P20" i="4"/>
  <c r="Q20" i="4" s="1"/>
  <c r="R20" i="4" s="1"/>
  <c r="S20" i="4" s="1"/>
  <c r="T20" i="4" s="1"/>
  <c r="U20" i="4" s="1"/>
  <c r="V20" i="4" s="1"/>
  <c r="W20" i="4" s="1"/>
  <c r="O28" i="4"/>
  <c r="P28" i="4" s="1"/>
  <c r="Q28" i="4" s="1"/>
  <c r="R28" i="4" s="1"/>
  <c r="S28" i="4" s="1"/>
  <c r="T28" i="4" s="1"/>
  <c r="U28" i="4" s="1"/>
  <c r="V28" i="4" s="1"/>
  <c r="W28" i="4" s="1"/>
  <c r="O27" i="4"/>
  <c r="P27" i="4" s="1"/>
  <c r="O26" i="4"/>
  <c r="P26" i="4" s="1"/>
  <c r="Q26" i="4" s="1"/>
  <c r="R26" i="4" s="1"/>
  <c r="S26" i="4" s="1"/>
  <c r="T26" i="4" s="1"/>
  <c r="U26" i="4" s="1"/>
  <c r="V26" i="4" s="1"/>
  <c r="W26" i="4" s="1"/>
  <c r="O25" i="4"/>
  <c r="N28" i="4"/>
  <c r="N27" i="4"/>
  <c r="N26" i="4"/>
  <c r="N25" i="4"/>
  <c r="M28" i="4"/>
  <c r="M27" i="4"/>
  <c r="M26" i="4"/>
  <c r="M25" i="4"/>
  <c r="G28" i="4"/>
  <c r="G27" i="4"/>
  <c r="G26" i="4"/>
  <c r="G25" i="4"/>
  <c r="M14" i="4"/>
  <c r="M13" i="4"/>
  <c r="M12" i="4"/>
  <c r="M11" i="4"/>
  <c r="M10" i="4"/>
  <c r="M32" i="4"/>
  <c r="M30" i="4"/>
  <c r="M6" i="4"/>
  <c r="M5" i="4"/>
  <c r="L37" i="4"/>
  <c r="L36" i="4"/>
  <c r="L13" i="4"/>
  <c r="L20" i="4"/>
  <c r="L28" i="4"/>
  <c r="L27" i="4"/>
  <c r="L26" i="4"/>
  <c r="L25" i="4"/>
  <c r="L19" i="4"/>
  <c r="G19" i="4" s="1"/>
  <c r="L18" i="4"/>
  <c r="L16" i="4"/>
  <c r="L14" i="4"/>
  <c r="L12" i="4"/>
  <c r="L11" i="4"/>
  <c r="L10" i="4"/>
  <c r="L8" i="4"/>
  <c r="L35" i="4" s="1"/>
  <c r="L32" i="4"/>
  <c r="L30" i="4"/>
  <c r="L6" i="4"/>
  <c r="L5" i="4"/>
  <c r="T2" i="4"/>
  <c r="U2" i="4" s="1"/>
  <c r="V2" i="4" s="1"/>
  <c r="W2" i="4" s="1"/>
  <c r="O2" i="4"/>
  <c r="P2" i="4" s="1"/>
  <c r="Q2" i="4" s="1"/>
  <c r="R2" i="4" s="1"/>
  <c r="S2" i="4" s="1"/>
  <c r="N2" i="4"/>
  <c r="G32" i="4"/>
  <c r="G31" i="4"/>
  <c r="G30" i="4"/>
  <c r="G29" i="4"/>
  <c r="G22" i="4"/>
  <c r="G20" i="4"/>
  <c r="G18" i="4"/>
  <c r="G17" i="4"/>
  <c r="G16" i="4"/>
  <c r="G13" i="4"/>
  <c r="G12" i="4"/>
  <c r="G11" i="4"/>
  <c r="G10" i="4"/>
  <c r="G9" i="4"/>
  <c r="G7" i="4"/>
  <c r="G6" i="4"/>
  <c r="G5" i="4"/>
  <c r="G4" i="4"/>
  <c r="J38" i="4"/>
  <c r="I38" i="4"/>
  <c r="J37" i="4"/>
  <c r="I37" i="4"/>
  <c r="J36" i="4"/>
  <c r="I36" i="4"/>
  <c r="J35" i="4"/>
  <c r="I35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L21" i="4" l="1"/>
  <c r="L38" i="4"/>
  <c r="L15" i="4"/>
  <c r="G15" i="4" s="1"/>
  <c r="M8" i="4"/>
  <c r="P10" i="4"/>
  <c r="Q27" i="4"/>
  <c r="P25" i="4"/>
  <c r="G14" i="4"/>
  <c r="G8" i="4"/>
  <c r="G21" i="4" l="1"/>
  <c r="L24" i="4"/>
  <c r="G24" i="4" s="1"/>
  <c r="L23" i="4"/>
  <c r="G23" i="4" s="1"/>
  <c r="O8" i="4"/>
  <c r="O15" i="4" s="1"/>
  <c r="O17" i="4" s="1"/>
  <c r="N8" i="4"/>
  <c r="M35" i="4"/>
  <c r="M15" i="4"/>
  <c r="M17" i="4" s="1"/>
  <c r="P8" i="4"/>
  <c r="P14" i="4"/>
  <c r="Q10" i="4"/>
  <c r="Q25" i="4"/>
  <c r="R27" i="4"/>
  <c r="P35" i="4" l="1"/>
  <c r="M37" i="4"/>
  <c r="M19" i="4"/>
  <c r="O19" i="4"/>
  <c r="O35" i="4"/>
  <c r="N35" i="4"/>
  <c r="N15" i="4"/>
  <c r="N17" i="4" s="1"/>
  <c r="P15" i="4"/>
  <c r="P17" i="4" s="1"/>
  <c r="Q8" i="4"/>
  <c r="Q35" i="4" s="1"/>
  <c r="Q14" i="4"/>
  <c r="R10" i="4"/>
  <c r="S27" i="4"/>
  <c r="R25" i="4"/>
  <c r="M21" i="4" l="1"/>
  <c r="M38" i="4"/>
  <c r="N19" i="4"/>
  <c r="O38" i="4" s="1"/>
  <c r="N37" i="4"/>
  <c r="O37" i="4"/>
  <c r="O21" i="4"/>
  <c r="P37" i="4"/>
  <c r="P19" i="4"/>
  <c r="Q15" i="4"/>
  <c r="Q17" i="4" s="1"/>
  <c r="R8" i="4"/>
  <c r="R35" i="4" s="1"/>
  <c r="R14" i="4"/>
  <c r="S10" i="4"/>
  <c r="T27" i="4"/>
  <c r="S25" i="4"/>
  <c r="N38" i="4" l="1"/>
  <c r="N21" i="4"/>
  <c r="M23" i="4"/>
  <c r="M24" i="4"/>
  <c r="P38" i="4"/>
  <c r="P21" i="4"/>
  <c r="Q37" i="4"/>
  <c r="Q19" i="4"/>
  <c r="O24" i="4"/>
  <c r="O23" i="4"/>
  <c r="R15" i="4"/>
  <c r="R17" i="4" s="1"/>
  <c r="S8" i="4"/>
  <c r="S35" i="4" s="1"/>
  <c r="S14" i="4"/>
  <c r="T10" i="4"/>
  <c r="T25" i="4"/>
  <c r="U27" i="4"/>
  <c r="N24" i="4" l="1"/>
  <c r="N23" i="4"/>
  <c r="Q38" i="4"/>
  <c r="Q21" i="4"/>
  <c r="R37" i="4"/>
  <c r="R19" i="4"/>
  <c r="P24" i="4"/>
  <c r="P23" i="4"/>
  <c r="S15" i="4"/>
  <c r="S17" i="4" s="1"/>
  <c r="T8" i="4"/>
  <c r="T35" i="4" s="1"/>
  <c r="T14" i="4"/>
  <c r="U10" i="4"/>
  <c r="V27" i="4"/>
  <c r="U25" i="4"/>
  <c r="R38" i="4" l="1"/>
  <c r="R21" i="4"/>
  <c r="S37" i="4"/>
  <c r="S19" i="4"/>
  <c r="Q23" i="4"/>
  <c r="Q24" i="4"/>
  <c r="T15" i="4"/>
  <c r="T17" i="4" s="1"/>
  <c r="U8" i="4"/>
  <c r="U35" i="4" s="1"/>
  <c r="U14" i="4"/>
  <c r="V10" i="4"/>
  <c r="V25" i="4"/>
  <c r="W27" i="4"/>
  <c r="S38" i="4" l="1"/>
  <c r="S21" i="4"/>
  <c r="T37" i="4"/>
  <c r="T19" i="4"/>
  <c r="R23" i="4"/>
  <c r="R24" i="4"/>
  <c r="U15" i="4"/>
  <c r="U17" i="4" s="1"/>
  <c r="V8" i="4"/>
  <c r="V35" i="4" s="1"/>
  <c r="W8" i="4"/>
  <c r="V14" i="4"/>
  <c r="W10" i="4"/>
  <c r="W14" i="4" s="1"/>
  <c r="W25" i="4"/>
  <c r="T38" i="4" l="1"/>
  <c r="T21" i="4"/>
  <c r="U37" i="4"/>
  <c r="U19" i="4"/>
  <c r="S23" i="4"/>
  <c r="S24" i="4"/>
  <c r="W35" i="4"/>
  <c r="V15" i="4"/>
  <c r="V17" i="4" s="1"/>
  <c r="W15" i="4"/>
  <c r="W17" i="4" s="1"/>
  <c r="V37" i="4" l="1"/>
  <c r="V19" i="4"/>
  <c r="T23" i="4"/>
  <c r="T24" i="4"/>
  <c r="U38" i="4"/>
  <c r="U21" i="4"/>
  <c r="U23" i="4" l="1"/>
  <c r="U24" i="4"/>
  <c r="V38" i="4"/>
  <c r="V21" i="4"/>
  <c r="W37" i="4"/>
  <c r="W19" i="4"/>
  <c r="V24" i="4" l="1"/>
  <c r="V23" i="4"/>
  <c r="W21" i="4"/>
  <c r="W38" i="4"/>
  <c r="W24" i="4" l="1"/>
  <c r="C40" i="4"/>
  <c r="C41" i="4" s="1"/>
  <c r="C43" i="4" s="1"/>
  <c r="C46" i="4" s="1"/>
  <c r="C48" i="4" s="1"/>
  <c r="C49" i="4" s="1"/>
  <c r="W23" i="4"/>
</calcChain>
</file>

<file path=xl/sharedStrings.xml><?xml version="1.0" encoding="utf-8"?>
<sst xmlns="http://schemas.openxmlformats.org/spreadsheetml/2006/main" count="77" uniqueCount="59">
  <si>
    <t>12 Months Ended</t>
  </si>
  <si>
    <t>Dec. 31, 2020</t>
  </si>
  <si>
    <t>UNH</t>
  </si>
  <si>
    <t>Dec. 31, 2019</t>
  </si>
  <si>
    <t>Consolidated Statements of Operations - USD ($) shares in Millions, $ in Millions</t>
  </si>
  <si>
    <t>Dec. 31, 2018</t>
  </si>
  <si>
    <t>Revenues:</t>
  </si>
  <si>
    <t>Premiums</t>
  </si>
  <si>
    <t>Products</t>
  </si>
  <si>
    <t>Services</t>
  </si>
  <si>
    <t>Investment and other income</t>
  </si>
  <si>
    <t>Total revenues</t>
  </si>
  <si>
    <t>Operating costs:</t>
  </si>
  <si>
    <t>Medical costs</t>
  </si>
  <si>
    <t>Operating costs</t>
  </si>
  <si>
    <t>Cost of products sold</t>
  </si>
  <si>
    <t>Depreciation and amortization</t>
  </si>
  <si>
    <t>Total operating costs</t>
  </si>
  <si>
    <t>Earnings from operations</t>
  </si>
  <si>
    <t>Interest expense</t>
  </si>
  <si>
    <t>Earnings before income taxes</t>
  </si>
  <si>
    <t>Provision for income taxes</t>
  </si>
  <si>
    <t>Net earnings</t>
  </si>
  <si>
    <t>Earnings attributable to noncontrolling interests</t>
  </si>
  <si>
    <t>Net earnings attributable to UnitedHealth Group common shareholders</t>
  </si>
  <si>
    <t>Earnings per share attributable to UnitedHealth Group common shareholders:</t>
  </si>
  <si>
    <t>Basic</t>
  </si>
  <si>
    <t>Diluted</t>
  </si>
  <si>
    <t>Basic weighted-average number of common shares outstanding</t>
  </si>
  <si>
    <t>Dilutive effect of common share equivalents</t>
  </si>
  <si>
    <t>Diluted weighted-average number of common shares outstanding</t>
  </si>
  <si>
    <t>Anti-dilutive shares excluded from the calculation of dilutive effect of common share equivalents</t>
  </si>
  <si>
    <t>Dec. 31, 2021</t>
  </si>
  <si>
    <t>Dec. 31, 2022</t>
  </si>
  <si>
    <t> </t>
  </si>
  <si>
    <t>YoY Revenue Growth</t>
  </si>
  <si>
    <t>Revenue from Products and Services</t>
  </si>
  <si>
    <t>YoY Operating Costs</t>
  </si>
  <si>
    <t>YoY EBIT</t>
  </si>
  <si>
    <t>YoY Net Earnings</t>
  </si>
  <si>
    <t>2023 Q3</t>
  </si>
  <si>
    <t>2023 Q1</t>
  </si>
  <si>
    <t>2023 Q2</t>
  </si>
  <si>
    <t>Dec. 31, 2023</t>
  </si>
  <si>
    <t>ESTIMATES</t>
  </si>
  <si>
    <t>2023 Q4 Estimate</t>
  </si>
  <si>
    <t>Share price</t>
  </si>
  <si>
    <t>Shares</t>
  </si>
  <si>
    <t>Market cap</t>
  </si>
  <si>
    <t>Cash</t>
  </si>
  <si>
    <t>Debt</t>
  </si>
  <si>
    <t>Terminal Value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</si>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</sst>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4" fillId="0" borderId="0" xfId="0" applyFont="1"/>
    <xf numFmtId="43" fontId="0" fillId="0" borderId="0" xfId="1" applyFont="1"/>
    <xf numFmtId="43" fontId="2" fillId="0" borderId="0" xfId="1" applyFont="1" applyAlignment="1">
      <alignment horizontal="right" vertical="top"/>
    </xf>
    <xf numFmtId="166" fontId="2" fillId="0" borderId="0" xfId="1" applyNumberFormat="1" applyFont="1" applyAlignment="1">
      <alignment horizontal="right" vertical="top"/>
    </xf>
    <xf numFmtId="166" fontId="0" fillId="0" borderId="0" xfId="1" applyNumberFormat="1" applyFont="1"/>
    <xf numFmtId="166" fontId="2" fillId="0" borderId="0" xfId="1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0" fontId="0" fillId="2" borderId="0" xfId="2" applyNumberFormat="1" applyFont="1" applyFill="1"/>
    <xf numFmtId="37" fontId="5" fillId="0" borderId="0" xfId="0" applyNumberFormat="1" applyFont="1" applyAlignment="1">
      <alignment horizontal="right" vertical="top"/>
    </xf>
    <xf numFmtId="166" fontId="5" fillId="0" borderId="0" xfId="1" applyNumberFormat="1" applyFont="1" applyAlignment="1">
      <alignment horizontal="right" vertical="top"/>
    </xf>
    <xf numFmtId="164" fontId="5" fillId="0" borderId="0" xfId="0" applyNumberFormat="1" applyFont="1" applyAlignment="1">
      <alignment horizontal="right" vertical="top"/>
    </xf>
    <xf numFmtId="43" fontId="6" fillId="0" borderId="0" xfId="1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3" borderId="0" xfId="0" applyFill="1"/>
    <xf numFmtId="166" fontId="6" fillId="3" borderId="0" xfId="1" applyNumberFormat="1" applyFont="1" applyFill="1" applyAlignment="1">
      <alignment horizontal="right" vertical="top"/>
    </xf>
    <xf numFmtId="166" fontId="5" fillId="3" borderId="0" xfId="1" applyNumberFormat="1" applyFont="1" applyFill="1" applyAlignment="1">
      <alignment horizontal="right" vertical="top"/>
    </xf>
    <xf numFmtId="166" fontId="6" fillId="3" borderId="0" xfId="1" applyNumberFormat="1" applyFont="1" applyFill="1" applyAlignment="1">
      <alignment vertical="top" wrapText="1"/>
    </xf>
    <xf numFmtId="43" fontId="6" fillId="3" borderId="0" xfId="1" applyFont="1" applyFill="1" applyAlignment="1">
      <alignment horizontal="right" vertical="top"/>
    </xf>
    <xf numFmtId="43" fontId="0" fillId="0" borderId="0" xfId="1" applyFont="1" applyFill="1"/>
    <xf numFmtId="43" fontId="0" fillId="3" borderId="0" xfId="1" applyFont="1" applyFill="1"/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37" fontId="5" fillId="0" borderId="2" xfId="0" applyNumberFormat="1" applyFont="1" applyBorder="1" applyAlignment="1">
      <alignment horizontal="right" vertical="top"/>
    </xf>
    <xf numFmtId="166" fontId="5" fillId="0" borderId="2" xfId="1" applyNumberFormat="1" applyFont="1" applyBorder="1" applyAlignment="1">
      <alignment horizontal="right" vertical="top"/>
    </xf>
    <xf numFmtId="166" fontId="5" fillId="3" borderId="2" xfId="1" applyNumberFormat="1" applyFont="1" applyFill="1" applyBorder="1" applyAlignment="1">
      <alignment horizontal="right" vertical="top"/>
    </xf>
    <xf numFmtId="166" fontId="4" fillId="0" borderId="2" xfId="1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166" fontId="0" fillId="4" borderId="0" xfId="1" applyNumberFormat="1" applyFont="1" applyFill="1"/>
    <xf numFmtId="166" fontId="4" fillId="4" borderId="0" xfId="1" applyNumberFormat="1" applyFont="1" applyFill="1" applyBorder="1"/>
    <xf numFmtId="166" fontId="0" fillId="4" borderId="0" xfId="1" applyNumberFormat="1" applyFont="1" applyFill="1" applyBorder="1"/>
    <xf numFmtId="166" fontId="4" fillId="4" borderId="0" xfId="1" applyNumberFormat="1" applyFont="1" applyFill="1"/>
    <xf numFmtId="166" fontId="0" fillId="4" borderId="0" xfId="1" applyNumberFormat="1" applyFont="1" applyFill="1" applyAlignment="1">
      <alignment vertical="top"/>
    </xf>
    <xf numFmtId="0" fontId="4" fillId="0" borderId="3" xfId="0" applyFont="1" applyBorder="1"/>
    <xf numFmtId="0" fontId="7" fillId="0" borderId="4" xfId="0" applyFont="1" applyBorder="1"/>
    <xf numFmtId="0" fontId="7" fillId="0" borderId="5" xfId="0" applyFont="1" applyBorder="1"/>
    <xf numFmtId="43" fontId="0" fillId="0" borderId="6" xfId="0" applyNumberFormat="1" applyBorder="1"/>
    <xf numFmtId="43" fontId="0" fillId="0" borderId="7" xfId="0" applyNumberFormat="1" applyBorder="1"/>
    <xf numFmtId="0" fontId="0" fillId="0" borderId="7" xfId="0" applyBorder="1"/>
    <xf numFmtId="8" fontId="0" fillId="0" borderId="7" xfId="0" applyNumberFormat="1" applyBorder="1"/>
    <xf numFmtId="10" fontId="0" fillId="0" borderId="8" xfId="2" applyNumberFormat="1" applyFont="1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9</xdr:row>
      <xdr:rowOff>0</xdr:rowOff>
    </xdr:from>
    <xdr:to>
      <xdr:col>10</xdr:col>
      <xdr:colOff>362689</xdr:colOff>
      <xdr:row>67</xdr:row>
      <xdr:rowOff>163490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C12CFE-3C68-2C66-5131-1CD1032EA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1714500"/>
          <a:ext cx="5296639" cy="11212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CEB8-0965-4BFD-9A8B-750E4B3C701C}">
  <dimension ref="C2:D6"/>
  <sheetViews>
    <sheetView workbookViewId="0">
      <selection activeCell="E6" sqref="E6"/>
    </sheetView>
  </sheetViews>
  <sheetFormatPr defaultRowHeight="15" x14ac:dyDescent="0.25"/>
  <sheetData>
    <row r="2" spans="3:4" x14ac:dyDescent="0.25">
      <c r="C2" t="s">
        <v>46</v>
      </c>
      <c r="D2">
        <v>536.52</v>
      </c>
    </row>
    <row r="3" spans="3:4" x14ac:dyDescent="0.25">
      <c r="C3" t="s">
        <v>47</v>
      </c>
      <c r="D3">
        <f>ROUND('Consolidated Statements of Oper'!G25,)</f>
        <v>930</v>
      </c>
    </row>
    <row r="4" spans="3:4" x14ac:dyDescent="0.25">
      <c r="C4" t="s">
        <v>48</v>
      </c>
      <c r="D4">
        <f>D3*D2</f>
        <v>498963.6</v>
      </c>
    </row>
    <row r="5" spans="3:4" x14ac:dyDescent="0.25">
      <c r="C5" t="s">
        <v>49</v>
      </c>
      <c r="D5">
        <f>23365+17681+12769</f>
        <v>53815</v>
      </c>
    </row>
    <row r="6" spans="3:4" x14ac:dyDescent="0.25">
      <c r="C6" t="s">
        <v>50</v>
      </c>
      <c r="D6">
        <f>54513+3110</f>
        <v>57623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W49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E47" sqref="E47"/>
    </sheetView>
  </sheetViews>
  <sheetFormatPr defaultRowHeight="15" outlineLevelCol="1" x14ac:dyDescent="0.25"/>
  <cols>
    <col min="1" max="1" width="80" customWidth="1"/>
    <col min="2" max="2" width="30.5703125" bestFit="1" customWidth="1"/>
    <col min="3" max="4" width="14" customWidth="1"/>
    <col min="5" max="7" width="13.5703125" customWidth="1"/>
    <col min="8" max="8" width="10.42578125" customWidth="1" outlineLevel="1"/>
    <col min="9" max="10" width="10.5703125" customWidth="1" outlineLevel="1"/>
    <col min="11" max="11" width="3.5703125" customWidth="1" outlineLevel="1"/>
    <col min="12" max="12" width="11.5703125" bestFit="1" customWidth="1" outlineLevel="1"/>
    <col min="13" max="14" width="11.5703125" bestFit="1" customWidth="1"/>
    <col min="15" max="23" width="11.5703125" style="39" bestFit="1" customWidth="1"/>
  </cols>
  <sheetData>
    <row r="1" spans="1:23" ht="15" customHeight="1" x14ac:dyDescent="0.25">
      <c r="A1" s="53" t="s">
        <v>4</v>
      </c>
      <c r="B1" s="55" t="s">
        <v>0</v>
      </c>
      <c r="C1" s="55"/>
      <c r="D1" s="55"/>
      <c r="E1" s="55"/>
      <c r="F1" s="55"/>
      <c r="G1" s="1"/>
      <c r="L1" s="56" t="s">
        <v>44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</row>
    <row r="2" spans="1:23" ht="30.75" thickBot="1" x14ac:dyDescent="0.3">
      <c r="A2" s="54"/>
      <c r="B2" s="28" t="s">
        <v>5</v>
      </c>
      <c r="C2" s="28" t="s">
        <v>3</v>
      </c>
      <c r="D2" s="28" t="s">
        <v>1</v>
      </c>
      <c r="E2" s="28" t="s">
        <v>32</v>
      </c>
      <c r="F2" s="28" t="s">
        <v>33</v>
      </c>
      <c r="G2" s="35" t="s">
        <v>43</v>
      </c>
      <c r="H2" s="29" t="s">
        <v>41</v>
      </c>
      <c r="I2" s="29" t="s">
        <v>42</v>
      </c>
      <c r="J2" s="29" t="s">
        <v>40</v>
      </c>
      <c r="L2" s="36" t="s">
        <v>45</v>
      </c>
      <c r="M2" s="37">
        <v>2024</v>
      </c>
      <c r="N2" s="37">
        <f>M2+1</f>
        <v>2025</v>
      </c>
      <c r="O2" s="38">
        <f t="shared" ref="O2:W2" si="0">N2+1</f>
        <v>2026</v>
      </c>
      <c r="P2" s="38">
        <f t="shared" si="0"/>
        <v>2027</v>
      </c>
      <c r="Q2" s="38">
        <f t="shared" si="0"/>
        <v>2028</v>
      </c>
      <c r="R2" s="38">
        <f t="shared" si="0"/>
        <v>2029</v>
      </c>
      <c r="S2" s="38">
        <f t="shared" si="0"/>
        <v>2030</v>
      </c>
      <c r="T2" s="38">
        <f t="shared" si="0"/>
        <v>2031</v>
      </c>
      <c r="U2" s="38">
        <f t="shared" si="0"/>
        <v>2032</v>
      </c>
      <c r="V2" s="38">
        <f t="shared" si="0"/>
        <v>2033</v>
      </c>
      <c r="W2" s="38">
        <f t="shared" si="0"/>
        <v>2034</v>
      </c>
    </row>
    <row r="3" spans="1:23" x14ac:dyDescent="0.25">
      <c r="A3" s="2" t="s">
        <v>6</v>
      </c>
      <c r="H3" s="20"/>
      <c r="I3" s="21"/>
      <c r="J3" s="21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3" x14ac:dyDescent="0.25">
      <c r="A4" s="3" t="s">
        <v>7</v>
      </c>
      <c r="B4" s="4">
        <v>178087</v>
      </c>
      <c r="C4" s="4">
        <v>189699</v>
      </c>
      <c r="D4" s="4">
        <v>201478</v>
      </c>
      <c r="E4" s="10">
        <v>226233</v>
      </c>
      <c r="F4" s="10">
        <v>257157</v>
      </c>
      <c r="G4" s="10">
        <f>SUM(H4:L4)</f>
        <v>295001.73</v>
      </c>
      <c r="H4" s="22">
        <v>72786</v>
      </c>
      <c r="I4" s="22">
        <v>72474</v>
      </c>
      <c r="J4" s="22">
        <v>72339</v>
      </c>
      <c r="L4" s="40">
        <f>J4*1.07</f>
        <v>77402.73000000001</v>
      </c>
      <c r="M4" s="40">
        <f>G4*1.05</f>
        <v>309751.81650000002</v>
      </c>
      <c r="N4" s="40">
        <f>ROUND(M4*1.05,)</f>
        <v>325239</v>
      </c>
      <c r="O4" s="40">
        <f>ROUND(N4*1.06,)</f>
        <v>344753</v>
      </c>
      <c r="P4" s="40">
        <f t="shared" ref="P4" si="1">ROUND(O4*1.06,)</f>
        <v>365438</v>
      </c>
      <c r="Q4" s="40">
        <f>ROUND(P4*1.07,)</f>
        <v>391019</v>
      </c>
      <c r="R4" s="40">
        <f t="shared" ref="R4" si="2">ROUND(Q4*1.07,)</f>
        <v>418390</v>
      </c>
      <c r="S4" s="40">
        <f t="shared" ref="S4" si="3">ROUND(R4*1.07,)</f>
        <v>447677</v>
      </c>
      <c r="T4" s="40">
        <f t="shared" ref="T4" si="4">ROUND(S4*1.07,)</f>
        <v>479014</v>
      </c>
      <c r="U4" s="40">
        <f t="shared" ref="U4" si="5">ROUND(T4*1.07,)</f>
        <v>512545</v>
      </c>
      <c r="V4" s="40">
        <f t="shared" ref="V4" si="6">ROUND(U4*1.07,)</f>
        <v>548423</v>
      </c>
      <c r="W4" s="40">
        <f t="shared" ref="W4" si="7">ROUND(V4*1.07,)</f>
        <v>586813</v>
      </c>
    </row>
    <row r="5" spans="1:23" x14ac:dyDescent="0.25">
      <c r="A5" s="3" t="s">
        <v>8</v>
      </c>
      <c r="B5" s="5">
        <v>29601</v>
      </c>
      <c r="C5" s="5">
        <v>31597</v>
      </c>
      <c r="D5" s="5">
        <v>34145</v>
      </c>
      <c r="E5" s="10">
        <v>0</v>
      </c>
      <c r="F5" s="10">
        <v>0</v>
      </c>
      <c r="G5" s="10">
        <f t="shared" ref="G5:G32" si="8">SUM(H5:L5)</f>
        <v>0</v>
      </c>
      <c r="H5" s="27">
        <v>0</v>
      </c>
      <c r="I5" s="27">
        <v>0</v>
      </c>
      <c r="J5" s="27">
        <v>0</v>
      </c>
      <c r="L5" s="40">
        <f t="shared" ref="L5:L6" si="9">J5*1.05</f>
        <v>0</v>
      </c>
      <c r="M5" s="40">
        <f t="shared" ref="M5:M6" si="10">G5*1.05</f>
        <v>0</v>
      </c>
      <c r="N5" s="40">
        <f t="shared" ref="N5:N6" si="11">ROUND(M5*1.05,)</f>
        <v>0</v>
      </c>
      <c r="O5" s="40">
        <f t="shared" ref="O5" si="12">ROUND(N5*1.05,)</f>
        <v>0</v>
      </c>
      <c r="P5" s="40">
        <f t="shared" ref="P5:Q5" si="13">ROUND(O5*1.05,)</f>
        <v>0</v>
      </c>
      <c r="Q5" s="40">
        <f t="shared" si="13"/>
        <v>0</v>
      </c>
      <c r="R5" s="40">
        <f t="shared" ref="R5:S5" si="14">ROUND(Q5*1.05,)</f>
        <v>0</v>
      </c>
      <c r="S5" s="40">
        <f t="shared" ref="S5:S6" si="15">ROUND(R5*1.05,)</f>
        <v>0</v>
      </c>
      <c r="T5" s="40">
        <f t="shared" ref="T5:T6" si="16">ROUND(S5*1.05,)</f>
        <v>0</v>
      </c>
      <c r="U5" s="40">
        <f t="shared" ref="U5:U6" si="17">ROUND(T5*1.05,)</f>
        <v>0</v>
      </c>
      <c r="V5" s="40">
        <f t="shared" ref="V5:V6" si="18">ROUND(U5*1.05,)</f>
        <v>0</v>
      </c>
      <c r="W5" s="40">
        <f t="shared" ref="W5:W6" si="19">ROUND(V5*1.05,)</f>
        <v>0</v>
      </c>
    </row>
    <row r="6" spans="1:23" x14ac:dyDescent="0.25">
      <c r="A6" s="3" t="s">
        <v>9</v>
      </c>
      <c r="B6" s="5">
        <v>17183</v>
      </c>
      <c r="C6" s="5">
        <v>18973</v>
      </c>
      <c r="D6" s="5">
        <v>20016</v>
      </c>
      <c r="E6" s="10">
        <v>0</v>
      </c>
      <c r="F6" s="10">
        <v>0</v>
      </c>
      <c r="G6" s="10">
        <f t="shared" si="8"/>
        <v>0</v>
      </c>
      <c r="H6" s="27">
        <v>0</v>
      </c>
      <c r="I6" s="27">
        <v>0</v>
      </c>
      <c r="J6" s="27">
        <v>0</v>
      </c>
      <c r="L6" s="40">
        <f t="shared" si="9"/>
        <v>0</v>
      </c>
      <c r="M6" s="40">
        <f t="shared" si="10"/>
        <v>0</v>
      </c>
      <c r="N6" s="40">
        <f t="shared" si="11"/>
        <v>0</v>
      </c>
      <c r="O6" s="40">
        <f t="shared" ref="O6" si="20">ROUND(N6*1.05,)</f>
        <v>0</v>
      </c>
      <c r="P6" s="40">
        <f t="shared" ref="P6:Q6" si="21">ROUND(O6*1.05,)</f>
        <v>0</v>
      </c>
      <c r="Q6" s="40">
        <f t="shared" si="21"/>
        <v>0</v>
      </c>
      <c r="R6" s="40">
        <f t="shared" ref="R6:S6" si="22">ROUND(Q6*1.05,)</f>
        <v>0</v>
      </c>
      <c r="S6" s="40">
        <f t="shared" si="15"/>
        <v>0</v>
      </c>
      <c r="T6" s="40">
        <f t="shared" si="16"/>
        <v>0</v>
      </c>
      <c r="U6" s="40">
        <f t="shared" si="17"/>
        <v>0</v>
      </c>
      <c r="V6" s="40">
        <f t="shared" si="18"/>
        <v>0</v>
      </c>
      <c r="W6" s="40">
        <f t="shared" si="19"/>
        <v>0</v>
      </c>
    </row>
    <row r="7" spans="1:23" x14ac:dyDescent="0.25">
      <c r="A7" s="3" t="s">
        <v>10</v>
      </c>
      <c r="B7" s="5">
        <v>1376</v>
      </c>
      <c r="C7" s="5">
        <v>1886</v>
      </c>
      <c r="D7" s="5">
        <v>1502</v>
      </c>
      <c r="E7" s="10">
        <v>2324</v>
      </c>
      <c r="F7" s="10">
        <v>2030</v>
      </c>
      <c r="G7" s="10">
        <f t="shared" si="8"/>
        <v>3976.79</v>
      </c>
      <c r="H7" s="22">
        <v>798</v>
      </c>
      <c r="I7" s="22">
        <v>1115</v>
      </c>
      <c r="J7" s="22">
        <v>997</v>
      </c>
      <c r="L7" s="40">
        <f>J7*1.07</f>
        <v>1066.79</v>
      </c>
      <c r="M7" s="40">
        <f>G7*1.05</f>
        <v>4175.6295</v>
      </c>
      <c r="N7" s="40">
        <f>ROUND(M7*1.05,)</f>
        <v>4384</v>
      </c>
      <c r="O7" s="40">
        <f>ROUND(N7*1.06,)</f>
        <v>4647</v>
      </c>
      <c r="P7" s="40">
        <f t="shared" ref="P7" si="23">ROUND(O7*1.06,)</f>
        <v>4926</v>
      </c>
      <c r="Q7" s="40">
        <f>ROUND(P7*1.07,)</f>
        <v>5271</v>
      </c>
      <c r="R7" s="40">
        <f t="shared" ref="R7" si="24">ROUND(Q7*1.07,)</f>
        <v>5640</v>
      </c>
      <c r="S7" s="40">
        <f t="shared" ref="S7" si="25">ROUND(R7*1.07,)</f>
        <v>6035</v>
      </c>
      <c r="T7" s="40">
        <f t="shared" ref="T7" si="26">ROUND(S7*1.07,)</f>
        <v>6457</v>
      </c>
      <c r="U7" s="40">
        <f t="shared" ref="U7" si="27">ROUND(T7*1.07,)</f>
        <v>6909</v>
      </c>
      <c r="V7" s="40">
        <f t="shared" ref="V7" si="28">ROUND(U7*1.07,)</f>
        <v>7393</v>
      </c>
      <c r="W7" s="40">
        <f t="shared" ref="W7" si="29">ROUND(V7*1.07,)</f>
        <v>7911</v>
      </c>
    </row>
    <row r="8" spans="1:23" s="7" customFormat="1" x14ac:dyDescent="0.25">
      <c r="A8" s="30" t="s">
        <v>11</v>
      </c>
      <c r="B8" s="31">
        <v>226247</v>
      </c>
      <c r="C8" s="31">
        <v>242155</v>
      </c>
      <c r="D8" s="31">
        <v>257141</v>
      </c>
      <c r="E8" s="34">
        <v>287597</v>
      </c>
      <c r="F8" s="32">
        <v>324162</v>
      </c>
      <c r="G8" s="32">
        <f t="shared" si="8"/>
        <v>375641</v>
      </c>
      <c r="H8" s="33">
        <v>91931</v>
      </c>
      <c r="I8" s="33">
        <v>92903</v>
      </c>
      <c r="J8" s="33">
        <v>92361</v>
      </c>
      <c r="L8" s="41">
        <f>ROUND(SUM(L4:L7)+L30+L32,)</f>
        <v>98446</v>
      </c>
      <c r="M8" s="41">
        <f t="shared" ref="M8:W8" si="30">ROUND(SUM(M4:M7)+M30+M32,)</f>
        <v>394423</v>
      </c>
      <c r="N8" s="41">
        <f t="shared" si="30"/>
        <v>414143</v>
      </c>
      <c r="O8" s="41">
        <f t="shared" si="30"/>
        <v>438146</v>
      </c>
      <c r="P8" s="41">
        <f t="shared" si="30"/>
        <v>463547</v>
      </c>
      <c r="Q8" s="41">
        <f t="shared" si="30"/>
        <v>494132</v>
      </c>
      <c r="R8" s="41">
        <f t="shared" si="30"/>
        <v>526764</v>
      </c>
      <c r="S8" s="41">
        <f t="shared" si="30"/>
        <v>561583</v>
      </c>
      <c r="T8" s="41">
        <f t="shared" si="30"/>
        <v>598736</v>
      </c>
      <c r="U8" s="41">
        <f t="shared" si="30"/>
        <v>638382</v>
      </c>
      <c r="V8" s="41">
        <f t="shared" si="30"/>
        <v>680691</v>
      </c>
      <c r="W8" s="41">
        <f t="shared" si="30"/>
        <v>725842</v>
      </c>
    </row>
    <row r="9" spans="1:23" x14ac:dyDescent="0.25">
      <c r="A9" s="2" t="s">
        <v>12</v>
      </c>
      <c r="E9" s="11"/>
      <c r="F9" s="11"/>
      <c r="G9" s="10">
        <f t="shared" si="8"/>
        <v>0</v>
      </c>
      <c r="H9" s="24" t="s">
        <v>34</v>
      </c>
      <c r="I9" s="24" t="s">
        <v>34</v>
      </c>
      <c r="J9" s="24" t="s">
        <v>34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</row>
    <row r="10" spans="1:23" x14ac:dyDescent="0.25">
      <c r="A10" s="3" t="s">
        <v>13</v>
      </c>
      <c r="B10" s="5">
        <v>145403</v>
      </c>
      <c r="C10" s="5">
        <v>156440</v>
      </c>
      <c r="D10" s="5">
        <v>159396</v>
      </c>
      <c r="E10" s="10">
        <v>186911</v>
      </c>
      <c r="F10" s="10">
        <v>210842</v>
      </c>
      <c r="G10" s="10">
        <f t="shared" si="8"/>
        <v>240999.5</v>
      </c>
      <c r="H10" s="22">
        <v>59845</v>
      </c>
      <c r="I10" s="22">
        <v>60268</v>
      </c>
      <c r="J10" s="22">
        <v>59550</v>
      </c>
      <c r="L10" s="42">
        <f>J10*1.03</f>
        <v>61336.5</v>
      </c>
      <c r="M10" s="42">
        <f>G10*1.04</f>
        <v>250639.48</v>
      </c>
      <c r="N10" s="42">
        <f>ROUND(M10*1.05,)</f>
        <v>263171</v>
      </c>
      <c r="O10" s="42">
        <f t="shared" ref="O10:W10" si="31">ROUND(N10*1.05,)</f>
        <v>276330</v>
      </c>
      <c r="P10" s="42">
        <f t="shared" si="31"/>
        <v>290147</v>
      </c>
      <c r="Q10" s="42">
        <f t="shared" si="31"/>
        <v>304654</v>
      </c>
      <c r="R10" s="42">
        <f t="shared" si="31"/>
        <v>319887</v>
      </c>
      <c r="S10" s="42">
        <f t="shared" si="31"/>
        <v>335881</v>
      </c>
      <c r="T10" s="42">
        <f t="shared" si="31"/>
        <v>352675</v>
      </c>
      <c r="U10" s="42">
        <f t="shared" si="31"/>
        <v>370309</v>
      </c>
      <c r="V10" s="42">
        <f t="shared" si="31"/>
        <v>388824</v>
      </c>
      <c r="W10" s="42">
        <f t="shared" si="31"/>
        <v>408265</v>
      </c>
    </row>
    <row r="11" spans="1:23" x14ac:dyDescent="0.25">
      <c r="A11" s="3" t="s">
        <v>14</v>
      </c>
      <c r="B11" s="5">
        <v>34074</v>
      </c>
      <c r="C11" s="5">
        <v>35193</v>
      </c>
      <c r="D11" s="5">
        <v>41704</v>
      </c>
      <c r="E11" s="10">
        <v>42579</v>
      </c>
      <c r="F11" s="10">
        <v>47782</v>
      </c>
      <c r="G11" s="10">
        <f t="shared" si="8"/>
        <v>55559.65</v>
      </c>
      <c r="H11" s="22">
        <v>13625</v>
      </c>
      <c r="I11" s="22">
        <v>13809</v>
      </c>
      <c r="J11" s="22">
        <v>13855</v>
      </c>
      <c r="L11" s="42">
        <f t="shared" ref="L11:L12" si="32">J11*1.03</f>
        <v>14270.65</v>
      </c>
      <c r="M11" s="42">
        <f t="shared" ref="M11:M13" si="33">G11*1.04</f>
        <v>57782.036</v>
      </c>
      <c r="N11" s="42">
        <f t="shared" ref="N11:W13" si="34">ROUND(M11*1.05,)</f>
        <v>60671</v>
      </c>
      <c r="O11" s="42">
        <f t="shared" si="34"/>
        <v>63705</v>
      </c>
      <c r="P11" s="42">
        <f t="shared" si="34"/>
        <v>66890</v>
      </c>
      <c r="Q11" s="42">
        <f t="shared" si="34"/>
        <v>70235</v>
      </c>
      <c r="R11" s="42">
        <f t="shared" si="34"/>
        <v>73747</v>
      </c>
      <c r="S11" s="42">
        <f t="shared" si="34"/>
        <v>77434</v>
      </c>
      <c r="T11" s="42">
        <f t="shared" si="34"/>
        <v>81306</v>
      </c>
      <c r="U11" s="42">
        <f t="shared" si="34"/>
        <v>85371</v>
      </c>
      <c r="V11" s="42">
        <f t="shared" si="34"/>
        <v>89640</v>
      </c>
      <c r="W11" s="42">
        <f t="shared" si="34"/>
        <v>94122</v>
      </c>
    </row>
    <row r="12" spans="1:23" x14ac:dyDescent="0.25">
      <c r="A12" s="3" t="s">
        <v>15</v>
      </c>
      <c r="B12" s="5">
        <v>26998</v>
      </c>
      <c r="C12" s="5">
        <v>28117</v>
      </c>
      <c r="D12" s="5">
        <v>30745</v>
      </c>
      <c r="E12" s="10">
        <v>31034</v>
      </c>
      <c r="F12" s="10">
        <v>33703</v>
      </c>
      <c r="G12" s="10">
        <f t="shared" si="8"/>
        <v>38281.69</v>
      </c>
      <c r="H12" s="22">
        <v>9405</v>
      </c>
      <c r="I12" s="22">
        <v>9748</v>
      </c>
      <c r="J12" s="22">
        <v>9423</v>
      </c>
      <c r="L12" s="42">
        <f t="shared" si="32"/>
        <v>9705.69</v>
      </c>
      <c r="M12" s="42">
        <f t="shared" si="33"/>
        <v>39812.957600000002</v>
      </c>
      <c r="N12" s="42">
        <f t="shared" si="34"/>
        <v>41804</v>
      </c>
      <c r="O12" s="42">
        <f t="shared" si="34"/>
        <v>43894</v>
      </c>
      <c r="P12" s="42">
        <f t="shared" si="34"/>
        <v>46089</v>
      </c>
      <c r="Q12" s="42">
        <f t="shared" si="34"/>
        <v>48393</v>
      </c>
      <c r="R12" s="42">
        <f t="shared" si="34"/>
        <v>50813</v>
      </c>
      <c r="S12" s="42">
        <f t="shared" si="34"/>
        <v>53354</v>
      </c>
      <c r="T12" s="42">
        <f t="shared" si="34"/>
        <v>56022</v>
      </c>
      <c r="U12" s="42">
        <f t="shared" si="34"/>
        <v>58823</v>
      </c>
      <c r="V12" s="42">
        <f t="shared" si="34"/>
        <v>61764</v>
      </c>
      <c r="W12" s="42">
        <f t="shared" si="34"/>
        <v>64852</v>
      </c>
    </row>
    <row r="13" spans="1:23" x14ac:dyDescent="0.25">
      <c r="A13" s="3" t="s">
        <v>16</v>
      </c>
      <c r="B13" s="5">
        <v>2428</v>
      </c>
      <c r="C13" s="5">
        <v>2720</v>
      </c>
      <c r="D13" s="5">
        <v>2891</v>
      </c>
      <c r="E13" s="10">
        <v>3103</v>
      </c>
      <c r="F13" s="10">
        <v>3400</v>
      </c>
      <c r="G13" s="10">
        <f t="shared" si="8"/>
        <v>4055.3500000000004</v>
      </c>
      <c r="H13" s="22">
        <v>970</v>
      </c>
      <c r="I13" s="22">
        <v>1021</v>
      </c>
      <c r="J13" s="22">
        <v>1007</v>
      </c>
      <c r="L13" s="42">
        <f>J13*1.05</f>
        <v>1057.3500000000001</v>
      </c>
      <c r="M13" s="42">
        <f t="shared" si="33"/>
        <v>4217.5640000000003</v>
      </c>
      <c r="N13" s="42">
        <f t="shared" si="34"/>
        <v>4428</v>
      </c>
      <c r="O13" s="42">
        <f t="shared" si="34"/>
        <v>4649</v>
      </c>
      <c r="P13" s="42">
        <f t="shared" si="34"/>
        <v>4881</v>
      </c>
      <c r="Q13" s="42">
        <f t="shared" si="34"/>
        <v>5125</v>
      </c>
      <c r="R13" s="42">
        <f t="shared" si="34"/>
        <v>5381</v>
      </c>
      <c r="S13" s="42">
        <f t="shared" si="34"/>
        <v>5650</v>
      </c>
      <c r="T13" s="42">
        <f t="shared" si="34"/>
        <v>5933</v>
      </c>
      <c r="U13" s="42">
        <f t="shared" si="34"/>
        <v>6230</v>
      </c>
      <c r="V13" s="42">
        <f t="shared" si="34"/>
        <v>6542</v>
      </c>
      <c r="W13" s="42">
        <f t="shared" si="34"/>
        <v>6869</v>
      </c>
    </row>
    <row r="14" spans="1:23" s="7" customFormat="1" x14ac:dyDescent="0.25">
      <c r="A14" s="30" t="s">
        <v>17</v>
      </c>
      <c r="B14" s="31">
        <v>208903</v>
      </c>
      <c r="C14" s="31">
        <v>222470</v>
      </c>
      <c r="D14" s="31">
        <v>234736</v>
      </c>
      <c r="E14" s="32">
        <v>263627</v>
      </c>
      <c r="F14" s="32">
        <v>295727</v>
      </c>
      <c r="G14" s="32">
        <f t="shared" si="8"/>
        <v>338896.19</v>
      </c>
      <c r="H14" s="33">
        <v>83845</v>
      </c>
      <c r="I14" s="33">
        <v>84846</v>
      </c>
      <c r="J14" s="33">
        <v>83835</v>
      </c>
      <c r="L14" s="41">
        <f>SUM(L10:L13)</f>
        <v>86370.19</v>
      </c>
      <c r="M14" s="41">
        <f t="shared" ref="M14:W14" si="35">SUM(M10:M13)</f>
        <v>352452.03760000004</v>
      </c>
      <c r="N14" s="41">
        <f t="shared" si="35"/>
        <v>370074</v>
      </c>
      <c r="O14" s="41">
        <f t="shared" si="35"/>
        <v>388578</v>
      </c>
      <c r="P14" s="41">
        <f t="shared" si="35"/>
        <v>408007</v>
      </c>
      <c r="Q14" s="41">
        <f t="shared" si="35"/>
        <v>428407</v>
      </c>
      <c r="R14" s="41">
        <f t="shared" si="35"/>
        <v>449828</v>
      </c>
      <c r="S14" s="41">
        <f t="shared" si="35"/>
        <v>472319</v>
      </c>
      <c r="T14" s="41">
        <f t="shared" si="35"/>
        <v>495936</v>
      </c>
      <c r="U14" s="41">
        <f t="shared" si="35"/>
        <v>520733</v>
      </c>
      <c r="V14" s="41">
        <f t="shared" si="35"/>
        <v>546770</v>
      </c>
      <c r="W14" s="41">
        <f t="shared" si="35"/>
        <v>574108</v>
      </c>
    </row>
    <row r="15" spans="1:23" s="7" customFormat="1" x14ac:dyDescent="0.25">
      <c r="A15" s="19" t="s">
        <v>18</v>
      </c>
      <c r="B15" s="15">
        <v>17344</v>
      </c>
      <c r="C15" s="15">
        <v>19685</v>
      </c>
      <c r="D15" s="15">
        <v>22405</v>
      </c>
      <c r="E15" s="16">
        <v>23970</v>
      </c>
      <c r="F15" s="16">
        <v>28435</v>
      </c>
      <c r="G15" s="16">
        <f t="shared" si="8"/>
        <v>36744.81</v>
      </c>
      <c r="H15" s="23">
        <v>8086</v>
      </c>
      <c r="I15" s="23">
        <v>8057</v>
      </c>
      <c r="J15" s="23">
        <v>8526</v>
      </c>
      <c r="L15" s="41">
        <f>L8-L14</f>
        <v>12075.809999999998</v>
      </c>
      <c r="M15" s="41">
        <f t="shared" ref="M15:W15" si="36">M8-M14</f>
        <v>41970.96239999996</v>
      </c>
      <c r="N15" s="41">
        <f t="shared" si="36"/>
        <v>44069</v>
      </c>
      <c r="O15" s="41">
        <f t="shared" si="36"/>
        <v>49568</v>
      </c>
      <c r="P15" s="41">
        <f t="shared" si="36"/>
        <v>55540</v>
      </c>
      <c r="Q15" s="41">
        <f t="shared" si="36"/>
        <v>65725</v>
      </c>
      <c r="R15" s="41">
        <f t="shared" si="36"/>
        <v>76936</v>
      </c>
      <c r="S15" s="41">
        <f t="shared" si="36"/>
        <v>89264</v>
      </c>
      <c r="T15" s="41">
        <f t="shared" si="36"/>
        <v>102800</v>
      </c>
      <c r="U15" s="41">
        <f t="shared" si="36"/>
        <v>117649</v>
      </c>
      <c r="V15" s="41">
        <f t="shared" si="36"/>
        <v>133921</v>
      </c>
      <c r="W15" s="41">
        <f t="shared" si="36"/>
        <v>151734</v>
      </c>
    </row>
    <row r="16" spans="1:23" x14ac:dyDescent="0.25">
      <c r="A16" s="3" t="s">
        <v>19</v>
      </c>
      <c r="B16" s="5">
        <v>-1400</v>
      </c>
      <c r="C16" s="5">
        <v>-1704</v>
      </c>
      <c r="D16" s="5">
        <v>-1663</v>
      </c>
      <c r="E16" s="10">
        <v>-1660</v>
      </c>
      <c r="F16" s="10">
        <v>-2092</v>
      </c>
      <c r="G16" s="10">
        <f t="shared" si="8"/>
        <v>-3258.34</v>
      </c>
      <c r="H16" s="22">
        <v>-754</v>
      </c>
      <c r="I16" s="22">
        <v>-828</v>
      </c>
      <c r="J16" s="22">
        <v>-834</v>
      </c>
      <c r="L16" s="42">
        <f>J16*1.01</f>
        <v>-842.34</v>
      </c>
      <c r="M16" s="42">
        <f>ROUND(G16*1.02,)</f>
        <v>-3324</v>
      </c>
      <c r="N16" s="42">
        <f>ROUND(M16*1.05,)</f>
        <v>-3490</v>
      </c>
      <c r="O16" s="42">
        <f>ROUND(N16*1.055,)</f>
        <v>-3682</v>
      </c>
      <c r="P16" s="42">
        <f>ROUND(O16*1.06,)</f>
        <v>-3903</v>
      </c>
      <c r="Q16" s="42">
        <f t="shared" ref="Q16:W16" si="37">ROUND(P16*1.04,)</f>
        <v>-4059</v>
      </c>
      <c r="R16" s="42">
        <f t="shared" si="37"/>
        <v>-4221</v>
      </c>
      <c r="S16" s="42">
        <f t="shared" si="37"/>
        <v>-4390</v>
      </c>
      <c r="T16" s="42">
        <f t="shared" si="37"/>
        <v>-4566</v>
      </c>
      <c r="U16" s="42">
        <f t="shared" si="37"/>
        <v>-4749</v>
      </c>
      <c r="V16" s="42">
        <f t="shared" si="37"/>
        <v>-4939</v>
      </c>
      <c r="W16" s="42">
        <f t="shared" si="37"/>
        <v>-5137</v>
      </c>
    </row>
    <row r="17" spans="1:23" x14ac:dyDescent="0.25">
      <c r="A17" s="3" t="s">
        <v>20</v>
      </c>
      <c r="B17" s="5">
        <v>15944</v>
      </c>
      <c r="C17" s="5">
        <v>17981</v>
      </c>
      <c r="D17" s="5">
        <v>20742</v>
      </c>
      <c r="E17" s="10">
        <v>22310</v>
      </c>
      <c r="F17" s="10">
        <v>26343</v>
      </c>
      <c r="G17" s="10">
        <f t="shared" si="8"/>
        <v>33486.47</v>
      </c>
      <c r="H17" s="22">
        <v>7332</v>
      </c>
      <c r="I17" s="22">
        <v>7229</v>
      </c>
      <c r="J17" s="22">
        <v>7692</v>
      </c>
      <c r="L17" s="42">
        <f>SUM(L15:L16)</f>
        <v>11233.469999999998</v>
      </c>
      <c r="M17" s="42">
        <f t="shared" ref="M17:W17" si="38">SUM(M15:M16)</f>
        <v>38646.96239999996</v>
      </c>
      <c r="N17" s="42">
        <f t="shared" si="38"/>
        <v>40579</v>
      </c>
      <c r="O17" s="42">
        <f t="shared" si="38"/>
        <v>45886</v>
      </c>
      <c r="P17" s="42">
        <f t="shared" si="38"/>
        <v>51637</v>
      </c>
      <c r="Q17" s="42">
        <f t="shared" si="38"/>
        <v>61666</v>
      </c>
      <c r="R17" s="42">
        <f t="shared" si="38"/>
        <v>72715</v>
      </c>
      <c r="S17" s="42">
        <f t="shared" si="38"/>
        <v>84874</v>
      </c>
      <c r="T17" s="42">
        <f t="shared" si="38"/>
        <v>98234</v>
      </c>
      <c r="U17" s="42">
        <f t="shared" si="38"/>
        <v>112900</v>
      </c>
      <c r="V17" s="42">
        <f t="shared" si="38"/>
        <v>128982</v>
      </c>
      <c r="W17" s="42">
        <f t="shared" si="38"/>
        <v>146597</v>
      </c>
    </row>
    <row r="18" spans="1:23" x14ac:dyDescent="0.25">
      <c r="A18" s="3" t="s">
        <v>21</v>
      </c>
      <c r="B18" s="5">
        <v>-3562</v>
      </c>
      <c r="C18" s="5">
        <v>-3742</v>
      </c>
      <c r="D18" s="5">
        <v>-4973</v>
      </c>
      <c r="E18" s="10">
        <v>-4578</v>
      </c>
      <c r="F18" s="10">
        <v>-5704</v>
      </c>
      <c r="G18" s="10">
        <f t="shared" si="8"/>
        <v>-6454.54</v>
      </c>
      <c r="H18" s="22">
        <v>-1558</v>
      </c>
      <c r="I18" s="22">
        <v>-1572</v>
      </c>
      <c r="J18" s="22">
        <v>-1654</v>
      </c>
      <c r="L18" s="42">
        <f t="shared" ref="L18" si="39">J18*1.01</f>
        <v>-1670.54</v>
      </c>
      <c r="M18" s="42">
        <f t="shared" ref="M18" si="40">ROUND(G18*1.02,)</f>
        <v>-6584</v>
      </c>
      <c r="N18" s="42">
        <f>ROUND(M18*1.05,)</f>
        <v>-6913</v>
      </c>
      <c r="O18" s="42">
        <f>ROUND(N18*1.055,)</f>
        <v>-7293</v>
      </c>
      <c r="P18" s="42">
        <f>ROUND(O18*1.06,)</f>
        <v>-7731</v>
      </c>
      <c r="Q18" s="42">
        <f t="shared" ref="Q18:W18" si="41">ROUND(P18*1.04,)</f>
        <v>-8040</v>
      </c>
      <c r="R18" s="42">
        <f t="shared" si="41"/>
        <v>-8362</v>
      </c>
      <c r="S18" s="42">
        <f t="shared" si="41"/>
        <v>-8696</v>
      </c>
      <c r="T18" s="42">
        <f t="shared" si="41"/>
        <v>-9044</v>
      </c>
      <c r="U18" s="42">
        <f t="shared" si="41"/>
        <v>-9406</v>
      </c>
      <c r="V18" s="42">
        <f t="shared" si="41"/>
        <v>-9782</v>
      </c>
      <c r="W18" s="42">
        <f t="shared" si="41"/>
        <v>-10173</v>
      </c>
    </row>
    <row r="19" spans="1:23" s="7" customFormat="1" x14ac:dyDescent="0.25">
      <c r="A19" s="30" t="s">
        <v>22</v>
      </c>
      <c r="B19" s="31">
        <v>12382</v>
      </c>
      <c r="C19" s="31">
        <v>14239</v>
      </c>
      <c r="D19" s="31">
        <v>15769</v>
      </c>
      <c r="E19" s="32">
        <v>17732</v>
      </c>
      <c r="F19" s="32">
        <v>20639</v>
      </c>
      <c r="G19" s="32">
        <f t="shared" si="8"/>
        <v>26189.589999999997</v>
      </c>
      <c r="H19" s="33">
        <v>5774</v>
      </c>
      <c r="I19" s="33">
        <v>5657</v>
      </c>
      <c r="J19" s="33">
        <v>6038</v>
      </c>
      <c r="L19" s="41">
        <f>SUM(L16:L18)</f>
        <v>8720.5899999999965</v>
      </c>
      <c r="M19" s="41">
        <f t="shared" ref="M19:W19" si="42">SUM(M16:M18)</f>
        <v>28738.96239999996</v>
      </c>
      <c r="N19" s="41">
        <f t="shared" si="42"/>
        <v>30176</v>
      </c>
      <c r="O19" s="41">
        <f t="shared" si="42"/>
        <v>34911</v>
      </c>
      <c r="P19" s="41">
        <f t="shared" si="42"/>
        <v>40003</v>
      </c>
      <c r="Q19" s="41">
        <f t="shared" si="42"/>
        <v>49567</v>
      </c>
      <c r="R19" s="41">
        <f t="shared" si="42"/>
        <v>60132</v>
      </c>
      <c r="S19" s="41">
        <f t="shared" si="42"/>
        <v>71788</v>
      </c>
      <c r="T19" s="41">
        <f t="shared" si="42"/>
        <v>84624</v>
      </c>
      <c r="U19" s="41">
        <f t="shared" si="42"/>
        <v>98745</v>
      </c>
      <c r="V19" s="41">
        <f t="shared" si="42"/>
        <v>114261</v>
      </c>
      <c r="W19" s="41">
        <f t="shared" si="42"/>
        <v>131287</v>
      </c>
    </row>
    <row r="20" spans="1:23" x14ac:dyDescent="0.25">
      <c r="A20" s="3" t="s">
        <v>23</v>
      </c>
      <c r="B20" s="5">
        <v>-396</v>
      </c>
      <c r="C20" s="5">
        <v>-400</v>
      </c>
      <c r="D20" s="5">
        <v>-366</v>
      </c>
      <c r="E20" s="10">
        <v>-447</v>
      </c>
      <c r="F20" s="10">
        <v>-519</v>
      </c>
      <c r="G20" s="10">
        <f t="shared" si="8"/>
        <v>-740</v>
      </c>
      <c r="H20" s="22">
        <v>-163</v>
      </c>
      <c r="I20" s="22">
        <v>-183</v>
      </c>
      <c r="J20" s="22">
        <v>-197</v>
      </c>
      <c r="L20" s="40">
        <f>J20</f>
        <v>-197</v>
      </c>
      <c r="M20" s="40">
        <f>ROUND(G20-(G20*0.07),)</f>
        <v>-688</v>
      </c>
      <c r="N20" s="40">
        <f>ROUND(M20-(M20*0.06),)</f>
        <v>-647</v>
      </c>
      <c r="O20" s="40">
        <f>ROUND(N20-(N20*0.07),)</f>
        <v>-602</v>
      </c>
      <c r="P20" s="40">
        <f t="shared" ref="P20:W20" si="43">ROUND(O20-(O20*0.05),)</f>
        <v>-572</v>
      </c>
      <c r="Q20" s="40">
        <f t="shared" si="43"/>
        <v>-543</v>
      </c>
      <c r="R20" s="40">
        <f t="shared" si="43"/>
        <v>-516</v>
      </c>
      <c r="S20" s="40">
        <f t="shared" si="43"/>
        <v>-490</v>
      </c>
      <c r="T20" s="40">
        <f t="shared" si="43"/>
        <v>-466</v>
      </c>
      <c r="U20" s="40">
        <f t="shared" si="43"/>
        <v>-443</v>
      </c>
      <c r="V20" s="40">
        <f t="shared" si="43"/>
        <v>-421</v>
      </c>
      <c r="W20" s="40">
        <f t="shared" si="43"/>
        <v>-400</v>
      </c>
    </row>
    <row r="21" spans="1:23" s="7" customFormat="1" x14ac:dyDescent="0.25">
      <c r="A21" s="19" t="s">
        <v>24</v>
      </c>
      <c r="B21" s="17">
        <v>11986</v>
      </c>
      <c r="C21" s="17">
        <v>13839</v>
      </c>
      <c r="D21" s="17">
        <v>15403</v>
      </c>
      <c r="E21" s="16">
        <v>17285</v>
      </c>
      <c r="F21" s="16">
        <v>20120</v>
      </c>
      <c r="G21" s="16">
        <f t="shared" si="8"/>
        <v>25449.589999999997</v>
      </c>
      <c r="H21" s="23">
        <v>5611</v>
      </c>
      <c r="I21" s="23">
        <v>5474</v>
      </c>
      <c r="J21" s="23">
        <v>5841</v>
      </c>
      <c r="L21" s="43">
        <f>SUM(L19:L20)</f>
        <v>8523.5899999999965</v>
      </c>
      <c r="M21" s="43">
        <f t="shared" ref="M21:W21" si="44">SUM(M19:M20)</f>
        <v>28050.96239999996</v>
      </c>
      <c r="N21" s="43">
        <f t="shared" si="44"/>
        <v>29529</v>
      </c>
      <c r="O21" s="43">
        <f t="shared" si="44"/>
        <v>34309</v>
      </c>
      <c r="P21" s="43">
        <f t="shared" si="44"/>
        <v>39431</v>
      </c>
      <c r="Q21" s="43">
        <f t="shared" si="44"/>
        <v>49024</v>
      </c>
      <c r="R21" s="43">
        <f t="shared" si="44"/>
        <v>59616</v>
      </c>
      <c r="S21" s="43">
        <f t="shared" si="44"/>
        <v>71298</v>
      </c>
      <c r="T21" s="43">
        <f t="shared" si="44"/>
        <v>84158</v>
      </c>
      <c r="U21" s="43">
        <f t="shared" si="44"/>
        <v>98302</v>
      </c>
      <c r="V21" s="43">
        <f t="shared" si="44"/>
        <v>113840</v>
      </c>
      <c r="W21" s="43">
        <f t="shared" si="44"/>
        <v>130887</v>
      </c>
    </row>
    <row r="22" spans="1:23" x14ac:dyDescent="0.25">
      <c r="A22" s="2" t="s">
        <v>25</v>
      </c>
      <c r="E22" s="11"/>
      <c r="F22" s="11"/>
      <c r="G22" s="10">
        <f t="shared" si="8"/>
        <v>0</v>
      </c>
      <c r="H22" s="24" t="s">
        <v>34</v>
      </c>
      <c r="I22" s="24" t="s">
        <v>34</v>
      </c>
      <c r="J22" s="24" t="s">
        <v>34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spans="1:23" x14ac:dyDescent="0.25">
      <c r="A23" s="3" t="s">
        <v>26</v>
      </c>
      <c r="B23" s="6">
        <v>12.45</v>
      </c>
      <c r="C23" s="6">
        <v>14.55</v>
      </c>
      <c r="D23" s="6">
        <v>16.23</v>
      </c>
      <c r="E23" s="9">
        <v>18.329999999999998</v>
      </c>
      <c r="F23" s="9">
        <v>21.47</v>
      </c>
      <c r="G23" s="10">
        <f t="shared" si="8"/>
        <v>27.414740820734334</v>
      </c>
      <c r="H23" s="25">
        <v>6.01</v>
      </c>
      <c r="I23" s="25">
        <v>5.89</v>
      </c>
      <c r="J23" s="25">
        <v>6.31</v>
      </c>
      <c r="L23" s="40">
        <f>L21/L25</f>
        <v>9.2047408207343366</v>
      </c>
      <c r="M23" s="40">
        <f t="shared" ref="M23:W23" si="45">M21/M25</f>
        <v>29.873229392971204</v>
      </c>
      <c r="N23" s="40">
        <f t="shared" si="45"/>
        <v>31.447284345047922</v>
      </c>
      <c r="O23" s="40">
        <f t="shared" si="45"/>
        <v>36.53780617678381</v>
      </c>
      <c r="P23" s="40">
        <f t="shared" si="45"/>
        <v>41.992545260915868</v>
      </c>
      <c r="Q23" s="40">
        <f t="shared" si="45"/>
        <v>52.208732694355696</v>
      </c>
      <c r="R23" s="40">
        <f t="shared" si="45"/>
        <v>63.488817891373799</v>
      </c>
      <c r="S23" s="40">
        <f t="shared" si="45"/>
        <v>75.929712460063897</v>
      </c>
      <c r="T23" s="40">
        <f t="shared" si="45"/>
        <v>89.625133120340791</v>
      </c>
      <c r="U23" s="40">
        <f t="shared" si="45"/>
        <v>104.68796592119276</v>
      </c>
      <c r="V23" s="40">
        <f t="shared" si="45"/>
        <v>121.23535676251331</v>
      </c>
      <c r="W23" s="40">
        <f t="shared" si="45"/>
        <v>139.38977635782749</v>
      </c>
    </row>
    <row r="24" spans="1:23" x14ac:dyDescent="0.25">
      <c r="A24" s="3" t="s">
        <v>27</v>
      </c>
      <c r="B24" s="6">
        <v>12.19</v>
      </c>
      <c r="C24" s="6">
        <v>14.33</v>
      </c>
      <c r="D24" s="6">
        <v>16.03</v>
      </c>
      <c r="E24" s="9">
        <v>18.079999999999998</v>
      </c>
      <c r="F24" s="9">
        <v>21.18</v>
      </c>
      <c r="G24" s="10">
        <f t="shared" si="8"/>
        <v>27.116399572649566</v>
      </c>
      <c r="H24" s="25">
        <v>5.95</v>
      </c>
      <c r="I24" s="25">
        <v>5.82</v>
      </c>
      <c r="J24" s="25">
        <v>6.24</v>
      </c>
      <c r="L24" s="40">
        <f>L21/L27</f>
        <v>9.1063995726495683</v>
      </c>
      <c r="M24" s="40">
        <f t="shared" ref="M24:W24" si="46">M21/M27</f>
        <v>29.558442992623771</v>
      </c>
      <c r="N24" s="40">
        <f t="shared" si="46"/>
        <v>31.1159114857745</v>
      </c>
      <c r="O24" s="40">
        <f t="shared" si="46"/>
        <v>36.152792413066386</v>
      </c>
      <c r="P24" s="40">
        <f t="shared" si="46"/>
        <v>41.550052687038992</v>
      </c>
      <c r="Q24" s="40">
        <f t="shared" si="46"/>
        <v>51.658587987355112</v>
      </c>
      <c r="R24" s="40">
        <f t="shared" si="46"/>
        <v>62.819810326659642</v>
      </c>
      <c r="S24" s="40">
        <f t="shared" si="46"/>
        <v>75.12961011591149</v>
      </c>
      <c r="T24" s="40">
        <f t="shared" si="46"/>
        <v>88.680716543730242</v>
      </c>
      <c r="U24" s="40">
        <f t="shared" si="46"/>
        <v>103.58482613277134</v>
      </c>
      <c r="V24" s="40">
        <f t="shared" si="46"/>
        <v>119.95785036880928</v>
      </c>
      <c r="W24" s="40">
        <f t="shared" si="46"/>
        <v>137.9209694415174</v>
      </c>
    </row>
    <row r="25" spans="1:23" x14ac:dyDescent="0.25">
      <c r="A25" s="3" t="s">
        <v>28</v>
      </c>
      <c r="B25" s="5">
        <v>963</v>
      </c>
      <c r="C25" s="5">
        <v>951</v>
      </c>
      <c r="D25" s="5">
        <v>949</v>
      </c>
      <c r="E25" s="10">
        <v>943</v>
      </c>
      <c r="F25" s="10">
        <v>937</v>
      </c>
      <c r="G25" s="10">
        <f>AVERAGE(H25:J25)</f>
        <v>929.66666666666663</v>
      </c>
      <c r="H25" s="22">
        <v>933</v>
      </c>
      <c r="I25" s="22">
        <v>930</v>
      </c>
      <c r="J25" s="22">
        <v>926</v>
      </c>
      <c r="L25" s="40">
        <f>J25</f>
        <v>926</v>
      </c>
      <c r="M25" s="44">
        <f>ROUND(G25*1.01,)</f>
        <v>939</v>
      </c>
      <c r="N25" s="40">
        <f>M25</f>
        <v>939</v>
      </c>
      <c r="O25" s="40">
        <f t="shared" ref="O25:W25" si="47">N25</f>
        <v>939</v>
      </c>
      <c r="P25" s="40">
        <f t="shared" si="47"/>
        <v>939</v>
      </c>
      <c r="Q25" s="40">
        <f t="shared" si="47"/>
        <v>939</v>
      </c>
      <c r="R25" s="40">
        <f t="shared" si="47"/>
        <v>939</v>
      </c>
      <c r="S25" s="40">
        <f t="shared" si="47"/>
        <v>939</v>
      </c>
      <c r="T25" s="40">
        <f t="shared" si="47"/>
        <v>939</v>
      </c>
      <c r="U25" s="40">
        <f t="shared" si="47"/>
        <v>939</v>
      </c>
      <c r="V25" s="40">
        <f t="shared" si="47"/>
        <v>939</v>
      </c>
      <c r="W25" s="40">
        <f t="shared" si="47"/>
        <v>939</v>
      </c>
    </row>
    <row r="26" spans="1:23" x14ac:dyDescent="0.25">
      <c r="A26" s="3" t="s">
        <v>29</v>
      </c>
      <c r="B26" s="5">
        <v>20</v>
      </c>
      <c r="C26" s="5">
        <v>15</v>
      </c>
      <c r="D26" s="5">
        <v>12</v>
      </c>
      <c r="E26" s="10">
        <v>13</v>
      </c>
      <c r="F26" s="10">
        <v>13</v>
      </c>
      <c r="G26" s="10">
        <f>AVERAGE(H26:J26)</f>
        <v>10</v>
      </c>
      <c r="H26" s="22">
        <v>10</v>
      </c>
      <c r="I26" s="22">
        <v>10</v>
      </c>
      <c r="J26" s="22">
        <v>10</v>
      </c>
      <c r="L26" s="40">
        <f>J26</f>
        <v>10</v>
      </c>
      <c r="M26" s="44">
        <f t="shared" ref="M26:M28" si="48">ROUND(G26*1.01,)</f>
        <v>10</v>
      </c>
      <c r="N26" s="40">
        <f>M26</f>
        <v>10</v>
      </c>
      <c r="O26" s="40">
        <f t="shared" ref="O26:W26" si="49">N26</f>
        <v>10</v>
      </c>
      <c r="P26" s="40">
        <f t="shared" si="49"/>
        <v>10</v>
      </c>
      <c r="Q26" s="40">
        <f t="shared" si="49"/>
        <v>10</v>
      </c>
      <c r="R26" s="40">
        <f t="shared" si="49"/>
        <v>10</v>
      </c>
      <c r="S26" s="40">
        <f t="shared" si="49"/>
        <v>10</v>
      </c>
      <c r="T26" s="40">
        <f t="shared" si="49"/>
        <v>10</v>
      </c>
      <c r="U26" s="40">
        <f t="shared" si="49"/>
        <v>10</v>
      </c>
      <c r="V26" s="40">
        <f t="shared" si="49"/>
        <v>10</v>
      </c>
      <c r="W26" s="40">
        <f t="shared" si="49"/>
        <v>10</v>
      </c>
    </row>
    <row r="27" spans="1:23" x14ac:dyDescent="0.25">
      <c r="A27" s="3" t="s">
        <v>30</v>
      </c>
      <c r="B27" s="5">
        <v>983</v>
      </c>
      <c r="C27" s="5">
        <v>966</v>
      </c>
      <c r="D27" s="5">
        <v>961</v>
      </c>
      <c r="E27" s="10">
        <v>956</v>
      </c>
      <c r="F27" s="10">
        <v>950</v>
      </c>
      <c r="G27" s="10">
        <f>AVERAGE(H27:J27)</f>
        <v>939.66666666666663</v>
      </c>
      <c r="H27" s="22">
        <v>943</v>
      </c>
      <c r="I27" s="22">
        <v>940</v>
      </c>
      <c r="J27" s="22">
        <v>936</v>
      </c>
      <c r="L27" s="40">
        <f>J27</f>
        <v>936</v>
      </c>
      <c r="M27" s="44">
        <f t="shared" si="48"/>
        <v>949</v>
      </c>
      <c r="N27" s="40">
        <f>M27</f>
        <v>949</v>
      </c>
      <c r="O27" s="40">
        <f t="shared" ref="O27:W27" si="50">N27</f>
        <v>949</v>
      </c>
      <c r="P27" s="40">
        <f t="shared" si="50"/>
        <v>949</v>
      </c>
      <c r="Q27" s="40">
        <f t="shared" si="50"/>
        <v>949</v>
      </c>
      <c r="R27" s="40">
        <f t="shared" si="50"/>
        <v>949</v>
      </c>
      <c r="S27" s="40">
        <f t="shared" si="50"/>
        <v>949</v>
      </c>
      <c r="T27" s="40">
        <f t="shared" si="50"/>
        <v>949</v>
      </c>
      <c r="U27" s="40">
        <f t="shared" si="50"/>
        <v>949</v>
      </c>
      <c r="V27" s="40">
        <f t="shared" si="50"/>
        <v>949</v>
      </c>
      <c r="W27" s="40">
        <f t="shared" si="50"/>
        <v>949</v>
      </c>
    </row>
    <row r="28" spans="1:23" ht="30" x14ac:dyDescent="0.25">
      <c r="A28" s="3" t="s">
        <v>31</v>
      </c>
      <c r="B28" s="5">
        <v>6</v>
      </c>
      <c r="C28" s="5">
        <v>10</v>
      </c>
      <c r="D28" s="5">
        <v>8</v>
      </c>
      <c r="E28" s="10">
        <v>1</v>
      </c>
      <c r="F28" s="10">
        <v>3</v>
      </c>
      <c r="G28" s="10">
        <f>AVERAGE(H28:J28)</f>
        <v>6</v>
      </c>
      <c r="H28" s="22">
        <v>5</v>
      </c>
      <c r="I28" s="22">
        <v>7</v>
      </c>
      <c r="J28" s="22">
        <v>6</v>
      </c>
      <c r="L28" s="44">
        <f>J28</f>
        <v>6</v>
      </c>
      <c r="M28" s="44">
        <f t="shared" si="48"/>
        <v>6</v>
      </c>
      <c r="N28" s="44">
        <f>M28</f>
        <v>6</v>
      </c>
      <c r="O28" s="44">
        <f t="shared" ref="O28:W28" si="51">N28</f>
        <v>6</v>
      </c>
      <c r="P28" s="44">
        <f t="shared" si="51"/>
        <v>6</v>
      </c>
      <c r="Q28" s="44">
        <f t="shared" si="51"/>
        <v>6</v>
      </c>
      <c r="R28" s="44">
        <f t="shared" si="51"/>
        <v>6</v>
      </c>
      <c r="S28" s="44">
        <f t="shared" si="51"/>
        <v>6</v>
      </c>
      <c r="T28" s="44">
        <f t="shared" si="51"/>
        <v>6</v>
      </c>
      <c r="U28" s="44">
        <f t="shared" si="51"/>
        <v>6</v>
      </c>
      <c r="V28" s="44">
        <f t="shared" si="51"/>
        <v>6</v>
      </c>
      <c r="W28" s="44">
        <f t="shared" si="51"/>
        <v>6</v>
      </c>
    </row>
    <row r="29" spans="1:23" x14ac:dyDescent="0.25">
      <c r="A29" s="3" t="s">
        <v>8</v>
      </c>
      <c r="E29" s="3" t="s">
        <v>34</v>
      </c>
      <c r="F29" s="3" t="s">
        <v>34</v>
      </c>
      <c r="G29" s="10">
        <f t="shared" si="8"/>
        <v>0</v>
      </c>
      <c r="H29" s="24" t="s">
        <v>34</v>
      </c>
      <c r="I29" s="24" t="s">
        <v>34</v>
      </c>
      <c r="J29" s="24" t="s">
        <v>34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x14ac:dyDescent="0.25">
      <c r="A30" s="3" t="s">
        <v>36</v>
      </c>
      <c r="B30" s="18">
        <v>0</v>
      </c>
      <c r="C30" s="18">
        <v>0</v>
      </c>
      <c r="D30" s="18">
        <v>0</v>
      </c>
      <c r="E30" s="10">
        <v>34437</v>
      </c>
      <c r="F30" s="10">
        <v>37424</v>
      </c>
      <c r="G30" s="10">
        <f t="shared" si="8"/>
        <v>42143.7</v>
      </c>
      <c r="H30" s="22">
        <v>10267</v>
      </c>
      <c r="I30" s="22">
        <v>10651</v>
      </c>
      <c r="J30" s="22">
        <v>10354</v>
      </c>
      <c r="L30" s="40">
        <f>J30*1.05</f>
        <v>10871.7</v>
      </c>
      <c r="M30" s="40">
        <f>G30*1.05</f>
        <v>44250.885000000002</v>
      </c>
      <c r="N30" s="40">
        <f>ROUND(M30*1.05,)</f>
        <v>46463</v>
      </c>
      <c r="O30" s="40">
        <f t="shared" ref="O30:W30" si="52">ROUND(N30*1.05,)</f>
        <v>48786</v>
      </c>
      <c r="P30" s="40">
        <f t="shared" si="52"/>
        <v>51225</v>
      </c>
      <c r="Q30" s="40">
        <f t="shared" si="52"/>
        <v>53786</v>
      </c>
      <c r="R30" s="40">
        <f t="shared" si="52"/>
        <v>56475</v>
      </c>
      <c r="S30" s="40">
        <f t="shared" si="52"/>
        <v>59299</v>
      </c>
      <c r="T30" s="40">
        <f t="shared" si="52"/>
        <v>62264</v>
      </c>
      <c r="U30" s="40">
        <f t="shared" si="52"/>
        <v>65377</v>
      </c>
      <c r="V30" s="40">
        <f t="shared" si="52"/>
        <v>68646</v>
      </c>
      <c r="W30" s="40">
        <f t="shared" si="52"/>
        <v>72078</v>
      </c>
    </row>
    <row r="31" spans="1:23" x14ac:dyDescent="0.25">
      <c r="A31" s="3" t="s">
        <v>9</v>
      </c>
      <c r="B31" s="8"/>
      <c r="C31" s="8"/>
      <c r="D31" s="8"/>
      <c r="E31" s="12" t="s">
        <v>34</v>
      </c>
      <c r="F31" s="12" t="s">
        <v>34</v>
      </c>
      <c r="G31" s="10">
        <f t="shared" si="8"/>
        <v>0</v>
      </c>
      <c r="H31" s="24" t="s">
        <v>34</v>
      </c>
      <c r="I31" s="24" t="s">
        <v>34</v>
      </c>
      <c r="J31" s="24" t="s">
        <v>34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spans="1:23" x14ac:dyDescent="0.25">
      <c r="A32" s="3" t="s">
        <v>36</v>
      </c>
      <c r="B32" s="18">
        <v>0</v>
      </c>
      <c r="C32" s="18">
        <v>0</v>
      </c>
      <c r="D32" s="18">
        <v>0</v>
      </c>
      <c r="E32" s="10">
        <v>24603</v>
      </c>
      <c r="F32" s="10">
        <v>27551</v>
      </c>
      <c r="G32" s="10">
        <f t="shared" si="8"/>
        <v>34518.550000000003</v>
      </c>
      <c r="H32" s="22">
        <v>8080</v>
      </c>
      <c r="I32" s="22">
        <v>8663</v>
      </c>
      <c r="J32" s="22">
        <v>8671</v>
      </c>
      <c r="L32" s="40">
        <f>J32*1.05</f>
        <v>9104.5500000000011</v>
      </c>
      <c r="M32" s="40">
        <f>G32*1.05</f>
        <v>36244.477500000008</v>
      </c>
      <c r="N32" s="40">
        <f>ROUND(M32*1.05,)</f>
        <v>38057</v>
      </c>
      <c r="O32" s="40">
        <f t="shared" ref="O32:W32" si="53">ROUND(N32*1.05,)</f>
        <v>39960</v>
      </c>
      <c r="P32" s="40">
        <f t="shared" si="53"/>
        <v>41958</v>
      </c>
      <c r="Q32" s="40">
        <f t="shared" si="53"/>
        <v>44056</v>
      </c>
      <c r="R32" s="40">
        <f t="shared" si="53"/>
        <v>46259</v>
      </c>
      <c r="S32" s="40">
        <f t="shared" si="53"/>
        <v>48572</v>
      </c>
      <c r="T32" s="40">
        <f t="shared" si="53"/>
        <v>51001</v>
      </c>
      <c r="U32" s="40">
        <f t="shared" si="53"/>
        <v>53551</v>
      </c>
      <c r="V32" s="40">
        <f t="shared" si="53"/>
        <v>56229</v>
      </c>
      <c r="W32" s="40">
        <f t="shared" si="53"/>
        <v>59040</v>
      </c>
    </row>
    <row r="33" spans="1:23" x14ac:dyDescent="0.25">
      <c r="E33" s="11"/>
      <c r="F33" s="11"/>
      <c r="G33" s="11"/>
    </row>
    <row r="35" spans="1:23" x14ac:dyDescent="0.25">
      <c r="A35" s="13" t="s">
        <v>35</v>
      </c>
      <c r="B35" s="26">
        <v>0</v>
      </c>
      <c r="C35" s="14">
        <f>(C8-B8)/B8</f>
        <v>7.0312534530844614E-2</v>
      </c>
      <c r="D35" s="14">
        <f t="shared" ref="D35:F35" si="54">(D8-C8)/C8</f>
        <v>6.1885982118890792E-2</v>
      </c>
      <c r="E35" s="14">
        <f t="shared" si="54"/>
        <v>0.11844085540617794</v>
      </c>
      <c r="F35" s="14">
        <f t="shared" si="54"/>
        <v>0.12713971286209522</v>
      </c>
      <c r="G35" s="14"/>
      <c r="H35" s="26">
        <v>0</v>
      </c>
      <c r="I35" s="14">
        <f t="shared" ref="I35:J35" si="55">(I8-H8)/H8</f>
        <v>1.0573147251743156E-2</v>
      </c>
      <c r="J35" s="14">
        <f t="shared" si="55"/>
        <v>-5.8340419577408691E-3</v>
      </c>
      <c r="L35" s="14">
        <f>(L8-J8)/J8</f>
        <v>6.5882786024404241E-2</v>
      </c>
      <c r="M35" s="14">
        <f>(M8-G8)/G8</f>
        <v>4.9999866894188866E-2</v>
      </c>
      <c r="N35" s="14">
        <f>(N8-M8)/M8</f>
        <v>4.9997084348529369E-2</v>
      </c>
      <c r="O35" s="14">
        <f>(O8-N8)/N8</f>
        <v>5.7958241476977757E-2</v>
      </c>
      <c r="P35" s="14">
        <f t="shared" ref="P35:W35" si="56">(P8-O8)/O8</f>
        <v>5.7973826076239424E-2</v>
      </c>
      <c r="Q35" s="14">
        <f t="shared" si="56"/>
        <v>6.5980364450638235E-2</v>
      </c>
      <c r="R35" s="14">
        <f t="shared" si="56"/>
        <v>6.6039034104247454E-2</v>
      </c>
      <c r="S35" s="14">
        <f t="shared" si="56"/>
        <v>6.6099809402312984E-2</v>
      </c>
      <c r="T35" s="14">
        <f t="shared" si="56"/>
        <v>6.6157629415420333E-2</v>
      </c>
      <c r="U35" s="14">
        <f t="shared" si="56"/>
        <v>6.6216162048047894E-2</v>
      </c>
      <c r="V35" s="14">
        <f t="shared" si="56"/>
        <v>6.6275364906905276E-2</v>
      </c>
      <c r="W35" s="14">
        <f t="shared" si="56"/>
        <v>6.6331125282984502E-2</v>
      </c>
    </row>
    <row r="36" spans="1:23" x14ac:dyDescent="0.25">
      <c r="A36" s="13" t="s">
        <v>37</v>
      </c>
      <c r="B36" s="26">
        <v>0</v>
      </c>
      <c r="C36" s="14">
        <f>(C14-B14)/B14</f>
        <v>6.4944017079697269E-2</v>
      </c>
      <c r="D36" s="14">
        <f t="shared" ref="D36:F36" si="57">(D14-C14)/C14</f>
        <v>5.5135523890861689E-2</v>
      </c>
      <c r="E36" s="14">
        <f t="shared" si="57"/>
        <v>0.12307869265898712</v>
      </c>
      <c r="F36" s="14">
        <f t="shared" si="57"/>
        <v>0.12176294537357706</v>
      </c>
      <c r="G36" s="14"/>
      <c r="H36" s="26">
        <v>0</v>
      </c>
      <c r="I36" s="14">
        <f t="shared" ref="I36:J36" si="58">(I14-H14)/H14</f>
        <v>1.1938696404078955E-2</v>
      </c>
      <c r="J36" s="14">
        <f t="shared" si="58"/>
        <v>-1.1915706102821583E-2</v>
      </c>
      <c r="L36" s="14">
        <f>(L14-J14)/J14</f>
        <v>3.0240233792568762E-2</v>
      </c>
      <c r="M36" s="14">
        <f>(M14-G14)/G14</f>
        <v>4.0000000000000112E-2</v>
      </c>
      <c r="N36" s="14">
        <f>(N14-M14)/M14</f>
        <v>4.9998185625470072E-2</v>
      </c>
      <c r="O36" s="14">
        <f>(O14-N14)/N14</f>
        <v>5.0000810648681074E-2</v>
      </c>
      <c r="P36" s="14">
        <f t="shared" ref="P36:W36" si="59">(P14-O14)/O14</f>
        <v>5.0000257348588956E-2</v>
      </c>
      <c r="Q36" s="14">
        <f t="shared" si="59"/>
        <v>4.9999142171580392E-2</v>
      </c>
      <c r="R36" s="14">
        <f t="shared" si="59"/>
        <v>5.0001517248784454E-2</v>
      </c>
      <c r="S36" s="14">
        <f t="shared" si="59"/>
        <v>4.9999110771228115E-2</v>
      </c>
      <c r="T36" s="14">
        <f t="shared" si="59"/>
        <v>5.0002223073812399E-2</v>
      </c>
      <c r="U36" s="14">
        <f t="shared" si="59"/>
        <v>5.0000403277842304E-2</v>
      </c>
      <c r="V36" s="14">
        <f t="shared" si="59"/>
        <v>5.0000672129479021E-2</v>
      </c>
      <c r="W36" s="14">
        <f t="shared" si="59"/>
        <v>4.9999085538709145E-2</v>
      </c>
    </row>
    <row r="37" spans="1:23" x14ac:dyDescent="0.25">
      <c r="A37" s="13" t="s">
        <v>38</v>
      </c>
      <c r="B37" s="26">
        <v>0</v>
      </c>
      <c r="C37" s="14">
        <f>(C17-B17)/B17</f>
        <v>0.12775965880582038</v>
      </c>
      <c r="D37" s="14">
        <f t="shared" ref="D37:F37" si="60">(D17-C17)/C17</f>
        <v>0.15355097046882821</v>
      </c>
      <c r="E37" s="14">
        <f t="shared" si="60"/>
        <v>7.5595410278661651E-2</v>
      </c>
      <c r="F37" s="14">
        <f t="shared" si="60"/>
        <v>0.18077095472882115</v>
      </c>
      <c r="G37" s="14"/>
      <c r="H37" s="26">
        <v>0</v>
      </c>
      <c r="I37" s="14">
        <f t="shared" ref="I37:J37" si="61">(I17-H17)/H17</f>
        <v>-1.4048008728859793E-2</v>
      </c>
      <c r="J37" s="14">
        <f t="shared" si="61"/>
        <v>6.4047586111495372E-2</v>
      </c>
      <c r="L37" s="14">
        <f>(L17-J17)/J17</f>
        <v>0.46040951638065492</v>
      </c>
      <c r="M37" s="14">
        <f>(M17-G17)/G17</f>
        <v>0.1541067899960778</v>
      </c>
      <c r="N37" s="14">
        <f>(N17-M17)/M17</f>
        <v>4.9991965215875324E-2</v>
      </c>
      <c r="O37" s="14">
        <f>(O17-N17)/N17</f>
        <v>0.13078193154094483</v>
      </c>
      <c r="P37" s="14">
        <f t="shared" ref="P37:W37" si="62">(P17-O17)/O17</f>
        <v>0.1253323453776751</v>
      </c>
      <c r="Q37" s="14">
        <f t="shared" si="62"/>
        <v>0.19422119797819393</v>
      </c>
      <c r="R37" s="14">
        <f t="shared" si="62"/>
        <v>0.17917490999902702</v>
      </c>
      <c r="S37" s="14">
        <f t="shared" si="62"/>
        <v>0.16721446744138074</v>
      </c>
      <c r="T37" s="14">
        <f t="shared" si="62"/>
        <v>0.15740980747932229</v>
      </c>
      <c r="U37" s="14">
        <f t="shared" si="62"/>
        <v>0.14929657755970438</v>
      </c>
      <c r="V37" s="14">
        <f t="shared" si="62"/>
        <v>0.14244464127546502</v>
      </c>
      <c r="W37" s="14">
        <f t="shared" si="62"/>
        <v>0.13656944379835947</v>
      </c>
    </row>
    <row r="38" spans="1:23" x14ac:dyDescent="0.25">
      <c r="A38" s="13" t="s">
        <v>39</v>
      </c>
      <c r="B38" s="26">
        <v>0</v>
      </c>
      <c r="C38" s="14">
        <f>(C19-B19)/B19</f>
        <v>0.14997577128089162</v>
      </c>
      <c r="D38" s="14">
        <f t="shared" ref="D38:F38" si="63">(D19-C19)/C19</f>
        <v>0.10745136596671115</v>
      </c>
      <c r="E38" s="14">
        <f t="shared" si="63"/>
        <v>0.12448474855729597</v>
      </c>
      <c r="F38" s="14">
        <f t="shared" si="63"/>
        <v>0.16394089781186555</v>
      </c>
      <c r="G38" s="14"/>
      <c r="H38" s="26">
        <v>0</v>
      </c>
      <c r="I38" s="14">
        <f t="shared" ref="I38:J38" si="64">(I19-H19)/H19</f>
        <v>-2.0263249047454104E-2</v>
      </c>
      <c r="J38" s="14">
        <f t="shared" si="64"/>
        <v>6.7350185610747751E-2</v>
      </c>
      <c r="L38" s="14">
        <f>(L19-J19)/J19</f>
        <v>0.44428453130175499</v>
      </c>
      <c r="M38" s="14">
        <f>(M19-G19)/G19</f>
        <v>9.7342967186579255E-2</v>
      </c>
      <c r="N38" s="14">
        <f>(N19-M19)/M19</f>
        <v>5.00031135431682E-2</v>
      </c>
      <c r="O38" s="14">
        <f>(O19-N19)/N19</f>
        <v>0.15691277836691411</v>
      </c>
      <c r="P38" s="14">
        <f t="shared" ref="P38:W38" si="65">(P19-O19)/O19</f>
        <v>0.14585660680014895</v>
      </c>
      <c r="Q38" s="14">
        <f t="shared" si="65"/>
        <v>0.23908206884483663</v>
      </c>
      <c r="R38" s="14">
        <f t="shared" si="65"/>
        <v>0.21314584300038331</v>
      </c>
      <c r="S38" s="14">
        <f t="shared" si="65"/>
        <v>0.19384021818665603</v>
      </c>
      <c r="T38" s="14">
        <f t="shared" si="65"/>
        <v>0.17880425697888228</v>
      </c>
      <c r="U38" s="14">
        <f t="shared" si="65"/>
        <v>0.16686755530346001</v>
      </c>
      <c r="V38" s="14">
        <f t="shared" si="65"/>
        <v>0.15713200668388272</v>
      </c>
      <c r="W38" s="14">
        <f t="shared" si="65"/>
        <v>0.14900972335267501</v>
      </c>
    </row>
    <row r="39" spans="1:23" ht="15.75" thickBot="1" x14ac:dyDescent="0.3"/>
    <row r="40" spans="1:23" x14ac:dyDescent="0.25">
      <c r="B40" s="45" t="s">
        <v>2</v>
      </c>
      <c r="C40" s="48">
        <f>W21*(1+0.055)/(0.15-0.055)</f>
        <v>1453534.5789473685</v>
      </c>
    </row>
    <row r="41" spans="1:23" x14ac:dyDescent="0.25">
      <c r="B41" s="46" t="s">
        <v>51</v>
      </c>
      <c r="C41" s="49">
        <f>SUM(C40,W21)</f>
        <v>1584421.5789473685</v>
      </c>
    </row>
    <row r="42" spans="1:23" x14ac:dyDescent="0.25">
      <c r="B42" s="46"/>
      <c r="C42" s="50"/>
    </row>
    <row r="43" spans="1:23" x14ac:dyDescent="0.25">
      <c r="B43" s="46" t="s">
        <v>52</v>
      </c>
      <c r="C43" s="51">
        <f>NPV(0.15,M21:W21,C41)</f>
        <v>576642.09317944362</v>
      </c>
    </row>
    <row r="44" spans="1:23" x14ac:dyDescent="0.25">
      <c r="B44" s="46" t="s">
        <v>53</v>
      </c>
      <c r="C44" s="50">
        <f>Main!D5</f>
        <v>53815</v>
      </c>
    </row>
    <row r="45" spans="1:23" x14ac:dyDescent="0.25">
      <c r="B45" s="46" t="s">
        <v>54</v>
      </c>
      <c r="C45" s="50">
        <f>Main!D6</f>
        <v>57623</v>
      </c>
    </row>
    <row r="46" spans="1:23" x14ac:dyDescent="0.25">
      <c r="B46" s="46" t="s">
        <v>55</v>
      </c>
      <c r="C46" s="51">
        <f>C43+C44-C45</f>
        <v>572834.09317944362</v>
      </c>
    </row>
    <row r="47" spans="1:23" x14ac:dyDescent="0.25">
      <c r="B47" s="46" t="s">
        <v>56</v>
      </c>
      <c r="C47" s="50">
        <f>Main!D3</f>
        <v>930</v>
      </c>
    </row>
    <row r="48" spans="1:23" x14ac:dyDescent="0.25">
      <c r="B48" s="46" t="s">
        <v>57</v>
      </c>
      <c r="C48" s="51">
        <f>C46/C47</f>
        <v>615.95063782735872</v>
      </c>
    </row>
    <row r="49" spans="2:3" ht="15.75" thickBot="1" x14ac:dyDescent="0.3">
      <c r="B49" s="47" t="s">
        <v>58</v>
      </c>
      <c r="C49" s="52">
        <f>C48/Main!D2-1</f>
        <v>0.14804785996301861</v>
      </c>
    </row>
  </sheetData>
  <mergeCells count="3">
    <mergeCell ref="A1:A2"/>
    <mergeCell ref="B1:F1"/>
    <mergeCell ref="L1:W1"/>
  </mergeCells>
  <conditionalFormatting sqref="C4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Consolidated Statements of Oper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Morton</cp:lastModifiedBy>
  <dcterms:created xsi:type="dcterms:W3CDTF">2021-03-01T16:02:04Z</dcterms:created>
  <dcterms:modified xsi:type="dcterms:W3CDTF">2024-01-09T00:46:17Z</dcterms:modified>
</cp:coreProperties>
</file>