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4b76a65d58f2796f/Desktop/Personal Finance Plan/"/>
    </mc:Choice>
  </mc:AlternateContent>
  <xr:revisionPtr revIDLastSave="378" documentId="8_{528C78F2-8A84-4298-B047-0995C64C06BD}" xr6:coauthVersionLast="47" xr6:coauthVersionMax="47" xr10:uidLastSave="{2457E1F7-BF08-4932-A502-7E8B0F5EEADC}"/>
  <bookViews>
    <workbookView xWindow="0" yWindow="0" windowWidth="12150" windowHeight="15585" activeTab="1" xr2:uid="{57CE075A-B847-43D0-B510-3B07E3BC25E4}"/>
  </bookViews>
  <sheets>
    <sheet name="Main" sheetId="1" r:id="rId1"/>
    <sheet name="Model" sheetId="2" r:id="rId2"/>
    <sheet name="Supporting Docs -&gt;" sheetId="3" r:id="rId3"/>
    <sheet name="2022 Balance Sheet" sheetId="8" r:id="rId4"/>
    <sheet name="2022 Income Statement" sheetId="7" r:id="rId5"/>
    <sheet name="2021 Balance Sheet" sheetId="5" r:id="rId6"/>
    <sheet name="2021 Income Statement"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 i="2" l="1"/>
  <c r="S31" i="2"/>
  <c r="F10" i="1" a="1"/>
  <c r="F10" i="1" s="1"/>
  <c r="E10" i="1" a="1"/>
  <c r="E10" i="1" s="1"/>
  <c r="N21" i="2"/>
  <c r="N20" i="2"/>
  <c r="N17" i="2"/>
  <c r="N16" i="2"/>
  <c r="N15" i="2"/>
  <c r="N14" i="2"/>
  <c r="N10" i="2"/>
  <c r="N9" i="2"/>
  <c r="N8" i="2"/>
  <c r="N4" i="2"/>
  <c r="N3" i="2"/>
  <c r="O21" i="2"/>
  <c r="Q21" i="2" s="1"/>
  <c r="O20" i="2"/>
  <c r="Q20" i="2" s="1"/>
  <c r="O17" i="2"/>
  <c r="Q17" i="2" s="1"/>
  <c r="O16" i="2"/>
  <c r="Q16" i="2" s="1"/>
  <c r="O15" i="2"/>
  <c r="O14" i="2"/>
  <c r="Q14" i="2" s="1"/>
  <c r="O13" i="2"/>
  <c r="O10" i="2"/>
  <c r="Q10" i="2" s="1"/>
  <c r="O9" i="2"/>
  <c r="Q9" i="2" s="1"/>
  <c r="O8" i="2"/>
  <c r="Q8" i="2" s="1"/>
  <c r="R8" i="2" s="1"/>
  <c r="O7" i="2"/>
  <c r="O6" i="2"/>
  <c r="O4" i="2"/>
  <c r="Q4" i="2" s="1"/>
  <c r="O3" i="2"/>
  <c r="Q3" i="2" s="1"/>
  <c r="R3" i="2" s="1"/>
  <c r="N26" i="2"/>
  <c r="N25" i="2"/>
  <c r="M28" i="2"/>
  <c r="L28" i="2"/>
  <c r="K28" i="2"/>
  <c r="M27" i="2"/>
  <c r="L27" i="2"/>
  <c r="K27" i="2"/>
  <c r="M26" i="2"/>
  <c r="L26" i="2"/>
  <c r="K26" i="2"/>
  <c r="M25" i="2"/>
  <c r="L25" i="2"/>
  <c r="K25" i="2"/>
  <c r="M18" i="2"/>
  <c r="L18" i="2"/>
  <c r="K18" i="2"/>
  <c r="M11" i="2"/>
  <c r="L11" i="2"/>
  <c r="K11" i="2"/>
  <c r="M5" i="2"/>
  <c r="L5" i="2"/>
  <c r="K5" i="2"/>
  <c r="S34" i="2"/>
  <c r="S35" i="2"/>
  <c r="S37" i="2"/>
  <c r="Q2" i="2"/>
  <c r="R2" i="2" s="1"/>
  <c r="S2" i="2" s="1"/>
  <c r="T2" i="2" s="1"/>
  <c r="U2" i="2" s="1"/>
  <c r="V2" i="2" s="1"/>
  <c r="W2" i="2" s="1"/>
  <c r="X2" i="2" s="1"/>
  <c r="Y2" i="2" s="1"/>
  <c r="Z2" i="2" s="1"/>
  <c r="J26" i="2"/>
  <c r="J25" i="2"/>
  <c r="J18" i="2"/>
  <c r="J11" i="2"/>
  <c r="J5" i="2"/>
  <c r="I26" i="2"/>
  <c r="H26" i="2"/>
  <c r="I25" i="2"/>
  <c r="H25" i="2"/>
  <c r="G18" i="2"/>
  <c r="G11" i="2"/>
  <c r="G5" i="2"/>
  <c r="H18" i="2"/>
  <c r="H11" i="2"/>
  <c r="H5" i="2"/>
  <c r="I18" i="2"/>
  <c r="I11" i="2"/>
  <c r="I5" i="2"/>
  <c r="E5" i="1"/>
  <c r="Z20" i="5"/>
  <c r="Z12" i="5"/>
  <c r="D2" i="2"/>
  <c r="E2" i="2" s="1"/>
  <c r="F2" i="2" s="1"/>
  <c r="G2" i="2" s="1"/>
  <c r="H2" i="2" s="1"/>
  <c r="I2" i="2" s="1"/>
  <c r="J2" i="2" s="1"/>
  <c r="R9" i="2" l="1"/>
  <c r="R16" i="2"/>
  <c r="R17" i="2"/>
  <c r="S17" i="2" s="1"/>
  <c r="T17" i="2" s="1"/>
  <c r="U17" i="2" s="1"/>
  <c r="V17" i="2" s="1"/>
  <c r="W17" i="2" s="1"/>
  <c r="X17" i="2" s="1"/>
  <c r="Y17" i="2" s="1"/>
  <c r="Z17" i="2" s="1"/>
  <c r="R4" i="2"/>
  <c r="S4" i="2" s="1"/>
  <c r="T4" i="2" s="1"/>
  <c r="T26" i="2" s="1"/>
  <c r="R20" i="2"/>
  <c r="S20" i="2" s="1"/>
  <c r="R21" i="2"/>
  <c r="S21" i="2" s="1"/>
  <c r="T21" i="2" s="1"/>
  <c r="U21" i="2" s="1"/>
  <c r="V21" i="2" s="1"/>
  <c r="W21" i="2" s="1"/>
  <c r="X21" i="2" s="1"/>
  <c r="Y21" i="2" s="1"/>
  <c r="Z21" i="2" s="1"/>
  <c r="R10" i="2"/>
  <c r="S10" i="2" s="1"/>
  <c r="T10" i="2" s="1"/>
  <c r="U10" i="2" s="1"/>
  <c r="V10" i="2" s="1"/>
  <c r="W10" i="2" s="1"/>
  <c r="X10" i="2" s="1"/>
  <c r="Y10" i="2" s="1"/>
  <c r="Z10" i="2" s="1"/>
  <c r="M12" i="2"/>
  <c r="M19" i="2" s="1"/>
  <c r="M22" i="2" s="1"/>
  <c r="L12" i="2"/>
  <c r="L19" i="2" s="1"/>
  <c r="L22" i="2" s="1"/>
  <c r="K12" i="2"/>
  <c r="K19" i="2" s="1"/>
  <c r="K22" i="2" s="1"/>
  <c r="G12" i="2"/>
  <c r="R26" i="2"/>
  <c r="S26" i="2"/>
  <c r="U4" i="2"/>
  <c r="U26" i="2" s="1"/>
  <c r="S16" i="2"/>
  <c r="T16" i="2" s="1"/>
  <c r="U16" i="2" s="1"/>
  <c r="V16" i="2" s="1"/>
  <c r="W16" i="2" s="1"/>
  <c r="X16" i="2" s="1"/>
  <c r="Y16" i="2" s="1"/>
  <c r="N11" i="2"/>
  <c r="O11" i="2" s="1"/>
  <c r="N18" i="2"/>
  <c r="O18" i="2" s="1"/>
  <c r="S9" i="2"/>
  <c r="T9" i="2" s="1"/>
  <c r="U9" i="2" s="1"/>
  <c r="R25" i="2"/>
  <c r="Q5" i="2"/>
  <c r="Q11" i="2"/>
  <c r="S8" i="2"/>
  <c r="R14" i="2"/>
  <c r="N5" i="2"/>
  <c r="I27" i="2"/>
  <c r="T20" i="2"/>
  <c r="J27" i="2"/>
  <c r="H27" i="2"/>
  <c r="J12" i="2"/>
  <c r="J19" i="2" s="1"/>
  <c r="J22" i="2" s="1"/>
  <c r="G19" i="2"/>
  <c r="G22" i="2" s="1"/>
  <c r="H12" i="2"/>
  <c r="H19" i="2" s="1"/>
  <c r="H22" i="2" s="1"/>
  <c r="I12" i="2"/>
  <c r="I19" i="2" s="1"/>
  <c r="I22" i="2" s="1"/>
  <c r="O5" i="2" l="1"/>
  <c r="N27" i="2"/>
  <c r="N12" i="2"/>
  <c r="V4" i="2"/>
  <c r="R11" i="2"/>
  <c r="Z16" i="2"/>
  <c r="H28" i="2"/>
  <c r="Q12" i="2"/>
  <c r="R5" i="2"/>
  <c r="S3" i="2"/>
  <c r="S25" i="2" s="1"/>
  <c r="Q18" i="2"/>
  <c r="S11" i="2"/>
  <c r="T8" i="2"/>
  <c r="V9" i="2"/>
  <c r="U20" i="2"/>
  <c r="J28" i="2"/>
  <c r="I28" i="2"/>
  <c r="N19" i="2" l="1"/>
  <c r="O12" i="2"/>
  <c r="W4" i="2"/>
  <c r="V26" i="2"/>
  <c r="Q19" i="2"/>
  <c r="Q22" i="2" s="1"/>
  <c r="R12" i="2"/>
  <c r="R27" i="2"/>
  <c r="S14" i="2"/>
  <c r="R18" i="2"/>
  <c r="T3" i="2"/>
  <c r="S5" i="2"/>
  <c r="U8" i="2"/>
  <c r="T11" i="2"/>
  <c r="W9" i="2"/>
  <c r="X9" i="2" s="1"/>
  <c r="Y9" i="2" s="1"/>
  <c r="Z9" i="2" s="1"/>
  <c r="V20" i="2"/>
  <c r="N22" i="2" l="1"/>
  <c r="O19" i="2"/>
  <c r="T25" i="2"/>
  <c r="U3" i="2"/>
  <c r="V3" i="2" s="1"/>
  <c r="W3" i="2" s="1"/>
  <c r="X3" i="2" s="1"/>
  <c r="Y3" i="2" s="1"/>
  <c r="Z3" i="2" s="1"/>
  <c r="W26" i="2"/>
  <c r="X4" i="2"/>
  <c r="S12" i="2"/>
  <c r="S27" i="2"/>
  <c r="R19" i="2"/>
  <c r="R22" i="2" s="1"/>
  <c r="R28" i="2" s="1"/>
  <c r="T14" i="2"/>
  <c r="S18" i="2"/>
  <c r="V8" i="2"/>
  <c r="U11" i="2"/>
  <c r="U25" i="2"/>
  <c r="T5" i="2"/>
  <c r="W20" i="2"/>
  <c r="X20" i="2" s="1"/>
  <c r="Y20" i="2" s="1"/>
  <c r="Z20" i="2" s="1"/>
  <c r="O22" i="2" l="1"/>
  <c r="N28" i="2"/>
  <c r="X26" i="2"/>
  <c r="Y4" i="2"/>
  <c r="S19" i="2"/>
  <c r="S22" i="2" s="1"/>
  <c r="S28" i="2" s="1"/>
  <c r="T12" i="2"/>
  <c r="T27" i="2"/>
  <c r="V25" i="2"/>
  <c r="U5" i="2"/>
  <c r="U14" i="2"/>
  <c r="T18" i="2"/>
  <c r="W8" i="2"/>
  <c r="V11" i="2"/>
  <c r="Y26" i="2" l="1"/>
  <c r="Z4" i="2"/>
  <c r="Z26" i="2" s="1"/>
  <c r="W11" i="2"/>
  <c r="X8" i="2"/>
  <c r="T19" i="2"/>
  <c r="T22" i="2" s="1"/>
  <c r="T28" i="2" s="1"/>
  <c r="U12" i="2"/>
  <c r="U27" i="2"/>
  <c r="V14" i="2"/>
  <c r="U18" i="2"/>
  <c r="V5" i="2"/>
  <c r="Y8" i="2" l="1"/>
  <c r="X11" i="2"/>
  <c r="U19" i="2"/>
  <c r="U22" i="2" s="1"/>
  <c r="U28" i="2" s="1"/>
  <c r="X25" i="2"/>
  <c r="X5" i="2"/>
  <c r="V12" i="2"/>
  <c r="V27" i="2"/>
  <c r="W5" i="2"/>
  <c r="W25" i="2"/>
  <c r="W14" i="2"/>
  <c r="V18" i="2"/>
  <c r="Z8" i="2" l="1"/>
  <c r="Z11" i="2" s="1"/>
  <c r="Y11" i="2"/>
  <c r="W18" i="2"/>
  <c r="X14" i="2"/>
  <c r="Y25" i="2"/>
  <c r="Y5" i="2"/>
  <c r="X27" i="2"/>
  <c r="X12" i="2"/>
  <c r="V19" i="2"/>
  <c r="V22" i="2" s="1"/>
  <c r="W12" i="2"/>
  <c r="W27" i="2"/>
  <c r="W19" i="2" l="1"/>
  <c r="W22" i="2" s="1"/>
  <c r="W28" i="2" s="1"/>
  <c r="Y14" i="2"/>
  <c r="X18" i="2"/>
  <c r="X19" i="2" s="1"/>
  <c r="X22" i="2" s="1"/>
  <c r="V28" i="2"/>
  <c r="Z25" i="2"/>
  <c r="Z5" i="2"/>
  <c r="Y27" i="2"/>
  <c r="Y12" i="2"/>
  <c r="X28" i="2" l="1"/>
  <c r="Z14" i="2"/>
  <c r="Z18" i="2" s="1"/>
  <c r="Y18" i="2"/>
  <c r="Y19" i="2" s="1"/>
  <c r="Y22" i="2" s="1"/>
  <c r="Y28" i="2" s="1"/>
  <c r="Z27" i="2"/>
  <c r="Z12" i="2"/>
  <c r="Z19" i="2" l="1"/>
  <c r="Z22" i="2" s="1"/>
  <c r="Z28" i="2" s="1"/>
  <c r="S30" i="2" l="1"/>
  <c r="S33" i="2" s="1"/>
  <c r="S36" i="2" s="1"/>
  <c r="S38" i="2" s="1"/>
  <c r="S3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Josh Morton</author>
    <author>tc={5737E15E-E28E-4E35-BD70-FE414F650307}</author>
    <author>tc={58D8A5F4-FE89-40C6-8310-B0E4256D1E17}</author>
    <author>tc={83006D5D-B8BA-45A2-B63F-F335A92942C3}</author>
    <author>tc={7AB36569-7599-4B82-8819-87E145690246}</author>
    <author>tc={5357B4EF-8EEB-4F8E-AA60-CCCFA0CE0861}</author>
  </authors>
  <commentList>
    <comment ref="G2" authorId="0" shapeId="0" xr:uid="{F6F74922-E001-4100-BE0D-703E9F5E23F6}">
      <text>
        <r>
          <rPr>
            <b/>
            <sz val="9"/>
            <color indexed="81"/>
            <rFont val="Tahoma"/>
            <family val="2"/>
          </rPr>
          <t>Josh Morton:</t>
        </r>
        <r>
          <rPr>
            <sz val="9"/>
            <color indexed="81"/>
            <rFont val="Tahoma"/>
            <family val="2"/>
          </rPr>
          <t xml:space="preserve">
young company  - new to market</t>
        </r>
      </text>
    </comment>
    <comment ref="K2" authorId="1" shapeId="0" xr:uid="{5737E15E-E28E-4E35-BD70-FE414F650307}">
      <text>
        <t>[Threaded comment]
Your version of Excel allows you to read this threaded comment; however, any edits to it will get removed if the file is opened in a newer version of Excel. Learn more: https://go.microsoft.com/fwlink/?linkid=870924
Comment:
    Quarter ending 3/31/23</t>
      </text>
    </comment>
    <comment ref="L2" authorId="2" shapeId="0" xr:uid="{58D8A5F4-FE89-40C6-8310-B0E4256D1E17}">
      <text>
        <t>[Threaded comment]
Your version of Excel allows you to read this threaded comment; however, any edits to it will get removed if the file is opened in a newer version of Excel. Learn more: https://go.microsoft.com/fwlink/?linkid=870924
Comment:
    Quarter ending 6/30/23</t>
      </text>
    </comment>
    <comment ref="M2" authorId="3" shapeId="0" xr:uid="{83006D5D-B8BA-45A2-B63F-F335A92942C3}">
      <text>
        <t>[Threaded comment]
Your version of Excel allows you to read this threaded comment; however, any edits to it will get removed if the file is opened in a newer version of Excel. Learn more: https://go.microsoft.com/fwlink/?linkid=870924
Comment:
    Quarter ending 9/30/23</t>
      </text>
    </comment>
    <comment ref="N8" authorId="0" shapeId="0" xr:uid="{0DA1CF3A-3983-4E58-9C9B-849F3FAC7A21}">
      <text>
        <r>
          <rPr>
            <b/>
            <sz val="9"/>
            <color indexed="81"/>
            <rFont val="Tahoma"/>
            <family val="2"/>
          </rPr>
          <t>Josh Morton:</t>
        </r>
        <r>
          <rPr>
            <sz val="9"/>
            <color indexed="81"/>
            <rFont val="Tahoma"/>
            <family val="2"/>
          </rPr>
          <t xml:space="preserve">
based off the amount of ads I personally see - sport betting is legal in many more states now</t>
        </r>
      </text>
    </comment>
    <comment ref="L22" authorId="4" shapeId="0" xr:uid="{7AB36569-7599-4B82-8819-87E145690246}">
      <text>
        <t>[Threaded comment]
Your version of Excel allows you to read this threaded comment; however, any edits to it will get removed if the file is opened in a newer version of Excel. Learn more: https://go.microsoft.com/fwlink/?linkid=870924
Comment:
    SEC EDGAR says -77,270 - will have to look into deeper</t>
      </text>
    </comment>
    <comment ref="M22" authorId="5" shapeId="0" xr:uid="{5357B4EF-8EEB-4F8E-AA60-CCCFA0CE0861}">
      <text>
        <t>[Threaded comment]
Your version of Excel allows you to read this threaded comment; however, any edits to it will get removed if the file is opened in a newer version of Excel. Learn more: https://go.microsoft.com/fwlink/?linkid=870924
Comment:
    SEC EDGAR says -283,103 - will have to look deeper into this</t>
      </text>
    </comment>
    <comment ref="I26" authorId="0" shapeId="0" xr:uid="{72D11182-4483-4C96-90FE-A13B3B30B01C}">
      <text>
        <r>
          <rPr>
            <b/>
            <sz val="9"/>
            <color indexed="81"/>
            <rFont val="Tahoma"/>
            <family val="2"/>
          </rPr>
          <t>Josh Morton:</t>
        </r>
        <r>
          <rPr>
            <sz val="9"/>
            <color indexed="81"/>
            <rFont val="Tahoma"/>
            <family val="2"/>
          </rPr>
          <t xml:space="preserve">
50% decrease in costs while still growing the top line by 21%</t>
        </r>
      </text>
    </comment>
    <comment ref="H28" authorId="0" shapeId="0" xr:uid="{43F7B6EB-4A3F-412D-A3CC-13E4BCED19A2}">
      <text>
        <r>
          <rPr>
            <b/>
            <sz val="9"/>
            <color indexed="81"/>
            <rFont val="Tahoma"/>
            <family val="2"/>
          </rPr>
          <t>Josh Morton:</t>
        </r>
        <r>
          <rPr>
            <sz val="9"/>
            <color indexed="81"/>
            <rFont val="Tahoma"/>
            <family val="2"/>
          </rPr>
          <t xml:space="preserve">
sharp drop off in 2021 is nice - assuming this spike is due to startup costs &amp; lingering IPO fees - didn’t look into detail within the 10-k too much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3"/>
        </ext>
      </extLst>
    </bk>
  </futureMetadata>
  <cellMetadata count="1">
    <bk>
      <rc t="1" v="0"/>
    </bk>
  </cellMetadata>
  <valueMetadata count="2">
    <bk>
      <rc t="2" v="0"/>
    </bk>
    <bk>
      <rc t="2" v="1"/>
    </bk>
  </valueMetadata>
</metadata>
</file>

<file path=xl/sharedStrings.xml><?xml version="1.0" encoding="utf-8"?>
<sst xmlns="http://schemas.openxmlformats.org/spreadsheetml/2006/main" count="63" uniqueCount="56">
  <si>
    <t>Price</t>
  </si>
  <si>
    <t>Shares</t>
  </si>
  <si>
    <t>Market Cap</t>
  </si>
  <si>
    <t>Cash</t>
  </si>
  <si>
    <t>Debt</t>
  </si>
  <si>
    <t>Main</t>
  </si>
  <si>
    <t>CRFU</t>
  </si>
  <si>
    <t>Total Cash</t>
  </si>
  <si>
    <t>ST Debt</t>
  </si>
  <si>
    <t>LT Debt</t>
  </si>
  <si>
    <t>Total Debt</t>
  </si>
  <si>
    <t>LT Tax Liability</t>
  </si>
  <si>
    <t>Revenue</t>
  </si>
  <si>
    <t>Cost of Revenue</t>
  </si>
  <si>
    <t>Sales &amp; Marketing</t>
  </si>
  <si>
    <t>General &amp; Admin</t>
  </si>
  <si>
    <t>Gross Profit</t>
  </si>
  <si>
    <t>Total Operating Expense</t>
  </si>
  <si>
    <t>Interest Income (expense), net</t>
  </si>
  <si>
    <t>Gain (Loss) on remeasurment of warrant liabilities</t>
  </si>
  <si>
    <t>Other income, net</t>
  </si>
  <si>
    <t>Income Before Tax</t>
  </si>
  <si>
    <t>(Gain) Loss from equity method investment</t>
  </si>
  <si>
    <t>Net Income</t>
  </si>
  <si>
    <t>Total Operating Income</t>
  </si>
  <si>
    <t>Other:</t>
  </si>
  <si>
    <t>Operating Expenses:</t>
  </si>
  <si>
    <t>Total, Other</t>
  </si>
  <si>
    <t>Product &amp; Technology</t>
  </si>
  <si>
    <t>YoY Revenue Growth</t>
  </si>
  <si>
    <t>YoY Cost of Revenue</t>
  </si>
  <si>
    <t>YoY Gross Profit</t>
  </si>
  <si>
    <t>YoY Net (Loss)</t>
  </si>
  <si>
    <t>Income tax provision/benefit</t>
  </si>
  <si>
    <t>ESTIMATES</t>
  </si>
  <si>
    <t>Terminal Value</t>
  </si>
  <si>
    <t>Enterprise Value</t>
  </si>
  <si>
    <t>(+) cash &amp; marketable securities</t>
  </si>
  <si>
    <t>(-) debt</t>
  </si>
  <si>
    <t>Equity Value</t>
  </si>
  <si>
    <t>Shares outstanding</t>
  </si>
  <si>
    <t>Intrinsic Value</t>
  </si>
  <si>
    <t>Upside</t>
  </si>
  <si>
    <t>DKNG</t>
  </si>
  <si>
    <t>2023 Q1</t>
  </si>
  <si>
    <t>2023 Q2</t>
  </si>
  <si>
    <t>2023 Q3</t>
  </si>
  <si>
    <t>2023 Q4 ESTIMATE</t>
  </si>
  <si>
    <t>Interest Expense</t>
  </si>
  <si>
    <t>Macro environment drastically changed</t>
  </si>
  <si>
    <t>2023 TOTALS (Incl. Q4 Est.)</t>
  </si>
  <si>
    <t>Price (including extended hrs)</t>
  </si>
  <si>
    <t xml:space="preserve">Price </t>
  </si>
  <si>
    <t>as of 12.19.23</t>
  </si>
  <si>
    <t>YAHOO FINANCE - will pull off bloomberg next time im at work</t>
  </si>
  <si>
    <t>as of 12.19.23 price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</si>
</sst>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3" formatCode="_(* #,##0.00_);_(* \(#,##0.00\);_(* &quot;-&quot;??_);_(@_)"/>
    <numFmt numFmtId="164" formatCode="_([$$-409]* #,##0.00_);_([$$-409]* \(#,##0.00\);_([$$-409]*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sz val="9"/>
      <color indexed="81"/>
      <name val="Tahoma"/>
      <family val="2"/>
    </font>
    <font>
      <b/>
      <sz val="9"/>
      <color indexed="81"/>
      <name val="Tahoma"/>
      <family val="2"/>
    </font>
    <font>
      <b/>
      <sz val="10"/>
      <color theme="1"/>
      <name val="Arial"/>
      <family val="2"/>
    </font>
    <font>
      <sz val="9"/>
      <color indexed="81"/>
      <name val="Tahoma"/>
      <charset val="1"/>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1" tint="0.499984740745262"/>
        <bgColor indexed="64"/>
      </patternFill>
    </fill>
    <fill>
      <patternFill patternType="solid">
        <fgColor rgb="FFFFFF00"/>
        <bgColor indexed="64"/>
      </patternFill>
    </fill>
  </fills>
  <borders count="16">
    <border>
      <left/>
      <right/>
      <top/>
      <bottom/>
      <diagonal/>
    </border>
    <border>
      <left/>
      <right/>
      <top style="thin">
        <color indexed="64"/>
      </top>
      <bottom style="medium">
        <color indexed="64"/>
      </bottom>
      <diagonal/>
    </border>
    <border>
      <left/>
      <right/>
      <top style="thin">
        <color indexed="64"/>
      </top>
      <bottom style="double">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top style="thin">
        <color indexed="64"/>
      </top>
      <bottom style="double">
        <color indexed="64"/>
      </bottom>
      <diagonal/>
    </border>
    <border>
      <left style="thin">
        <color indexed="64"/>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3">
    <xf numFmtId="0" fontId="0" fillId="0" borderId="0" xfId="0"/>
    <xf numFmtId="0" fontId="3" fillId="2" borderId="0" xfId="0" applyFont="1" applyFill="1"/>
    <xf numFmtId="0" fontId="0" fillId="0" borderId="1" xfId="0" applyBorder="1"/>
    <xf numFmtId="43" fontId="0" fillId="0" borderId="0" xfId="1" applyFont="1"/>
    <xf numFmtId="43" fontId="0" fillId="0" borderId="1" xfId="1" applyFont="1" applyBorder="1"/>
    <xf numFmtId="0" fontId="2" fillId="0" borderId="0" xfId="0" applyFont="1"/>
    <xf numFmtId="43" fontId="2" fillId="0" borderId="0" xfId="1" applyFont="1"/>
    <xf numFmtId="43" fontId="2" fillId="0" borderId="1" xfId="1" applyFont="1" applyBorder="1"/>
    <xf numFmtId="43" fontId="2" fillId="0" borderId="3" xfId="1" applyFont="1" applyBorder="1"/>
    <xf numFmtId="43" fontId="2" fillId="0" borderId="2" xfId="1" applyFont="1" applyBorder="1"/>
    <xf numFmtId="43" fontId="2" fillId="0" borderId="3" xfId="0" applyNumberFormat="1" applyFont="1" applyBorder="1"/>
    <xf numFmtId="43" fontId="2" fillId="0" borderId="2" xfId="0" applyNumberFormat="1" applyFont="1" applyBorder="1"/>
    <xf numFmtId="43" fontId="1" fillId="0" borderId="0" xfId="1" applyFont="1"/>
    <xf numFmtId="9" fontId="0" fillId="0" borderId="0" xfId="2" applyFont="1"/>
    <xf numFmtId="43" fontId="2" fillId="3" borderId="2" xfId="1" applyFont="1" applyFill="1" applyBorder="1"/>
    <xf numFmtId="43" fontId="2" fillId="3" borderId="3" xfId="1" applyFont="1" applyFill="1" applyBorder="1"/>
    <xf numFmtId="43" fontId="2" fillId="3" borderId="3" xfId="0" applyNumberFormat="1" applyFont="1" applyFill="1" applyBorder="1"/>
    <xf numFmtId="43" fontId="2" fillId="3" borderId="2" xfId="0" applyNumberFormat="1" applyFont="1" applyFill="1" applyBorder="1"/>
    <xf numFmtId="0" fontId="2" fillId="3" borderId="0" xfId="0" applyFont="1" applyFill="1"/>
    <xf numFmtId="0" fontId="0" fillId="3" borderId="0" xfId="0" applyFill="1"/>
    <xf numFmtId="43" fontId="2" fillId="3" borderId="0" xfId="0" applyNumberFormat="1" applyFont="1" applyFill="1"/>
    <xf numFmtId="43" fontId="0" fillId="3" borderId="0" xfId="0" applyNumberFormat="1" applyFill="1"/>
    <xf numFmtId="43" fontId="0" fillId="0" borderId="0" xfId="1" applyFont="1" applyFill="1" applyAlignment="1">
      <alignment horizontal="center" vertical="center" wrapText="1"/>
    </xf>
    <xf numFmtId="0" fontId="6" fillId="0" borderId="5" xfId="0" applyFont="1" applyBorder="1"/>
    <xf numFmtId="0" fontId="6" fillId="0" borderId="6" xfId="0" applyFont="1" applyBorder="1"/>
    <xf numFmtId="9" fontId="0" fillId="3" borderId="0" xfId="2" applyFont="1" applyFill="1"/>
    <xf numFmtId="0" fontId="0" fillId="5" borderId="0" xfId="0" applyFill="1"/>
    <xf numFmtId="9" fontId="0" fillId="5" borderId="0" xfId="2" applyFont="1" applyFill="1"/>
    <xf numFmtId="43" fontId="0" fillId="5" borderId="0" xfId="1" applyFont="1" applyFill="1"/>
    <xf numFmtId="43" fontId="0" fillId="0" borderId="7" xfId="0" applyNumberFormat="1" applyBorder="1"/>
    <xf numFmtId="8" fontId="0" fillId="0" borderId="8" xfId="0" applyNumberFormat="1" applyBorder="1"/>
    <xf numFmtId="0" fontId="0" fillId="0" borderId="9" xfId="0" applyBorder="1"/>
    <xf numFmtId="43" fontId="0" fillId="0" borderId="8" xfId="0" applyNumberFormat="1" applyBorder="1"/>
    <xf numFmtId="0" fontId="0" fillId="0" borderId="8" xfId="0" applyBorder="1"/>
    <xf numFmtId="43" fontId="0" fillId="0" borderId="8" xfId="1" applyFont="1" applyBorder="1"/>
    <xf numFmtId="0" fontId="0" fillId="0" borderId="10" xfId="0" applyBorder="1"/>
    <xf numFmtId="10" fontId="0" fillId="0" borderId="11" xfId="2" applyNumberFormat="1" applyFont="1" applyBorder="1"/>
    <xf numFmtId="0" fontId="2" fillId="0" borderId="4" xfId="0" applyFont="1" applyBorder="1"/>
    <xf numFmtId="0" fontId="0" fillId="3" borderId="0" xfId="0" applyFill="1" applyAlignment="1">
      <alignment horizontal="center"/>
    </xf>
    <xf numFmtId="0" fontId="3" fillId="2" borderId="0" xfId="0" applyFont="1" applyFill="1" applyAlignment="1">
      <alignment horizontal="center"/>
    </xf>
    <xf numFmtId="0" fontId="0" fillId="0" borderId="0" xfId="0" applyFont="1"/>
    <xf numFmtId="43" fontId="0" fillId="6" borderId="0" xfId="1" applyFont="1" applyFill="1" applyAlignment="1">
      <alignment horizontal="center"/>
    </xf>
    <xf numFmtId="0" fontId="3" fillId="4" borderId="0" xfId="0" applyFont="1" applyFill="1"/>
    <xf numFmtId="43" fontId="2" fillId="4" borderId="1" xfId="1" applyFont="1" applyFill="1" applyBorder="1"/>
    <xf numFmtId="43" fontId="0" fillId="4" borderId="0" xfId="1" applyFont="1" applyFill="1"/>
    <xf numFmtId="43" fontId="2" fillId="4" borderId="2" xfId="1" applyFont="1" applyFill="1" applyBorder="1"/>
    <xf numFmtId="43" fontId="2" fillId="4" borderId="3" xfId="1" applyFont="1" applyFill="1" applyBorder="1"/>
    <xf numFmtId="43" fontId="2" fillId="4" borderId="0" xfId="1" applyFont="1" applyFill="1"/>
    <xf numFmtId="43" fontId="2" fillId="4" borderId="3" xfId="0" applyNumberFormat="1" applyFont="1" applyFill="1" applyBorder="1"/>
    <xf numFmtId="43" fontId="2" fillId="4" borderId="2" xfId="0" applyNumberFormat="1" applyFont="1" applyFill="1" applyBorder="1"/>
    <xf numFmtId="0" fontId="3" fillId="4" borderId="12" xfId="0" applyFont="1" applyFill="1" applyBorder="1"/>
    <xf numFmtId="43" fontId="2" fillId="4" borderId="13" xfId="1" applyFont="1" applyFill="1" applyBorder="1"/>
    <xf numFmtId="43" fontId="0" fillId="4" borderId="12" xfId="1" applyFont="1" applyFill="1" applyBorder="1"/>
    <xf numFmtId="43" fontId="2" fillId="4" borderId="14" xfId="1" applyFont="1" applyFill="1" applyBorder="1"/>
    <xf numFmtId="43" fontId="2" fillId="4" borderId="15" xfId="1" applyFont="1" applyFill="1" applyBorder="1"/>
    <xf numFmtId="43" fontId="2" fillId="4" borderId="12" xfId="1" applyFont="1" applyFill="1" applyBorder="1"/>
    <xf numFmtId="43" fontId="2" fillId="4" borderId="15" xfId="0" applyNumberFormat="1" applyFont="1" applyFill="1" applyBorder="1"/>
    <xf numFmtId="43" fontId="2" fillId="4" borderId="14" xfId="0" applyNumberFormat="1" applyFont="1" applyFill="1" applyBorder="1"/>
    <xf numFmtId="164" fontId="0" fillId="0" borderId="0" xfId="0" applyNumberFormat="1"/>
    <xf numFmtId="0" fontId="0" fillId="6" borderId="0" xfId="0" applyFill="1"/>
    <xf numFmtId="164" fontId="0" fillId="6" borderId="0" xfId="0" applyNumberFormat="1" applyFill="1"/>
    <xf numFmtId="43" fontId="0" fillId="6" borderId="0" xfId="1" applyFont="1" applyFill="1"/>
    <xf numFmtId="43" fontId="0" fillId="6" borderId="0" xfId="0" applyNumberFormat="1" applyFill="1"/>
  </cellXfs>
  <cellStyles count="3">
    <cellStyle name="Comma" xfId="1" builtinId="3"/>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17</xdr:col>
      <xdr:colOff>325257</xdr:colOff>
      <xdr:row>44</xdr:row>
      <xdr:rowOff>1117</xdr:rowOff>
    </xdr:to>
    <xdr:pic>
      <xdr:nvPicPr>
        <xdr:cNvPr id="2" name="Picture 1">
          <a:extLst>
            <a:ext uri="{FF2B5EF4-FFF2-40B4-BE49-F238E27FC236}">
              <a16:creationId xmlns:a16="http://schemas.microsoft.com/office/drawing/2014/main" id="{C9963652-627F-724C-6768-0758E133EE87}"/>
            </a:ext>
          </a:extLst>
        </xdr:cNvPr>
        <xdr:cNvPicPr>
          <a:picLocks noChangeAspect="1"/>
        </xdr:cNvPicPr>
      </xdr:nvPicPr>
      <xdr:blipFill>
        <a:blip xmlns:r="http://schemas.openxmlformats.org/officeDocument/2006/relationships" r:embed="rId1"/>
        <a:stretch>
          <a:fillRect/>
        </a:stretch>
      </xdr:blipFill>
      <xdr:spPr>
        <a:xfrm>
          <a:off x="609600" y="381000"/>
          <a:ext cx="10078857" cy="8002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315730</xdr:colOff>
      <xdr:row>57</xdr:row>
      <xdr:rowOff>11015</xdr:rowOff>
    </xdr:to>
    <xdr:pic>
      <xdr:nvPicPr>
        <xdr:cNvPr id="2" name="Picture 1">
          <a:extLst>
            <a:ext uri="{FF2B5EF4-FFF2-40B4-BE49-F238E27FC236}">
              <a16:creationId xmlns:a16="http://schemas.microsoft.com/office/drawing/2014/main" id="{5D9A3238-F1DE-3D26-FC8D-9AEF4B0242AB}"/>
            </a:ext>
          </a:extLst>
        </xdr:cNvPr>
        <xdr:cNvPicPr>
          <a:picLocks noChangeAspect="1"/>
        </xdr:cNvPicPr>
      </xdr:nvPicPr>
      <xdr:blipFill>
        <a:blip xmlns:r="http://schemas.openxmlformats.org/officeDocument/2006/relationships" r:embed="rId1"/>
        <a:stretch>
          <a:fillRect/>
        </a:stretch>
      </xdr:blipFill>
      <xdr:spPr>
        <a:xfrm>
          <a:off x="609600" y="190500"/>
          <a:ext cx="10069330" cy="106790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468577</xdr:colOff>
      <xdr:row>41</xdr:row>
      <xdr:rowOff>86803</xdr:rowOff>
    </xdr:to>
    <xdr:pic>
      <xdr:nvPicPr>
        <xdr:cNvPr id="2" name="Picture 1">
          <a:extLst>
            <a:ext uri="{FF2B5EF4-FFF2-40B4-BE49-F238E27FC236}">
              <a16:creationId xmlns:a16="http://schemas.microsoft.com/office/drawing/2014/main" id="{9E815772-B983-E64C-49C3-8F1AA57B7B48}"/>
            </a:ext>
          </a:extLst>
        </xdr:cNvPr>
        <xdr:cNvPicPr>
          <a:picLocks noChangeAspect="1"/>
        </xdr:cNvPicPr>
      </xdr:nvPicPr>
      <xdr:blipFill>
        <a:blip xmlns:r="http://schemas.openxmlformats.org/officeDocument/2006/relationships" r:embed="rId1"/>
        <a:stretch>
          <a:fillRect/>
        </a:stretch>
      </xdr:blipFill>
      <xdr:spPr>
        <a:xfrm>
          <a:off x="609600" y="190500"/>
          <a:ext cx="13270177" cy="77258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420945</xdr:colOff>
      <xdr:row>27</xdr:row>
      <xdr:rowOff>115007</xdr:rowOff>
    </xdr:to>
    <xdr:pic>
      <xdr:nvPicPr>
        <xdr:cNvPr id="2" name="Picture 1">
          <a:extLst>
            <a:ext uri="{FF2B5EF4-FFF2-40B4-BE49-F238E27FC236}">
              <a16:creationId xmlns:a16="http://schemas.microsoft.com/office/drawing/2014/main" id="{FEF97E95-0EF3-9033-0125-926794C1F22A}"/>
            </a:ext>
          </a:extLst>
        </xdr:cNvPr>
        <xdr:cNvPicPr>
          <a:picLocks noChangeAspect="1"/>
        </xdr:cNvPicPr>
      </xdr:nvPicPr>
      <xdr:blipFill>
        <a:blip xmlns:r="http://schemas.openxmlformats.org/officeDocument/2006/relationships" r:embed="rId1"/>
        <a:stretch>
          <a:fillRect/>
        </a:stretch>
      </xdr:blipFill>
      <xdr:spPr>
        <a:xfrm>
          <a:off x="609600" y="190500"/>
          <a:ext cx="13222545" cy="5068007"/>
        </a:xfrm>
        <a:prstGeom prst="rect">
          <a:avLst/>
        </a:prstGeom>
      </xdr:spPr>
    </xdr:pic>
    <xdr:clientData/>
  </xdr:twoCellAnchor>
  <xdr:twoCellAnchor editAs="oneCell">
    <xdr:from>
      <xdr:col>1</xdr:col>
      <xdr:colOff>0</xdr:colOff>
      <xdr:row>29</xdr:row>
      <xdr:rowOff>0</xdr:rowOff>
    </xdr:from>
    <xdr:to>
      <xdr:col>23</xdr:col>
      <xdr:colOff>59030</xdr:colOff>
      <xdr:row>46</xdr:row>
      <xdr:rowOff>452</xdr:rowOff>
    </xdr:to>
    <xdr:pic>
      <xdr:nvPicPr>
        <xdr:cNvPr id="3" name="Picture 2">
          <a:extLst>
            <a:ext uri="{FF2B5EF4-FFF2-40B4-BE49-F238E27FC236}">
              <a16:creationId xmlns:a16="http://schemas.microsoft.com/office/drawing/2014/main" id="{BBA96FFC-A734-58CB-AF9C-A4E262F3E364}"/>
            </a:ext>
          </a:extLst>
        </xdr:cNvPr>
        <xdr:cNvPicPr>
          <a:picLocks noChangeAspect="1"/>
        </xdr:cNvPicPr>
      </xdr:nvPicPr>
      <xdr:blipFill>
        <a:blip xmlns:r="http://schemas.openxmlformats.org/officeDocument/2006/relationships" r:embed="rId2"/>
        <a:stretch>
          <a:fillRect/>
        </a:stretch>
      </xdr:blipFill>
      <xdr:spPr>
        <a:xfrm>
          <a:off x="609600" y="5524500"/>
          <a:ext cx="13470230" cy="32389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oshua Morton" id="{F4E8DA21-B880-4567-8611-0FE938F5A9E7}" userId="4b76a65d58f2796f"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
  <rv s="0">
    <v>https://www.bing.com/financeapi/forcetrigger?t=bqrtfr&amp;q=XNAS%3aDKNG&amp;form=skydnc</v>
    <v>Learn more on Bing</v>
  </rv>
  <rv s="1">
    <v>en-US</v>
    <v>bqrtfr</v>
    <v>268435456</v>
    <v>1</v>
    <v>Powered by Refinitiv</v>
    <v>0</v>
    <v>DRAFTKINGS INC. (XNAS:DKNG)</v>
    <v>2</v>
    <v>3</v>
    <v>Finance</v>
    <v>4</v>
    <v>39.35</v>
    <v>10.6936</v>
    <v>1.8691</v>
    <v>0.68500000000000005</v>
    <v>1.951E-2</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36.255000000000003</v>
    <v>Hotels &amp; Entertainment Services</v>
    <v>Stock</v>
    <v>45282.846389328122</v>
    <v>0</v>
    <v>35.200000000000003</v>
    <v>16689128810</v>
    <v>DRAFTKINGS INC.</v>
    <v>DRAFTKINGS INC.</v>
    <v>35.200000000000003</v>
    <v>35.11</v>
    <v>35.795000000000002</v>
    <v>466241900</v>
    <v>DKNG</v>
    <v>DRAFTKINGS INC. (XNAS:DKNG)</v>
    <v>9038594</v>
    <v>11618621</v>
    <v>2021</v>
  </rv>
  <rv s="2">
    <v>1</v>
  </rv>
  <rv s="3">
    <v>12</v>
    <v>Price (Extended hours)</v>
    <v>0</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error">
    <k n="errorType" t="i"/>
    <k n="field" t="s"/>
    <k n="subType" t="i"/>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2-20T00:59:01.69" personId="{F4E8DA21-B880-4567-8611-0FE938F5A9E7}" id="{5737E15E-E28E-4E35-BD70-FE414F650307}">
    <text>Quarter ending 3/31/23</text>
  </threadedComment>
  <threadedComment ref="L2" dT="2023-12-20T00:59:12.77" personId="{F4E8DA21-B880-4567-8611-0FE938F5A9E7}" id="{58D8A5F4-FE89-40C6-8310-B0E4256D1E17}">
    <text>Quarter ending 6/30/23</text>
  </threadedComment>
  <threadedComment ref="M2" dT="2023-12-20T01:05:23.13" personId="{F4E8DA21-B880-4567-8611-0FE938F5A9E7}" id="{83006D5D-B8BA-45A2-B63F-F335A92942C3}">
    <text>Quarter ending 9/30/23</text>
  </threadedComment>
  <threadedComment ref="L22" dT="2023-12-20T01:04:54.81" personId="{F4E8DA21-B880-4567-8611-0FE938F5A9E7}" id="{7AB36569-7599-4B82-8819-87E145690246}">
    <text>SEC EDGAR says -77,270 - will have to look into deeper</text>
  </threadedComment>
  <threadedComment ref="M22" dT="2023-12-20T01:07:04.87" personId="{F4E8DA21-B880-4567-8611-0FE938F5A9E7}" id="{5357B4EF-8EEB-4F8E-AA60-CCCFA0CE0861}">
    <text>SEC EDGAR says -283,103 - will have to look deeper into this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005F-0CB5-47F6-9084-9530DF75CB9D}">
  <dimension ref="D3:G10"/>
  <sheetViews>
    <sheetView workbookViewId="0">
      <selection activeCell="G3" sqref="G3"/>
    </sheetView>
  </sheetViews>
  <sheetFormatPr defaultRowHeight="15" x14ac:dyDescent="0.25"/>
  <cols>
    <col min="4" max="4" width="11" bestFit="1" customWidth="1"/>
    <col min="5" max="5" width="28.140625" bestFit="1" customWidth="1"/>
    <col min="6" max="6" width="12.7109375" customWidth="1"/>
  </cols>
  <sheetData>
    <row r="3" spans="4:7" x14ac:dyDescent="0.25">
      <c r="D3" t="s">
        <v>0</v>
      </c>
      <c r="E3" s="60">
        <v>35.75</v>
      </c>
      <c r="F3" s="59" t="s">
        <v>53</v>
      </c>
    </row>
    <row r="4" spans="4:7" x14ac:dyDescent="0.25">
      <c r="D4" t="s">
        <v>1</v>
      </c>
      <c r="E4" s="61">
        <v>466240</v>
      </c>
      <c r="F4" s="59" t="s">
        <v>53</v>
      </c>
      <c r="G4" t="s">
        <v>54</v>
      </c>
    </row>
    <row r="5" spans="4:7" x14ac:dyDescent="0.25">
      <c r="D5" t="s">
        <v>2</v>
      </c>
      <c r="E5" s="62">
        <f>E4*E3</f>
        <v>16668080</v>
      </c>
      <c r="F5" s="59" t="s">
        <v>53</v>
      </c>
    </row>
    <row r="6" spans="4:7" x14ac:dyDescent="0.25">
      <c r="D6" t="s">
        <v>3</v>
      </c>
      <c r="E6" s="62">
        <v>1111596</v>
      </c>
      <c r="F6" s="59" t="s">
        <v>53</v>
      </c>
      <c r="G6" t="s">
        <v>54</v>
      </c>
    </row>
    <row r="7" spans="4:7" x14ac:dyDescent="0.25">
      <c r="D7" t="s">
        <v>4</v>
      </c>
      <c r="E7" s="62">
        <v>1253089</v>
      </c>
      <c r="F7" s="59" t="s">
        <v>53</v>
      </c>
      <c r="G7" t="s">
        <v>54</v>
      </c>
    </row>
    <row r="9" spans="4:7" x14ac:dyDescent="0.25">
      <c r="E9" t="s">
        <v>51</v>
      </c>
      <c r="F9" t="s">
        <v>52</v>
      </c>
    </row>
    <row r="10" spans="4:7" x14ac:dyDescent="0.25">
      <c r="D10" t="e" vm="1">
        <v>#VALUE!</v>
      </c>
      <c r="E10" s="58" t="e" cm="1" vm="2">
        <f t="array" ref="E10">_FV(D10,"Price (Extended hours)",TRUE)</f>
        <v>#VALUE!</v>
      </c>
      <c r="F10" s="58" cm="1">
        <f t="array" ref="F10">_FV(D10,"Price")</f>
        <v>35.795000000000002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D10E8-0238-4EBC-B856-C9A9D5F4E12A}">
  <sheetPr>
    <tabColor theme="5" tint="0.59999389629810485"/>
  </sheetPr>
  <dimension ref="A1:IC39"/>
  <sheetViews>
    <sheetView tabSelected="1" workbookViewId="0">
      <selection activeCell="I31" sqref="I31"/>
    </sheetView>
  </sheetViews>
  <sheetFormatPr defaultRowHeight="15" outlineLevelCol="1" x14ac:dyDescent="0.25"/>
  <cols>
    <col min="1" max="1" width="6.28515625" bestFit="1" customWidth="1"/>
    <col min="2" max="2" width="46.42578125" bestFit="1" customWidth="1"/>
    <col min="3" max="6" width="0" hidden="1" customWidth="1"/>
    <col min="7" max="9" width="14" bestFit="1" customWidth="1"/>
    <col min="10" max="10" width="14" customWidth="1"/>
    <col min="11" max="13" width="14" customWidth="1" outlineLevel="1"/>
    <col min="14" max="14" width="17.7109375" customWidth="1"/>
    <col min="15" max="15" width="25" bestFit="1" customWidth="1"/>
    <col min="16" max="16" width="2.85546875" customWidth="1"/>
    <col min="17" max="18" width="14" bestFit="1" customWidth="1"/>
    <col min="19" max="19" width="15.28515625" bestFit="1" customWidth="1"/>
    <col min="20" max="20" width="14" bestFit="1" customWidth="1"/>
    <col min="21" max="24" width="14.28515625" bestFit="1" customWidth="1"/>
    <col min="25" max="25" width="14.5703125" customWidth="1"/>
    <col min="26" max="26" width="20.85546875" customWidth="1"/>
    <col min="27" max="27" width="15.28515625" bestFit="1" customWidth="1"/>
  </cols>
  <sheetData>
    <row r="1" spans="1:237" x14ac:dyDescent="0.25">
      <c r="Q1" s="38" t="s">
        <v>34</v>
      </c>
      <c r="R1" s="38"/>
      <c r="S1" s="38"/>
      <c r="T1" s="38"/>
      <c r="U1" s="38"/>
      <c r="V1" s="38"/>
      <c r="W1" s="38"/>
      <c r="X1" s="38"/>
      <c r="Y1" s="38"/>
      <c r="Z1" s="38"/>
    </row>
    <row r="2" spans="1:237" s="1" customFormat="1" x14ac:dyDescent="0.25">
      <c r="A2" s="1" t="s">
        <v>5</v>
      </c>
      <c r="C2" s="1">
        <v>2015</v>
      </c>
      <c r="D2" s="1">
        <f>+C2+1</f>
        <v>2016</v>
      </c>
      <c r="E2" s="1">
        <f t="shared" ref="E2:J2" si="0">+D2+1</f>
        <v>2017</v>
      </c>
      <c r="F2" s="1">
        <f t="shared" si="0"/>
        <v>2018</v>
      </c>
      <c r="G2" s="39">
        <f t="shared" si="0"/>
        <v>2019</v>
      </c>
      <c r="H2" s="39">
        <f t="shared" si="0"/>
        <v>2020</v>
      </c>
      <c r="I2" s="39">
        <f t="shared" si="0"/>
        <v>2021</v>
      </c>
      <c r="J2" s="39">
        <f t="shared" si="0"/>
        <v>2022</v>
      </c>
      <c r="K2" s="39" t="s">
        <v>44</v>
      </c>
      <c r="L2" s="39" t="s">
        <v>45</v>
      </c>
      <c r="M2" s="39" t="s">
        <v>46</v>
      </c>
      <c r="N2" s="42" t="s">
        <v>47</v>
      </c>
      <c r="O2" s="50" t="s">
        <v>50</v>
      </c>
      <c r="Q2" s="1">
        <f>2024</f>
        <v>2024</v>
      </c>
      <c r="R2" s="1">
        <f>+Q2+1</f>
        <v>2025</v>
      </c>
      <c r="S2" s="1">
        <f t="shared" ref="S2:W2" si="1">+R2+1</f>
        <v>2026</v>
      </c>
      <c r="T2" s="1">
        <f t="shared" si="1"/>
        <v>2027</v>
      </c>
      <c r="U2" s="1">
        <f t="shared" si="1"/>
        <v>2028</v>
      </c>
      <c r="V2" s="1">
        <f t="shared" si="1"/>
        <v>2029</v>
      </c>
      <c r="W2" s="1">
        <f t="shared" si="1"/>
        <v>2030</v>
      </c>
      <c r="X2" s="1">
        <f>W2+1</f>
        <v>2031</v>
      </c>
      <c r="Y2" s="1">
        <f t="shared" ref="Y2:Z2" si="2">X2+1</f>
        <v>2032</v>
      </c>
      <c r="Z2" s="1">
        <f t="shared" si="2"/>
        <v>2033</v>
      </c>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row>
    <row r="3" spans="1:237" s="5" customFormat="1" ht="15.75" thickBot="1" x14ac:dyDescent="0.3">
      <c r="B3" s="5" t="s">
        <v>12</v>
      </c>
      <c r="C3" s="6"/>
      <c r="D3" s="6"/>
      <c r="E3" s="6"/>
      <c r="F3" s="6"/>
      <c r="G3" s="7">
        <v>323410</v>
      </c>
      <c r="H3" s="7">
        <v>614532</v>
      </c>
      <c r="I3" s="7">
        <v>1296025</v>
      </c>
      <c r="J3" s="7">
        <v>2240461</v>
      </c>
      <c r="K3" s="7">
        <v>769652</v>
      </c>
      <c r="L3" s="7">
        <v>874927</v>
      </c>
      <c r="M3" s="7">
        <v>789957</v>
      </c>
      <c r="N3" s="43">
        <f>M3*1.6</f>
        <v>1263931.2000000002</v>
      </c>
      <c r="O3" s="51">
        <f>SUM(K3:N3)</f>
        <v>3698467.2</v>
      </c>
      <c r="P3" s="6"/>
      <c r="Q3" s="20">
        <f>O3*1.3</f>
        <v>4808007.3600000003</v>
      </c>
      <c r="R3" s="20">
        <f>Q3*1.3</f>
        <v>6250409.5680000009</v>
      </c>
      <c r="S3" s="20">
        <f>R3*1.3</f>
        <v>8125532.4384000013</v>
      </c>
      <c r="T3" s="20">
        <f>S3*1.25</f>
        <v>10156915.548000002</v>
      </c>
      <c r="U3" s="20">
        <f t="shared" ref="U3:Z3" si="3">T3*1.15</f>
        <v>11680452.880200002</v>
      </c>
      <c r="V3" s="20">
        <f t="shared" si="3"/>
        <v>13432520.812230002</v>
      </c>
      <c r="W3" s="20">
        <f t="shared" si="3"/>
        <v>15447398.934064502</v>
      </c>
      <c r="X3" s="20">
        <f t="shared" si="3"/>
        <v>17764508.774174176</v>
      </c>
      <c r="Y3" s="20">
        <f t="shared" si="3"/>
        <v>20429185.090300299</v>
      </c>
      <c r="Z3" s="20">
        <f t="shared" si="3"/>
        <v>23493562.853845343</v>
      </c>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row>
    <row r="4" spans="1:237" x14ac:dyDescent="0.25">
      <c r="B4" t="s">
        <v>13</v>
      </c>
      <c r="C4" s="3"/>
      <c r="D4" s="3"/>
      <c r="E4" s="3"/>
      <c r="F4" s="3"/>
      <c r="G4" s="3">
        <v>103889</v>
      </c>
      <c r="H4" s="3">
        <v>346589</v>
      </c>
      <c r="I4" s="3">
        <v>794162</v>
      </c>
      <c r="J4" s="3">
        <v>1484273</v>
      </c>
      <c r="K4" s="3">
        <v>521740</v>
      </c>
      <c r="L4" s="3">
        <v>510323</v>
      </c>
      <c r="M4" s="3">
        <v>543454</v>
      </c>
      <c r="N4" s="44">
        <f>M4*1.3</f>
        <v>706490.20000000007</v>
      </c>
      <c r="O4" s="52">
        <f t="shared" ref="O4:O22" si="4">SUM(K4:N4)</f>
        <v>2282007.2000000002</v>
      </c>
      <c r="P4" s="3"/>
      <c r="Q4" s="21">
        <f>O4*1.3</f>
        <v>2966609.3600000003</v>
      </c>
      <c r="R4" s="21">
        <f>Q4*1.25</f>
        <v>3708261.7</v>
      </c>
      <c r="S4" s="21">
        <f>R4*1.2</f>
        <v>4449914.04</v>
      </c>
      <c r="T4" s="21">
        <f>S4*1.2</f>
        <v>5339896.8480000002</v>
      </c>
      <c r="U4" s="21">
        <f>T4*1.1</f>
        <v>5873886.5328000011</v>
      </c>
      <c r="V4" s="21">
        <f>U4*1.1</f>
        <v>6461275.1860800013</v>
      </c>
      <c r="W4" s="21">
        <f>V4*1.1</f>
        <v>7107402.7046880024</v>
      </c>
      <c r="X4" s="21">
        <f t="shared" ref="X4:Z4" si="5">W4*1.1</f>
        <v>7818142.9751568036</v>
      </c>
      <c r="Y4" s="21">
        <f t="shared" si="5"/>
        <v>8599957.2726724856</v>
      </c>
      <c r="Z4" s="21">
        <f t="shared" si="5"/>
        <v>9459952.9999397341</v>
      </c>
    </row>
    <row r="5" spans="1:237" s="5" customFormat="1" ht="15.75" thickBot="1" x14ac:dyDescent="0.3">
      <c r="B5" s="5" t="s">
        <v>16</v>
      </c>
      <c r="C5" s="6"/>
      <c r="D5" s="6"/>
      <c r="E5" s="6"/>
      <c r="F5" s="6"/>
      <c r="G5" s="9">
        <f>+G3-G4</f>
        <v>219521</v>
      </c>
      <c r="H5" s="9">
        <f>+H3-H4</f>
        <v>267943</v>
      </c>
      <c r="I5" s="9">
        <f>+I3-I4</f>
        <v>501863</v>
      </c>
      <c r="J5" s="9">
        <f>+J3-J4</f>
        <v>756188</v>
      </c>
      <c r="K5" s="9">
        <f>+K3-K4</f>
        <v>247912</v>
      </c>
      <c r="L5" s="9">
        <f t="shared" ref="L5:M5" si="6">+L3-L4</f>
        <v>364604</v>
      </c>
      <c r="M5" s="9">
        <f t="shared" si="6"/>
        <v>246503</v>
      </c>
      <c r="N5" s="45">
        <f>+N3-N4</f>
        <v>557441.00000000012</v>
      </c>
      <c r="O5" s="53">
        <f t="shared" si="4"/>
        <v>1416460</v>
      </c>
      <c r="P5" s="6"/>
      <c r="Q5" s="14">
        <f t="shared" ref="Q5:W5" si="7">+Q3-Q4</f>
        <v>1841398</v>
      </c>
      <c r="R5" s="14">
        <f t="shared" si="7"/>
        <v>2542147.8680000007</v>
      </c>
      <c r="S5" s="14">
        <f t="shared" si="7"/>
        <v>3675618.3984000012</v>
      </c>
      <c r="T5" s="14">
        <f t="shared" si="7"/>
        <v>4817018.700000002</v>
      </c>
      <c r="U5" s="14">
        <f t="shared" si="7"/>
        <v>5806566.3474000013</v>
      </c>
      <c r="V5" s="14">
        <f t="shared" si="7"/>
        <v>6971245.6261500008</v>
      </c>
      <c r="W5" s="14">
        <f t="shared" si="7"/>
        <v>8339996.2293764995</v>
      </c>
      <c r="X5" s="14">
        <f t="shared" ref="X5" si="8">+X3-X4</f>
        <v>9946365.7990173735</v>
      </c>
      <c r="Y5" s="14">
        <f t="shared" ref="Y5" si="9">+Y3-Y4</f>
        <v>11829227.817627814</v>
      </c>
      <c r="Z5" s="14">
        <f t="shared" ref="Z5" si="10">+Z3-Z4</f>
        <v>14033609.853905609</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row>
    <row r="6" spans="1:237" ht="15.75" thickTop="1" x14ac:dyDescent="0.25">
      <c r="C6" s="3"/>
      <c r="D6" s="3"/>
      <c r="E6" s="3"/>
      <c r="F6" s="3"/>
      <c r="G6" s="3"/>
      <c r="H6" s="3"/>
      <c r="I6" s="3"/>
      <c r="J6" s="3"/>
      <c r="K6" s="3"/>
      <c r="L6" s="3"/>
      <c r="M6" s="3"/>
      <c r="N6" s="44"/>
      <c r="O6" s="52">
        <f t="shared" si="4"/>
        <v>0</v>
      </c>
      <c r="P6" s="3"/>
      <c r="Q6" s="19"/>
      <c r="R6" s="19"/>
      <c r="S6" s="19"/>
      <c r="T6" s="19"/>
      <c r="U6" s="19"/>
      <c r="V6" s="19"/>
      <c r="W6" s="19"/>
      <c r="X6" s="19"/>
      <c r="Y6" s="19"/>
      <c r="Z6" s="19"/>
    </row>
    <row r="7" spans="1:237" x14ac:dyDescent="0.25">
      <c r="B7" s="5" t="s">
        <v>26</v>
      </c>
      <c r="C7" s="3"/>
      <c r="D7" s="3"/>
      <c r="E7" s="3"/>
      <c r="F7" s="3"/>
      <c r="G7" s="3"/>
      <c r="H7" s="13"/>
      <c r="I7" s="13"/>
      <c r="J7" s="13"/>
      <c r="K7" s="13"/>
      <c r="L7" s="13"/>
      <c r="M7" s="13"/>
      <c r="N7" s="44"/>
      <c r="O7" s="52">
        <f t="shared" si="4"/>
        <v>0</v>
      </c>
      <c r="P7" s="3"/>
      <c r="Q7" s="19"/>
      <c r="R7" s="19"/>
      <c r="S7" s="19"/>
      <c r="T7" s="19"/>
      <c r="U7" s="19"/>
      <c r="V7" s="19"/>
      <c r="W7" s="19"/>
      <c r="X7" s="19"/>
      <c r="Y7" s="19"/>
      <c r="Z7" s="19"/>
    </row>
    <row r="8" spans="1:237" x14ac:dyDescent="0.25">
      <c r="B8" t="s">
        <v>14</v>
      </c>
      <c r="C8" s="3"/>
      <c r="D8" s="3"/>
      <c r="E8" s="3"/>
      <c r="F8" s="3"/>
      <c r="G8" s="3">
        <v>185269</v>
      </c>
      <c r="H8" s="3">
        <v>495192</v>
      </c>
      <c r="I8" s="3">
        <v>981500</v>
      </c>
      <c r="J8" s="3">
        <v>1185977</v>
      </c>
      <c r="K8" s="3">
        <v>389133</v>
      </c>
      <c r="L8" s="3">
        <v>207487</v>
      </c>
      <c r="M8" s="3">
        <v>313323</v>
      </c>
      <c r="N8" s="44">
        <f>M8*1.35</f>
        <v>422986.05000000005</v>
      </c>
      <c r="O8" s="52">
        <f t="shared" si="4"/>
        <v>1332929.05</v>
      </c>
      <c r="P8" s="3"/>
      <c r="Q8" s="21">
        <f>O8*1.15</f>
        <v>1532868.4075</v>
      </c>
      <c r="R8" s="21">
        <f>Q8*1.15</f>
        <v>1762798.6686249999</v>
      </c>
      <c r="S8" s="21">
        <f>R8*1.15</f>
        <v>2027218.4689187498</v>
      </c>
      <c r="T8" s="21">
        <f t="shared" ref="T8:W8" si="11">S8*1.1</f>
        <v>2229940.315810625</v>
      </c>
      <c r="U8" s="21">
        <f t="shared" si="11"/>
        <v>2452934.3473916878</v>
      </c>
      <c r="V8" s="21">
        <f t="shared" si="11"/>
        <v>2698227.782130857</v>
      </c>
      <c r="W8" s="21">
        <f t="shared" si="11"/>
        <v>2968050.5603439431</v>
      </c>
      <c r="X8" s="21">
        <f t="shared" ref="X8:Z8" si="12">W8*1.1</f>
        <v>3264855.6163783376</v>
      </c>
      <c r="Y8" s="21">
        <f t="shared" si="12"/>
        <v>3591341.1780161718</v>
      </c>
      <c r="Z8" s="21">
        <f t="shared" si="12"/>
        <v>3950475.2958177892</v>
      </c>
    </row>
    <row r="9" spans="1:237" x14ac:dyDescent="0.25">
      <c r="B9" t="s">
        <v>28</v>
      </c>
      <c r="C9" s="3"/>
      <c r="D9" s="3"/>
      <c r="E9" s="3"/>
      <c r="F9" s="3"/>
      <c r="G9" s="3">
        <v>55929</v>
      </c>
      <c r="H9" s="3">
        <v>168633</v>
      </c>
      <c r="I9" s="3">
        <v>253655</v>
      </c>
      <c r="J9" s="3">
        <v>318247</v>
      </c>
      <c r="K9" s="3">
        <v>88088</v>
      </c>
      <c r="L9" s="3">
        <v>89906</v>
      </c>
      <c r="M9" s="3">
        <v>89005</v>
      </c>
      <c r="N9" s="44">
        <f>M9*1.25</f>
        <v>111256.25</v>
      </c>
      <c r="O9" s="52">
        <f t="shared" si="4"/>
        <v>378255.25</v>
      </c>
      <c r="P9" s="3"/>
      <c r="Q9" s="21">
        <f>O9*1.25</f>
        <v>472819.0625</v>
      </c>
      <c r="R9" s="21">
        <f>Q9*1.1</f>
        <v>520100.96875000006</v>
      </c>
      <c r="S9" s="21">
        <f>R9*1.1</f>
        <v>572111.06562500016</v>
      </c>
      <c r="T9" s="21">
        <f>S9*1.1</f>
        <v>629322.17218750028</v>
      </c>
      <c r="U9" s="21">
        <f>T9*1.1</f>
        <v>692254.38940625032</v>
      </c>
      <c r="V9" s="21">
        <f>U9*1.05</f>
        <v>726867.10887656291</v>
      </c>
      <c r="W9" s="21">
        <f>V9*1.05</f>
        <v>763210.46432039107</v>
      </c>
      <c r="X9" s="21">
        <f t="shared" ref="X9:Z9" si="13">W9*1.05</f>
        <v>801370.98753641068</v>
      </c>
      <c r="Y9" s="21">
        <f t="shared" si="13"/>
        <v>841439.53691323125</v>
      </c>
      <c r="Z9" s="21">
        <f t="shared" si="13"/>
        <v>883511.51375889289</v>
      </c>
    </row>
    <row r="10" spans="1:237" x14ac:dyDescent="0.25">
      <c r="B10" t="s">
        <v>15</v>
      </c>
      <c r="C10" s="3"/>
      <c r="D10" s="3"/>
      <c r="E10" s="3"/>
      <c r="F10" s="3"/>
      <c r="G10" s="3">
        <v>124868</v>
      </c>
      <c r="H10" s="3">
        <v>447374</v>
      </c>
      <c r="I10" s="3">
        <v>828325</v>
      </c>
      <c r="J10" s="3">
        <v>763720</v>
      </c>
      <c r="K10" s="3">
        <v>160476</v>
      </c>
      <c r="L10" s="3">
        <v>136256</v>
      </c>
      <c r="M10" s="3">
        <v>130761</v>
      </c>
      <c r="N10" s="44">
        <f>763720-(M10*0.1)</f>
        <v>750643.9</v>
      </c>
      <c r="O10" s="52">
        <f t="shared" si="4"/>
        <v>1178136.8999999999</v>
      </c>
      <c r="P10" s="3"/>
      <c r="Q10" s="21">
        <f>687348-(O10*0.05)</f>
        <v>628441.15500000003</v>
      </c>
      <c r="R10" s="21">
        <f>639233.64-(Q10*0.02)</f>
        <v>626664.81689999998</v>
      </c>
      <c r="S10" s="21">
        <f>594487.29-(R10*0.02)</f>
        <v>581953.99366200005</v>
      </c>
      <c r="T10" s="21">
        <f>S10</f>
        <v>581953.99366200005</v>
      </c>
      <c r="U10" s="21">
        <f t="shared" ref="U10:W10" si="14">T10</f>
        <v>581953.99366200005</v>
      </c>
      <c r="V10" s="21">
        <f t="shared" si="14"/>
        <v>581953.99366200005</v>
      </c>
      <c r="W10" s="21">
        <f t="shared" si="14"/>
        <v>581953.99366200005</v>
      </c>
      <c r="X10" s="21">
        <f t="shared" ref="X10:Z10" si="15">W10</f>
        <v>581953.99366200005</v>
      </c>
      <c r="Y10" s="21">
        <f t="shared" si="15"/>
        <v>581953.99366200005</v>
      </c>
      <c r="Z10" s="21">
        <f t="shared" si="15"/>
        <v>581953.99366200005</v>
      </c>
    </row>
    <row r="11" spans="1:237" s="5" customFormat="1" x14ac:dyDescent="0.25">
      <c r="B11" s="5" t="s">
        <v>17</v>
      </c>
      <c r="C11" s="6"/>
      <c r="D11" s="6"/>
      <c r="E11" s="6"/>
      <c r="F11" s="6"/>
      <c r="G11" s="8">
        <f>SUM(G8:G10)</f>
        <v>366066</v>
      </c>
      <c r="H11" s="8">
        <f>SUM(H8:H10)</f>
        <v>1111199</v>
      </c>
      <c r="I11" s="8">
        <f>SUM(I8:I10)</f>
        <v>2063480</v>
      </c>
      <c r="J11" s="8">
        <f>SUM(J8:J10)</f>
        <v>2267944</v>
      </c>
      <c r="K11" s="8">
        <f t="shared" ref="K11:M11" si="16">SUM(K8:K10)</f>
        <v>637697</v>
      </c>
      <c r="L11" s="8">
        <f t="shared" si="16"/>
        <v>433649</v>
      </c>
      <c r="M11" s="8">
        <f t="shared" si="16"/>
        <v>533089</v>
      </c>
      <c r="N11" s="46">
        <f>SUM(N8:N10)</f>
        <v>1284886.2000000002</v>
      </c>
      <c r="O11" s="54">
        <f t="shared" si="4"/>
        <v>2889321.2</v>
      </c>
      <c r="P11" s="6"/>
      <c r="Q11" s="15">
        <f t="shared" ref="Q11:W11" si="17">SUM(Q8:Q10)</f>
        <v>2634128.625</v>
      </c>
      <c r="R11" s="15">
        <f t="shared" si="17"/>
        <v>2909564.4542749999</v>
      </c>
      <c r="S11" s="15">
        <f t="shared" si="17"/>
        <v>3181283.52820575</v>
      </c>
      <c r="T11" s="15">
        <f t="shared" si="17"/>
        <v>3441216.4816601253</v>
      </c>
      <c r="U11" s="15">
        <f t="shared" si="17"/>
        <v>3727142.7304599383</v>
      </c>
      <c r="V11" s="15">
        <f t="shared" si="17"/>
        <v>4007048.8846694198</v>
      </c>
      <c r="W11" s="15">
        <f t="shared" si="17"/>
        <v>4313215.0183263337</v>
      </c>
      <c r="X11" s="15">
        <f t="shared" ref="X11" si="18">SUM(X8:X10)</f>
        <v>4648180.5975767486</v>
      </c>
      <c r="Y11" s="15">
        <f t="shared" ref="Y11" si="19">SUM(Y8:Y10)</f>
        <v>5014734.7085914025</v>
      </c>
      <c r="Z11" s="15">
        <f t="shared" ref="Z11" si="20">SUM(Z8:Z10)</f>
        <v>5415940.8032386815</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row>
    <row r="12" spans="1:237" s="5" customFormat="1" ht="15.75" thickBot="1" x14ac:dyDescent="0.3">
      <c r="B12" s="5" t="s">
        <v>24</v>
      </c>
      <c r="G12" s="9">
        <f>+G5-G11</f>
        <v>-146545</v>
      </c>
      <c r="H12" s="9">
        <f>+H5-H11</f>
        <v>-843256</v>
      </c>
      <c r="I12" s="9">
        <f>+I5-I11</f>
        <v>-1561617</v>
      </c>
      <c r="J12" s="9">
        <f>+J5-J11</f>
        <v>-1511756</v>
      </c>
      <c r="K12" s="9">
        <f t="shared" ref="K12:M12" si="21">+K5-K11</f>
        <v>-389785</v>
      </c>
      <c r="L12" s="9">
        <f t="shared" si="21"/>
        <v>-69045</v>
      </c>
      <c r="M12" s="9">
        <f t="shared" si="21"/>
        <v>-286586</v>
      </c>
      <c r="N12" s="45">
        <f>+N5-N11</f>
        <v>-727445.20000000007</v>
      </c>
      <c r="O12" s="53">
        <f t="shared" si="4"/>
        <v>-1472861.2000000002</v>
      </c>
      <c r="P12" s="6"/>
      <c r="Q12" s="14">
        <f t="shared" ref="Q12:W12" si="22">+Q5-Q11</f>
        <v>-792730.625</v>
      </c>
      <c r="R12" s="14">
        <f t="shared" si="22"/>
        <v>-367416.58627499919</v>
      </c>
      <c r="S12" s="14">
        <f t="shared" si="22"/>
        <v>494334.87019425118</v>
      </c>
      <c r="T12" s="14">
        <f t="shared" si="22"/>
        <v>1375802.2183398767</v>
      </c>
      <c r="U12" s="14">
        <f t="shared" si="22"/>
        <v>2079423.616940063</v>
      </c>
      <c r="V12" s="14">
        <f t="shared" si="22"/>
        <v>2964196.741480581</v>
      </c>
      <c r="W12" s="14">
        <f t="shared" si="22"/>
        <v>4026781.2110501658</v>
      </c>
      <c r="X12" s="14">
        <f t="shared" ref="X12" si="23">+X5-X11</f>
        <v>5298185.2014406249</v>
      </c>
      <c r="Y12" s="14">
        <f t="shared" ref="Y12" si="24">+Y5-Y11</f>
        <v>6814493.1090364112</v>
      </c>
      <c r="Z12" s="14">
        <f t="shared" ref="Z12" si="25">+Z5-Z11</f>
        <v>8617669.0506669283</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row>
    <row r="13" spans="1:237" s="5" customFormat="1" ht="15.75" thickTop="1" x14ac:dyDescent="0.25">
      <c r="B13" s="5" t="s">
        <v>25</v>
      </c>
      <c r="G13" s="6"/>
      <c r="H13" s="6"/>
      <c r="I13" s="6"/>
      <c r="J13" s="6"/>
      <c r="K13" s="6"/>
      <c r="L13" s="6"/>
      <c r="M13" s="6"/>
      <c r="N13" s="47"/>
      <c r="O13" s="55">
        <f t="shared" si="4"/>
        <v>0</v>
      </c>
      <c r="P13" s="6"/>
      <c r="Q13" s="18"/>
      <c r="R13" s="18"/>
      <c r="S13" s="18"/>
      <c r="T13" s="18"/>
      <c r="U13" s="18"/>
      <c r="V13" s="18"/>
      <c r="W13" s="18"/>
      <c r="X13" s="18"/>
      <c r="Y13" s="18"/>
      <c r="Z13" s="18"/>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row>
    <row r="14" spans="1:237" ht="15" customHeight="1" x14ac:dyDescent="0.25">
      <c r="B14" t="s">
        <v>18</v>
      </c>
      <c r="C14" s="3"/>
      <c r="D14" s="3"/>
      <c r="E14" s="3"/>
      <c r="F14" s="3"/>
      <c r="G14" s="3">
        <v>1348</v>
      </c>
      <c r="H14" s="3">
        <v>-1070</v>
      </c>
      <c r="I14" s="3">
        <v>1957</v>
      </c>
      <c r="J14" s="3">
        <v>18702</v>
      </c>
      <c r="K14" s="3">
        <v>11795</v>
      </c>
      <c r="L14" s="3">
        <v>13411</v>
      </c>
      <c r="M14" s="3">
        <v>14420</v>
      </c>
      <c r="N14" s="44">
        <f>M14</f>
        <v>14420</v>
      </c>
      <c r="O14" s="52">
        <f t="shared" si="4"/>
        <v>54046</v>
      </c>
      <c r="P14" s="22"/>
      <c r="Q14" s="21">
        <f>O14</f>
        <v>54046</v>
      </c>
      <c r="R14" s="21">
        <f>Q14</f>
        <v>54046</v>
      </c>
      <c r="S14" s="21">
        <f t="shared" ref="S14:W14" si="26">R14</f>
        <v>54046</v>
      </c>
      <c r="T14" s="21">
        <f t="shared" si="26"/>
        <v>54046</v>
      </c>
      <c r="U14" s="21">
        <f t="shared" si="26"/>
        <v>54046</v>
      </c>
      <c r="V14" s="21">
        <f t="shared" si="26"/>
        <v>54046</v>
      </c>
      <c r="W14" s="21">
        <f t="shared" si="26"/>
        <v>54046</v>
      </c>
      <c r="X14" s="21">
        <f t="shared" ref="X14:Z14" si="27">W14</f>
        <v>54046</v>
      </c>
      <c r="Y14" s="21">
        <f t="shared" si="27"/>
        <v>54046</v>
      </c>
      <c r="Z14" s="21">
        <f t="shared" si="27"/>
        <v>54046</v>
      </c>
    </row>
    <row r="15" spans="1:237" x14ac:dyDescent="0.25">
      <c r="B15" s="40" t="s">
        <v>48</v>
      </c>
      <c r="C15" s="3"/>
      <c r="D15" s="3"/>
      <c r="E15" s="3"/>
      <c r="F15" s="3"/>
      <c r="G15" s="3">
        <v>0</v>
      </c>
      <c r="H15" s="3">
        <v>0</v>
      </c>
      <c r="I15" s="3">
        <v>0</v>
      </c>
      <c r="J15" s="3">
        <v>0</v>
      </c>
      <c r="K15" s="3">
        <v>-655</v>
      </c>
      <c r="L15" s="3">
        <v>-666</v>
      </c>
      <c r="M15" s="3">
        <v>-670</v>
      </c>
      <c r="N15" s="44">
        <f>M15</f>
        <v>-670</v>
      </c>
      <c r="O15" s="52">
        <f t="shared" si="4"/>
        <v>-2661</v>
      </c>
      <c r="P15" s="22"/>
      <c r="Q15" s="21"/>
      <c r="R15" s="21"/>
      <c r="S15" s="21"/>
      <c r="T15" s="21"/>
      <c r="U15" s="21"/>
      <c r="V15" s="21"/>
      <c r="W15" s="21"/>
      <c r="X15" s="21"/>
      <c r="Y15" s="21"/>
      <c r="Z15" s="21"/>
    </row>
    <row r="16" spans="1:237" x14ac:dyDescent="0.25">
      <c r="B16" t="s">
        <v>19</v>
      </c>
      <c r="C16" s="3"/>
      <c r="D16" s="3"/>
      <c r="E16" s="3"/>
      <c r="F16" s="3"/>
      <c r="G16" s="3">
        <v>0</v>
      </c>
      <c r="H16" s="3">
        <v>-387565</v>
      </c>
      <c r="I16" s="3">
        <v>30065</v>
      </c>
      <c r="J16" s="3">
        <v>29396</v>
      </c>
      <c r="K16" s="3">
        <v>-17035</v>
      </c>
      <c r="L16" s="3">
        <v>-20041</v>
      </c>
      <c r="M16" s="3">
        <v>-7751</v>
      </c>
      <c r="N16" s="44">
        <f>M16</f>
        <v>-7751</v>
      </c>
      <c r="O16" s="52">
        <f t="shared" si="4"/>
        <v>-52578</v>
      </c>
      <c r="P16" s="22"/>
      <c r="Q16" s="21">
        <f>O16</f>
        <v>-52578</v>
      </c>
      <c r="R16" s="21">
        <f>Q16</f>
        <v>-52578</v>
      </c>
      <c r="S16" s="21">
        <f t="shared" ref="S16:W16" si="28">R16</f>
        <v>-52578</v>
      </c>
      <c r="T16" s="21">
        <f t="shared" si="28"/>
        <v>-52578</v>
      </c>
      <c r="U16" s="21">
        <f t="shared" si="28"/>
        <v>-52578</v>
      </c>
      <c r="V16" s="21">
        <f t="shared" si="28"/>
        <v>-52578</v>
      </c>
      <c r="W16" s="21">
        <f t="shared" si="28"/>
        <v>-52578</v>
      </c>
      <c r="X16" s="21">
        <f t="shared" ref="X16:Z16" si="29">W16</f>
        <v>-52578</v>
      </c>
      <c r="Y16" s="21">
        <f t="shared" si="29"/>
        <v>-52578</v>
      </c>
      <c r="Z16" s="21">
        <f t="shared" si="29"/>
        <v>-52578</v>
      </c>
    </row>
    <row r="17" spans="2:237" x14ac:dyDescent="0.25">
      <c r="B17" t="s">
        <v>20</v>
      </c>
      <c r="C17" s="3"/>
      <c r="D17" s="3"/>
      <c r="E17" s="3"/>
      <c r="F17" s="3"/>
      <c r="G17" s="3">
        <v>3000</v>
      </c>
      <c r="H17" s="3">
        <v>0</v>
      </c>
      <c r="I17" s="3">
        <v>11951</v>
      </c>
      <c r="J17" s="3">
        <v>20700</v>
      </c>
      <c r="K17" s="3">
        <v>19</v>
      </c>
      <c r="L17" s="3">
        <v>45</v>
      </c>
      <c r="M17" s="3">
        <v>-1217</v>
      </c>
      <c r="N17" s="44">
        <f>M17</f>
        <v>-1217</v>
      </c>
      <c r="O17" s="52">
        <f t="shared" si="4"/>
        <v>-2370</v>
      </c>
      <c r="P17" s="22"/>
      <c r="Q17" s="21">
        <f>O17</f>
        <v>-2370</v>
      </c>
      <c r="R17" s="21">
        <f>Q17</f>
        <v>-2370</v>
      </c>
      <c r="S17" s="21">
        <f t="shared" ref="S17:W17" si="30">R17</f>
        <v>-2370</v>
      </c>
      <c r="T17" s="21">
        <f t="shared" si="30"/>
        <v>-2370</v>
      </c>
      <c r="U17" s="21">
        <f t="shared" si="30"/>
        <v>-2370</v>
      </c>
      <c r="V17" s="21">
        <f t="shared" si="30"/>
        <v>-2370</v>
      </c>
      <c r="W17" s="21">
        <f t="shared" si="30"/>
        <v>-2370</v>
      </c>
      <c r="X17" s="21">
        <f t="shared" ref="X17:Z17" si="31">W17</f>
        <v>-2370</v>
      </c>
      <c r="Y17" s="21">
        <f t="shared" si="31"/>
        <v>-2370</v>
      </c>
      <c r="Z17" s="21">
        <f t="shared" si="31"/>
        <v>-2370</v>
      </c>
    </row>
    <row r="18" spans="2:237" s="5" customFormat="1" x14ac:dyDescent="0.25">
      <c r="B18" s="5" t="s">
        <v>27</v>
      </c>
      <c r="G18" s="10">
        <f>SUM(G14:G17)</f>
        <v>4348</v>
      </c>
      <c r="H18" s="10">
        <f>SUM(H14:H17)</f>
        <v>-388635</v>
      </c>
      <c r="I18" s="10">
        <f>SUM(I14:I17)</f>
        <v>43973</v>
      </c>
      <c r="J18" s="10">
        <f>SUM(J14:J17)</f>
        <v>68798</v>
      </c>
      <c r="K18" s="10">
        <f t="shared" ref="K18:M18" si="32">SUM(K14:K17)</f>
        <v>-5876</v>
      </c>
      <c r="L18" s="10">
        <f t="shared" si="32"/>
        <v>-7251</v>
      </c>
      <c r="M18" s="10">
        <f t="shared" si="32"/>
        <v>4782</v>
      </c>
      <c r="N18" s="48">
        <f>SUM(N14:N17)</f>
        <v>4782</v>
      </c>
      <c r="O18" s="56">
        <f t="shared" si="4"/>
        <v>-3563</v>
      </c>
      <c r="P18" s="22"/>
      <c r="Q18" s="16">
        <f>SUM(Q14:Q17)</f>
        <v>-902</v>
      </c>
      <c r="R18" s="16">
        <f t="shared" ref="R18:W18" si="33">SUM(R14:R17)</f>
        <v>-902</v>
      </c>
      <c r="S18" s="16">
        <f t="shared" si="33"/>
        <v>-902</v>
      </c>
      <c r="T18" s="16">
        <f t="shared" si="33"/>
        <v>-902</v>
      </c>
      <c r="U18" s="16">
        <f t="shared" si="33"/>
        <v>-902</v>
      </c>
      <c r="V18" s="16">
        <f t="shared" si="33"/>
        <v>-902</v>
      </c>
      <c r="W18" s="16">
        <f t="shared" si="33"/>
        <v>-902</v>
      </c>
      <c r="X18" s="16">
        <f t="shared" ref="X18" si="34">SUM(X14:X17)</f>
        <v>-902</v>
      </c>
      <c r="Y18" s="16">
        <f t="shared" ref="Y18" si="35">SUM(Y14:Y17)</f>
        <v>-902</v>
      </c>
      <c r="Z18" s="16">
        <f t="shared" ref="Z18" si="36">SUM(Z14:Z17)</f>
        <v>-902</v>
      </c>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row>
    <row r="19" spans="2:237" s="5" customFormat="1" ht="15.75" thickBot="1" x14ac:dyDescent="0.3">
      <c r="B19" s="5" t="s">
        <v>21</v>
      </c>
      <c r="C19" s="6"/>
      <c r="D19" s="6"/>
      <c r="E19" s="6"/>
      <c r="F19" s="6"/>
      <c r="G19" s="11">
        <f>G12+G18</f>
        <v>-142197</v>
      </c>
      <c r="H19" s="11">
        <f>H12+H18</f>
        <v>-1231891</v>
      </c>
      <c r="I19" s="11">
        <f>I12+I18</f>
        <v>-1517644</v>
      </c>
      <c r="J19" s="11">
        <f>J12+J18</f>
        <v>-1442958</v>
      </c>
      <c r="K19" s="11">
        <f t="shared" ref="K19:M19" si="37">K12+K18</f>
        <v>-395661</v>
      </c>
      <c r="L19" s="11">
        <f t="shared" si="37"/>
        <v>-76296</v>
      </c>
      <c r="M19" s="11">
        <f t="shared" si="37"/>
        <v>-281804</v>
      </c>
      <c r="N19" s="49">
        <f>N12+N18</f>
        <v>-722663.20000000007</v>
      </c>
      <c r="O19" s="57">
        <f t="shared" si="4"/>
        <v>-1476424.2000000002</v>
      </c>
      <c r="P19" s="22"/>
      <c r="Q19" s="17">
        <f>Q12+Q18</f>
        <v>-793632.625</v>
      </c>
      <c r="R19" s="17">
        <f t="shared" ref="R19:W19" si="38">R12+R18</f>
        <v>-368318.58627499919</v>
      </c>
      <c r="S19" s="17">
        <f t="shared" si="38"/>
        <v>493432.87019425118</v>
      </c>
      <c r="T19" s="17">
        <f t="shared" si="38"/>
        <v>1374900.2183398767</v>
      </c>
      <c r="U19" s="17">
        <f t="shared" si="38"/>
        <v>2078521.616940063</v>
      </c>
      <c r="V19" s="17">
        <f t="shared" si="38"/>
        <v>2963294.741480581</v>
      </c>
      <c r="W19" s="17">
        <f t="shared" si="38"/>
        <v>4025879.2110501658</v>
      </c>
      <c r="X19" s="17">
        <f t="shared" ref="X19" si="39">X12+X18</f>
        <v>5297283.2014406249</v>
      </c>
      <c r="Y19" s="17">
        <f t="shared" ref="Y19" si="40">Y12+Y18</f>
        <v>6813591.1090364112</v>
      </c>
      <c r="Z19" s="17">
        <f t="shared" ref="Z19" si="41">Z12+Z18</f>
        <v>8616767.0506669283</v>
      </c>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row>
    <row r="20" spans="2:237" ht="15.75" thickTop="1" x14ac:dyDescent="0.25">
      <c r="B20" t="s">
        <v>33</v>
      </c>
      <c r="C20" s="3"/>
      <c r="D20" s="3"/>
      <c r="E20" s="3"/>
      <c r="F20" s="3"/>
      <c r="G20" s="3">
        <v>58</v>
      </c>
      <c r="H20" s="3">
        <v>-622</v>
      </c>
      <c r="I20" s="3">
        <v>8269</v>
      </c>
      <c r="J20" s="3">
        <v>67866</v>
      </c>
      <c r="K20" s="3">
        <v>1368</v>
      </c>
      <c r="L20" s="3">
        <v>651</v>
      </c>
      <c r="M20" s="3">
        <v>1291</v>
      </c>
      <c r="N20" s="44">
        <f>M20</f>
        <v>1291</v>
      </c>
      <c r="O20" s="52">
        <f t="shared" si="4"/>
        <v>4601</v>
      </c>
      <c r="P20" s="22"/>
      <c r="Q20" s="21">
        <f>67866-(O20*0.7)</f>
        <v>64645.3</v>
      </c>
      <c r="R20" s="21">
        <f>20359.8-(Q20*0.3)</f>
        <v>966.20999999999913</v>
      </c>
      <c r="S20" s="21">
        <f>14251.86-(R20*0.15)</f>
        <v>14106.9285</v>
      </c>
      <c r="T20" s="21">
        <f t="shared" ref="T20:W20" si="42">S20</f>
        <v>14106.9285</v>
      </c>
      <c r="U20" s="21">
        <f t="shared" si="42"/>
        <v>14106.9285</v>
      </c>
      <c r="V20" s="21">
        <f t="shared" si="42"/>
        <v>14106.9285</v>
      </c>
      <c r="W20" s="21">
        <f t="shared" si="42"/>
        <v>14106.9285</v>
      </c>
      <c r="X20" s="21">
        <f t="shared" ref="X20:Z20" si="43">W20</f>
        <v>14106.9285</v>
      </c>
      <c r="Y20" s="21">
        <f t="shared" si="43"/>
        <v>14106.9285</v>
      </c>
      <c r="Z20" s="21">
        <f t="shared" si="43"/>
        <v>14106.9285</v>
      </c>
    </row>
    <row r="21" spans="2:237" x14ac:dyDescent="0.25">
      <c r="B21" t="s">
        <v>22</v>
      </c>
      <c r="C21" s="3"/>
      <c r="D21" s="3"/>
      <c r="E21" s="3"/>
      <c r="F21" s="3"/>
      <c r="G21" s="3">
        <v>479</v>
      </c>
      <c r="H21" s="3">
        <v>566</v>
      </c>
      <c r="I21" s="3">
        <v>-2718</v>
      </c>
      <c r="J21" s="3">
        <v>-2895</v>
      </c>
      <c r="K21" s="3">
        <v>119</v>
      </c>
      <c r="L21" s="3">
        <v>323</v>
      </c>
      <c r="M21" s="3">
        <v>8</v>
      </c>
      <c r="N21" s="44">
        <f>M21</f>
        <v>8</v>
      </c>
      <c r="O21" s="52">
        <f t="shared" si="4"/>
        <v>458</v>
      </c>
      <c r="P21" s="22"/>
      <c r="Q21" s="21">
        <f>O21</f>
        <v>458</v>
      </c>
      <c r="R21" s="21">
        <f>Q21</f>
        <v>458</v>
      </c>
      <c r="S21" s="21">
        <f t="shared" ref="S21:W21" si="44">R21</f>
        <v>458</v>
      </c>
      <c r="T21" s="21">
        <f t="shared" si="44"/>
        <v>458</v>
      </c>
      <c r="U21" s="21">
        <f t="shared" si="44"/>
        <v>458</v>
      </c>
      <c r="V21" s="21">
        <f t="shared" si="44"/>
        <v>458</v>
      </c>
      <c r="W21" s="21">
        <f t="shared" si="44"/>
        <v>458</v>
      </c>
      <c r="X21" s="21">
        <f t="shared" ref="X21:Z21" si="45">W21</f>
        <v>458</v>
      </c>
      <c r="Y21" s="21">
        <f t="shared" si="45"/>
        <v>458</v>
      </c>
      <c r="Z21" s="21">
        <f t="shared" si="45"/>
        <v>458</v>
      </c>
    </row>
    <row r="22" spans="2:237" s="5" customFormat="1" ht="15.75" thickBot="1" x14ac:dyDescent="0.3">
      <c r="B22" s="5" t="s">
        <v>23</v>
      </c>
      <c r="C22" s="6"/>
      <c r="D22" s="6"/>
      <c r="E22" s="6"/>
      <c r="F22" s="6"/>
      <c r="G22" s="9">
        <f>G19+G20+G21</f>
        <v>-141660</v>
      </c>
      <c r="H22" s="9">
        <f>H19+H20+H21</f>
        <v>-1231947</v>
      </c>
      <c r="I22" s="9">
        <f>I19+I20+I21</f>
        <v>-1512093</v>
      </c>
      <c r="J22" s="9">
        <f>J19+J20+J21</f>
        <v>-1377987</v>
      </c>
      <c r="K22" s="9">
        <f t="shared" ref="K22:M22" si="46">K19+K20+K21</f>
        <v>-394174</v>
      </c>
      <c r="L22" s="9">
        <f t="shared" si="46"/>
        <v>-75322</v>
      </c>
      <c r="M22" s="9">
        <f t="shared" si="46"/>
        <v>-280505</v>
      </c>
      <c r="N22" s="45">
        <f>N19+N20+N21</f>
        <v>-721364.20000000007</v>
      </c>
      <c r="O22" s="53">
        <f t="shared" si="4"/>
        <v>-1471365.2000000002</v>
      </c>
      <c r="P22" s="22"/>
      <c r="Q22" s="14">
        <f>Q19+Q20+Q21</f>
        <v>-728529.32499999995</v>
      </c>
      <c r="R22" s="14">
        <f>R19+R20+R21</f>
        <v>-366894.37627499917</v>
      </c>
      <c r="S22" s="14">
        <f t="shared" ref="S22:W22" si="47">S19+S20+S21</f>
        <v>507997.79869425116</v>
      </c>
      <c r="T22" s="14">
        <f t="shared" si="47"/>
        <v>1389465.1468398767</v>
      </c>
      <c r="U22" s="14">
        <f t="shared" si="47"/>
        <v>2093086.5454400629</v>
      </c>
      <c r="V22" s="14">
        <f t="shared" si="47"/>
        <v>2977859.6699805809</v>
      </c>
      <c r="W22" s="14">
        <f t="shared" si="47"/>
        <v>4040444.1395501657</v>
      </c>
      <c r="X22" s="14">
        <f t="shared" ref="X22" si="48">X19+X20+X21</f>
        <v>5311848.1299406253</v>
      </c>
      <c r="Y22" s="14">
        <f t="shared" ref="Y22" si="49">Y19+Y20+Y21</f>
        <v>6828156.0375364115</v>
      </c>
      <c r="Z22" s="14">
        <f t="shared" ref="Z22" si="50">Z19+Z20+Z21</f>
        <v>8631331.9791669287</v>
      </c>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row>
    <row r="23" spans="2:237" ht="15.75" thickTop="1" x14ac:dyDescent="0.25">
      <c r="C23" s="3"/>
      <c r="D23" s="3"/>
      <c r="E23" s="3"/>
      <c r="F23" s="3"/>
      <c r="G23" s="3"/>
      <c r="H23" s="3"/>
      <c r="I23" s="3"/>
      <c r="J23" s="3"/>
      <c r="K23" s="3"/>
      <c r="L23" s="3"/>
      <c r="M23" s="3"/>
      <c r="N23" s="3"/>
      <c r="O23" s="3"/>
      <c r="P23" s="3"/>
    </row>
    <row r="24" spans="2:237" x14ac:dyDescent="0.25">
      <c r="C24" s="3"/>
      <c r="D24" s="3"/>
      <c r="E24" s="3"/>
      <c r="F24" s="3"/>
      <c r="G24" s="3"/>
      <c r="H24" s="3"/>
      <c r="I24" s="3"/>
      <c r="J24" s="3"/>
      <c r="K24" s="41" t="s">
        <v>49</v>
      </c>
      <c r="L24" s="41"/>
      <c r="M24" s="41"/>
      <c r="N24" s="3"/>
      <c r="O24" s="3"/>
      <c r="P24" s="3"/>
    </row>
    <row r="25" spans="2:237" x14ac:dyDescent="0.25">
      <c r="B25" s="5" t="s">
        <v>29</v>
      </c>
      <c r="G25" s="27"/>
      <c r="H25" s="13">
        <f>(H3-G3)/G3</f>
        <v>0.90016387866794467</v>
      </c>
      <c r="I25" s="13">
        <f>(I3-H3)/H3</f>
        <v>1.1089625926721474</v>
      </c>
      <c r="J25" s="13">
        <f>(J3-I3)/I3</f>
        <v>0.72871742443239906</v>
      </c>
      <c r="K25" s="13">
        <f t="shared" ref="K25:M25" si="51">(K3-J3)/J3</f>
        <v>-0.65647605559748645</v>
      </c>
      <c r="L25" s="13">
        <f t="shared" si="51"/>
        <v>0.13678259784941765</v>
      </c>
      <c r="M25" s="13">
        <f t="shared" si="51"/>
        <v>-9.7116673733922951E-2</v>
      </c>
      <c r="N25" s="13">
        <f t="shared" ref="N25" si="52">(N3-M3)/M3</f>
        <v>0.6000000000000002</v>
      </c>
      <c r="O25" s="12"/>
      <c r="P25" s="12"/>
      <c r="Q25" s="26"/>
      <c r="R25" s="25">
        <f>(R3-Q3)/Q3</f>
        <v>0.3000000000000001</v>
      </c>
      <c r="S25" s="25">
        <f t="shared" ref="S25:W25" si="53">(S3-R3)/R3</f>
        <v>0.3</v>
      </c>
      <c r="T25" s="25">
        <f t="shared" si="53"/>
        <v>0.25000000000000011</v>
      </c>
      <c r="U25" s="25">
        <f t="shared" si="53"/>
        <v>0.14999999999999997</v>
      </c>
      <c r="V25" s="25">
        <f t="shared" si="53"/>
        <v>0.14999999999999994</v>
      </c>
      <c r="W25" s="25">
        <f t="shared" si="53"/>
        <v>0.14999999999999997</v>
      </c>
      <c r="X25" s="25">
        <f t="shared" ref="X25:Z25" si="54">(X3-W3)/W3</f>
        <v>0.14999999999999994</v>
      </c>
      <c r="Y25" s="25">
        <f t="shared" si="54"/>
        <v>0.1499999999999998</v>
      </c>
      <c r="Z25" s="25">
        <f t="shared" si="54"/>
        <v>0.14999999999999994</v>
      </c>
    </row>
    <row r="26" spans="2:237" x14ac:dyDescent="0.25">
      <c r="B26" s="5" t="s">
        <v>30</v>
      </c>
      <c r="G26" s="27"/>
      <c r="H26" s="13">
        <f>(H4-G4)/G4</f>
        <v>2.3361472340671292</v>
      </c>
      <c r="I26" s="13">
        <f>(I4-H4)/H4</f>
        <v>1.2913652770284112</v>
      </c>
      <c r="J26" s="13">
        <f>(J4-I4)/I4</f>
        <v>0.86898013251704309</v>
      </c>
      <c r="K26" s="13">
        <f t="shared" ref="K26:M26" si="55">(K4-J4)/J4</f>
        <v>-0.64848784556479844</v>
      </c>
      <c r="L26" s="13">
        <f t="shared" si="55"/>
        <v>-2.1882546862421897E-2</v>
      </c>
      <c r="M26" s="13">
        <f t="shared" si="55"/>
        <v>6.4921628066930165E-2</v>
      </c>
      <c r="N26" s="13">
        <f t="shared" ref="N26" si="56">(N4-M4)/M4</f>
        <v>0.30000000000000016</v>
      </c>
      <c r="O26" s="3"/>
      <c r="P26" s="3"/>
      <c r="Q26" s="26"/>
      <c r="R26" s="25">
        <f>(R4-Q4)/Q4</f>
        <v>0.24999999999999992</v>
      </c>
      <c r="S26" s="25">
        <f t="shared" ref="S26:W26" si="57">(S4-R4)/R4</f>
        <v>0.19999999999999996</v>
      </c>
      <c r="T26" s="25">
        <f t="shared" si="57"/>
        <v>0.20000000000000004</v>
      </c>
      <c r="U26" s="25">
        <f t="shared" si="57"/>
        <v>0.10000000000000016</v>
      </c>
      <c r="V26" s="25">
        <f t="shared" si="57"/>
        <v>0.10000000000000002</v>
      </c>
      <c r="W26" s="25">
        <f t="shared" si="57"/>
        <v>0.10000000000000014</v>
      </c>
      <c r="X26" s="25">
        <f t="shared" ref="X26:Z26" si="58">(X4-W4)/W4</f>
        <v>0.10000000000000014</v>
      </c>
      <c r="Y26" s="25">
        <f t="shared" si="58"/>
        <v>0.1000000000000002</v>
      </c>
      <c r="Z26" s="25">
        <f t="shared" si="58"/>
        <v>0.1</v>
      </c>
    </row>
    <row r="27" spans="2:237" x14ac:dyDescent="0.25">
      <c r="B27" s="5" t="s">
        <v>31</v>
      </c>
      <c r="G27" s="26"/>
      <c r="H27" s="13">
        <f>(H5-G5)/G5</f>
        <v>0.22058026339165729</v>
      </c>
      <c r="I27" s="13">
        <f>(I5-H5)/H5</f>
        <v>0.87302150084159691</v>
      </c>
      <c r="J27" s="13">
        <f>(J5-I5)/I5</f>
        <v>0.50676180551265981</v>
      </c>
      <c r="K27" s="13">
        <f t="shared" ref="K27:M27" si="59">(K5-J5)/J5</f>
        <v>-0.67215560151708309</v>
      </c>
      <c r="L27" s="13">
        <f t="shared" si="59"/>
        <v>0.47069928038981573</v>
      </c>
      <c r="M27" s="13">
        <f t="shared" si="59"/>
        <v>-0.32391581002951148</v>
      </c>
      <c r="N27" s="13">
        <f t="shared" ref="N27" si="60">(N5-M5)/M5</f>
        <v>1.2613964130253998</v>
      </c>
      <c r="O27" s="3"/>
      <c r="P27" s="3"/>
      <c r="Q27" s="26"/>
      <c r="R27" s="25">
        <f>(R5-Q5)/Q5</f>
        <v>0.38055318187594467</v>
      </c>
      <c r="S27" s="25">
        <f t="shared" ref="S27:W27" si="61">(S5-R5)/R5</f>
        <v>0.44587120390118873</v>
      </c>
      <c r="T27" s="25">
        <f t="shared" si="61"/>
        <v>0.31053286219724363</v>
      </c>
      <c r="U27" s="25">
        <f t="shared" si="61"/>
        <v>0.20542740417428704</v>
      </c>
      <c r="V27" s="25">
        <f t="shared" si="61"/>
        <v>0.20057969014192123</v>
      </c>
      <c r="W27" s="25">
        <f t="shared" si="61"/>
        <v>0.19634232913729888</v>
      </c>
      <c r="X27" s="25">
        <f t="shared" ref="X27:Z27" si="62">(X5-W5)/W5</f>
        <v>0.1926103472304527</v>
      </c>
      <c r="Y27" s="25">
        <f t="shared" si="62"/>
        <v>0.18930150535952064</v>
      </c>
      <c r="Z27" s="25">
        <f t="shared" si="62"/>
        <v>0.18635045924069904</v>
      </c>
    </row>
    <row r="28" spans="2:237" x14ac:dyDescent="0.25">
      <c r="B28" s="5" t="s">
        <v>32</v>
      </c>
      <c r="C28" s="3"/>
      <c r="D28" s="3"/>
      <c r="E28" s="3"/>
      <c r="F28" s="3"/>
      <c r="G28" s="28"/>
      <c r="H28" s="13">
        <f>-(H22-G22)/G22</f>
        <v>-7.6965057179161374</v>
      </c>
      <c r="I28" s="13">
        <f>-(I22-H22)/H22</f>
        <v>-0.2274010164398306</v>
      </c>
      <c r="J28" s="13">
        <f>(J22-I22)/I22</f>
        <v>-8.8688989367717463E-2</v>
      </c>
      <c r="K28" s="13">
        <f t="shared" ref="K28:M28" si="63">(K22-J22)/J22</f>
        <v>-0.71394940590876399</v>
      </c>
      <c r="L28" s="13">
        <f t="shared" si="63"/>
        <v>-0.80891180037242438</v>
      </c>
      <c r="M28" s="13">
        <f t="shared" si="63"/>
        <v>2.7240779586309443</v>
      </c>
      <c r="N28" s="13">
        <f t="shared" ref="N28" si="64">(N22-M22)/M22</f>
        <v>1.5716625372096757</v>
      </c>
      <c r="O28" s="3"/>
      <c r="P28" s="3"/>
      <c r="Q28" s="26"/>
      <c r="R28" s="25">
        <f>R22/Q22-1</f>
        <v>-0.49639038033918648</v>
      </c>
      <c r="S28" s="25">
        <f t="shared" ref="S28:W28" si="65">S22/R22-1</f>
        <v>-2.3845886760430757</v>
      </c>
      <c r="T28" s="25">
        <f t="shared" si="65"/>
        <v>1.7351794641853449</v>
      </c>
      <c r="U28" s="25">
        <f t="shared" si="65"/>
        <v>0.5063972998534465</v>
      </c>
      <c r="V28" s="25">
        <f t="shared" si="65"/>
        <v>0.42271215515099403</v>
      </c>
      <c r="W28" s="25">
        <f t="shared" si="65"/>
        <v>0.35682825496492043</v>
      </c>
      <c r="X28" s="25">
        <f t="shared" ref="X28:Z28" si="66">X22/W22-1</f>
        <v>0.31466936467336204</v>
      </c>
      <c r="Y28" s="25">
        <f t="shared" si="66"/>
        <v>0.28545769203170623</v>
      </c>
      <c r="Z28" s="25">
        <f t="shared" si="66"/>
        <v>0.26407948671909676</v>
      </c>
    </row>
    <row r="29" spans="2:237" ht="15.75" thickBot="1" x14ac:dyDescent="0.3">
      <c r="C29" s="3"/>
      <c r="D29" s="3"/>
      <c r="E29" s="3"/>
      <c r="F29" s="3"/>
      <c r="G29" s="3"/>
      <c r="H29" s="3"/>
      <c r="I29" s="3"/>
      <c r="J29" s="3"/>
      <c r="K29" s="3"/>
      <c r="L29" s="3"/>
      <c r="M29" s="3"/>
      <c r="N29" s="3"/>
      <c r="O29" s="3"/>
      <c r="P29" s="3"/>
    </row>
    <row r="30" spans="2:237" x14ac:dyDescent="0.25">
      <c r="B30" s="5"/>
      <c r="C30" s="3"/>
      <c r="D30" s="3"/>
      <c r="E30" s="3"/>
      <c r="F30" s="3"/>
      <c r="G30" s="3"/>
      <c r="H30" s="3"/>
      <c r="I30" s="3"/>
      <c r="J30" s="3"/>
      <c r="K30" s="3"/>
      <c r="L30" s="3"/>
      <c r="M30" s="3"/>
      <c r="N30" s="3"/>
      <c r="O30" s="3"/>
      <c r="P30" s="3"/>
      <c r="Q30" s="37" t="s">
        <v>43</v>
      </c>
      <c r="R30" s="31"/>
      <c r="S30" s="29">
        <f>Z22*(1+0.025)/(0.15-0.025)</f>
        <v>70776922.229168802</v>
      </c>
    </row>
    <row r="31" spans="2:237" x14ac:dyDescent="0.25">
      <c r="C31" s="3"/>
      <c r="D31" s="3"/>
      <c r="E31" s="3"/>
      <c r="F31" s="3"/>
      <c r="G31" s="3"/>
      <c r="H31" s="3"/>
      <c r="I31" s="3">
        <f>(O3-J3)/J3</f>
        <v>0.65076169591883104</v>
      </c>
      <c r="J31" s="3"/>
      <c r="K31" s="3"/>
      <c r="L31" s="3"/>
      <c r="M31" s="3"/>
      <c r="N31" s="3"/>
      <c r="O31" s="3"/>
      <c r="P31" s="3"/>
      <c r="Q31" s="23" t="s">
        <v>35</v>
      </c>
      <c r="S31" s="32">
        <f>SUM(S30,Z22)</f>
        <v>79408254.208335727</v>
      </c>
    </row>
    <row r="32" spans="2:237" x14ac:dyDescent="0.25">
      <c r="C32" s="3"/>
      <c r="D32" s="3"/>
      <c r="E32" s="3"/>
      <c r="F32" s="3"/>
      <c r="G32" s="3"/>
      <c r="H32" s="3"/>
      <c r="I32" s="3"/>
      <c r="J32" s="3"/>
      <c r="K32" s="3"/>
      <c r="L32" s="3"/>
      <c r="M32" s="3"/>
      <c r="N32" s="3"/>
      <c r="O32" s="3"/>
      <c r="P32" s="3"/>
      <c r="Q32" s="23"/>
      <c r="S32" s="33"/>
    </row>
    <row r="33" spans="3:20" x14ac:dyDescent="0.25">
      <c r="C33" s="3"/>
      <c r="D33" s="3"/>
      <c r="E33" s="3"/>
      <c r="F33" s="3"/>
      <c r="G33" s="3"/>
      <c r="H33" s="3"/>
      <c r="I33" s="3"/>
      <c r="J33" s="3"/>
      <c r="K33" s="3"/>
      <c r="L33" s="3"/>
      <c r="M33" s="3"/>
      <c r="N33" s="3"/>
      <c r="O33" s="3"/>
      <c r="P33" s="3"/>
      <c r="Q33" s="23" t="s">
        <v>36</v>
      </c>
      <c r="S33" s="30">
        <f>NPV(0.15,Q22:Z22,S31)</f>
        <v>26943756.852700401</v>
      </c>
    </row>
    <row r="34" spans="3:20" x14ac:dyDescent="0.25">
      <c r="C34" s="3"/>
      <c r="D34" s="3"/>
      <c r="E34" s="3"/>
      <c r="F34" s="3"/>
      <c r="G34" s="3"/>
      <c r="H34" s="3"/>
      <c r="I34" s="3"/>
      <c r="J34" s="3"/>
      <c r="K34" s="3"/>
      <c r="L34" s="3"/>
      <c r="M34" s="3"/>
      <c r="N34" s="3"/>
      <c r="O34" s="3"/>
      <c r="P34" s="3"/>
      <c r="Q34" s="23" t="s">
        <v>37</v>
      </c>
      <c r="S34" s="34">
        <f>Main!E6</f>
        <v>1111596</v>
      </c>
    </row>
    <row r="35" spans="3:20" x14ac:dyDescent="0.25">
      <c r="C35" s="3"/>
      <c r="D35" s="3"/>
      <c r="E35" s="3"/>
      <c r="F35" s="3"/>
      <c r="G35" s="3"/>
      <c r="H35" s="3"/>
      <c r="I35" s="3"/>
      <c r="J35" s="3"/>
      <c r="K35" s="3"/>
      <c r="L35" s="3"/>
      <c r="M35" s="3"/>
      <c r="N35" s="3"/>
      <c r="O35" s="3"/>
      <c r="P35" s="3"/>
      <c r="Q35" s="23" t="s">
        <v>38</v>
      </c>
      <c r="S35" s="34">
        <f>Main!E7</f>
        <v>1253089</v>
      </c>
    </row>
    <row r="36" spans="3:20" x14ac:dyDescent="0.25">
      <c r="C36" s="3"/>
      <c r="D36" s="3"/>
      <c r="E36" s="3"/>
      <c r="F36" s="3"/>
      <c r="G36" s="3"/>
      <c r="H36" s="3"/>
      <c r="I36" s="3"/>
      <c r="J36" s="3"/>
      <c r="K36" s="3"/>
      <c r="L36" s="3"/>
      <c r="M36" s="3"/>
      <c r="N36" s="3"/>
      <c r="O36" s="3"/>
      <c r="P36" s="3"/>
      <c r="Q36" s="23" t="s">
        <v>39</v>
      </c>
      <c r="S36" s="30">
        <f>S33+S34-S35</f>
        <v>26802263.852700401</v>
      </c>
    </row>
    <row r="37" spans="3:20" x14ac:dyDescent="0.25">
      <c r="C37" s="3"/>
      <c r="D37" s="3"/>
      <c r="E37" s="3"/>
      <c r="F37" s="3"/>
      <c r="G37" s="3"/>
      <c r="H37" s="3"/>
      <c r="I37" s="3"/>
      <c r="J37" s="3"/>
      <c r="K37" s="3"/>
      <c r="L37" s="3"/>
      <c r="M37" s="3"/>
      <c r="N37" s="3"/>
      <c r="O37" s="3"/>
      <c r="P37" s="3"/>
      <c r="Q37" s="23" t="s">
        <v>40</v>
      </c>
      <c r="S37" s="32">
        <f>Main!E4</f>
        <v>466240</v>
      </c>
    </row>
    <row r="38" spans="3:20" x14ac:dyDescent="0.25">
      <c r="C38" s="3"/>
      <c r="D38" s="3"/>
      <c r="E38" s="3"/>
      <c r="F38" s="3"/>
      <c r="G38" s="3"/>
      <c r="H38" s="3"/>
      <c r="I38" s="3"/>
      <c r="J38" s="3"/>
      <c r="K38" s="3"/>
      <c r="L38" s="3"/>
      <c r="M38" s="3"/>
      <c r="N38" s="3"/>
      <c r="O38" s="3"/>
      <c r="P38" s="3"/>
      <c r="Q38" s="23" t="s">
        <v>41</v>
      </c>
      <c r="S38" s="33">
        <f>S36/S37</f>
        <v>57.485981152840601</v>
      </c>
    </row>
    <row r="39" spans="3:20" ht="15.75" thickBot="1" x14ac:dyDescent="0.3">
      <c r="Q39" s="24" t="s">
        <v>42</v>
      </c>
      <c r="R39" s="35"/>
      <c r="S39" s="36">
        <f>S38/Main!E3-1</f>
        <v>0.60799947280673017</v>
      </c>
      <c r="T39" t="s">
        <v>55</v>
      </c>
    </row>
  </sheetData>
  <mergeCells count="2">
    <mergeCell ref="Q1:Z1"/>
    <mergeCell ref="K24:M24"/>
  </mergeCells>
  <conditionalFormatting sqref="S39">
    <cfRule type="cellIs" dxfId="1" priority="1" operator="lessThan">
      <formula>0</formula>
    </cfRule>
    <cfRule type="cellIs" dxfId="0" priority="2" operator="greaterThan">
      <formula>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B7F0B-88E5-47B8-A174-C9A65C29AFAB}">
  <sheetPr>
    <tabColor theme="1" tint="4.9989318521683403E-2"/>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9A817-6426-4EF4-986F-F7A399BB6A5F}">
  <sheetPr>
    <tabColor theme="4" tint="0.59999389629810485"/>
  </sheetPr>
  <dimension ref="A1"/>
  <sheetViews>
    <sheetView workbookViewId="0">
      <selection activeCell="S5" sqref="S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37A6C-9EF8-4D0E-98BA-C9AFE9542819}">
  <sheetPr>
    <tabColor theme="4" tint="0.59999389629810485"/>
  </sheetPr>
  <dimension ref="A1"/>
  <sheetViews>
    <sheetView workbookViewId="0">
      <selection activeCell="S6" sqref="S6"/>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442E-77BC-4687-BED6-E87CAD8C00FB}">
  <sheetPr>
    <tabColor theme="4" tint="0.59999389629810485"/>
  </sheetPr>
  <dimension ref="Y10:Z20"/>
  <sheetViews>
    <sheetView workbookViewId="0">
      <selection activeCell="Z20" sqref="Z20"/>
    </sheetView>
  </sheetViews>
  <sheetFormatPr defaultRowHeight="15" x14ac:dyDescent="0.25"/>
  <cols>
    <col min="25" max="25" width="13.85546875" bestFit="1" customWidth="1"/>
    <col min="26" max="26" width="13.28515625" bestFit="1" customWidth="1"/>
  </cols>
  <sheetData>
    <row r="10" spans="25:26" x14ac:dyDescent="0.25">
      <c r="Y10" t="s">
        <v>3</v>
      </c>
      <c r="Z10" s="3">
        <v>2152892</v>
      </c>
    </row>
    <row r="11" spans="25:26" x14ac:dyDescent="0.25">
      <c r="Y11" t="s">
        <v>6</v>
      </c>
      <c r="Z11" s="3">
        <v>476950</v>
      </c>
    </row>
    <row r="12" spans="25:26" ht="15.75" thickBot="1" x14ac:dyDescent="0.3">
      <c r="Y12" s="2" t="s">
        <v>7</v>
      </c>
      <c r="Z12" s="4">
        <f>SUM(Z10:Z11)</f>
        <v>2629842</v>
      </c>
    </row>
    <row r="17" spans="25:26" x14ac:dyDescent="0.25">
      <c r="Y17" t="s">
        <v>11</v>
      </c>
      <c r="Z17">
        <v>79125</v>
      </c>
    </row>
    <row r="18" spans="25:26" x14ac:dyDescent="0.25">
      <c r="Y18" t="s">
        <v>8</v>
      </c>
      <c r="Z18" s="3">
        <v>528874</v>
      </c>
    </row>
    <row r="19" spans="25:26" x14ac:dyDescent="0.25">
      <c r="Y19" t="s">
        <v>9</v>
      </c>
      <c r="Z19" s="3">
        <v>49272</v>
      </c>
    </row>
    <row r="20" spans="25:26" ht="15.75" thickBot="1" x14ac:dyDescent="0.3">
      <c r="Y20" s="2" t="s">
        <v>10</v>
      </c>
      <c r="Z20" s="4">
        <f>SUM(Z17:Z19)</f>
        <v>657271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AA05-07E0-4A73-9D6F-C85714B9352D}">
  <sheetPr>
    <tabColor theme="4" tint="0.59999389629810485"/>
  </sheetPr>
  <dimension ref="A1"/>
  <sheetViews>
    <sheetView topLeftCell="A10" workbookViewId="0">
      <selection activeCell="C51" sqref="C5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Model</vt:lpstr>
      <vt:lpstr>Supporting Docs -&gt;</vt:lpstr>
      <vt:lpstr>2022 Balance Sheet</vt:lpstr>
      <vt:lpstr>2022 Income Statement</vt:lpstr>
      <vt:lpstr>2021 Balance Sheet</vt:lpstr>
      <vt:lpstr>2021 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Morton</dc:creator>
  <cp:lastModifiedBy>Joshua Morton</cp:lastModifiedBy>
  <dcterms:created xsi:type="dcterms:W3CDTF">2023-03-27T23:34:27Z</dcterms:created>
  <dcterms:modified xsi:type="dcterms:W3CDTF">2023-12-22T20:18:51Z</dcterms:modified>
</cp:coreProperties>
</file>