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76a65d58f2796f/Desktop/Personal Finance Plan/"/>
    </mc:Choice>
  </mc:AlternateContent>
  <xr:revisionPtr revIDLastSave="561" documentId="8_{8863BC8A-D21B-4722-8235-3B8FA2ADDDDD}" xr6:coauthVersionLast="47" xr6:coauthVersionMax="47" xr10:uidLastSave="{8D1D8527-E06B-4B3B-8C97-63ECCCFB8443}"/>
  <bookViews>
    <workbookView xWindow="-120" yWindow="16080" windowWidth="29040" windowHeight="15720" activeTab="1" xr2:uid="{CAE5F375-13DD-4B88-99D5-CCE4CA979117}"/>
  </bookViews>
  <sheets>
    <sheet name="Sofi - Main" sheetId="2" r:id="rId1"/>
    <sheet name="Sofi - Model (DCF)" sheetId="3" r:id="rId2"/>
    <sheet name="Support --&gt;" sheetId="6" r:id="rId3"/>
    <sheet name="Cap Call Transaction" sheetId="7" r:id="rId4"/>
    <sheet name="Lending Support " sheetId="8" r:id="rId5"/>
    <sheet name="Fortress Investment Transaction" sheetId="9" r:id="rId6"/>
    <sheet name="Sofi - Balance Sheet (Q3 24)" sheetId="5" r:id="rId7"/>
    <sheet name="Sofi - Balance Sheet (2023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3" l="1"/>
  <c r="L21" i="3"/>
  <c r="M21" i="3" s="1"/>
  <c r="J23" i="3"/>
  <c r="K23" i="3" s="1"/>
  <c r="C6" i="2"/>
  <c r="C5" i="2"/>
  <c r="J21" i="3"/>
  <c r="J42" i="3"/>
  <c r="J41" i="3"/>
  <c r="U64" i="3"/>
  <c r="U62" i="3"/>
  <c r="U61" i="3"/>
  <c r="N21" i="3" l="1"/>
  <c r="O21" i="3" s="1"/>
  <c r="P21" i="3" s="1"/>
  <c r="Q21" i="3" s="1"/>
  <c r="R21" i="3" s="1"/>
  <c r="S21" i="3" s="1"/>
  <c r="T21" i="3" s="1"/>
  <c r="U21" i="3" s="1"/>
  <c r="J31" i="3" l="1"/>
  <c r="J28" i="3"/>
  <c r="K28" i="3" s="1"/>
  <c r="L28" i="3" s="1"/>
  <c r="M28" i="3" s="1"/>
  <c r="N28" i="3" s="1"/>
  <c r="K2" i="3"/>
  <c r="L2" i="3" s="1"/>
  <c r="M2" i="3" s="1"/>
  <c r="N2" i="3" s="1"/>
  <c r="O2" i="3" s="1"/>
  <c r="P2" i="3" s="1"/>
  <c r="Q2" i="3" s="1"/>
  <c r="R2" i="3" s="1"/>
  <c r="S2" i="3" s="1"/>
  <c r="T2" i="3" s="1"/>
  <c r="U2" i="3" s="1"/>
  <c r="K42" i="3"/>
  <c r="L42" i="3" s="1"/>
  <c r="K41" i="3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J54" i="3"/>
  <c r="L23" i="3"/>
  <c r="K31" i="3"/>
  <c r="L31" i="3" s="1"/>
  <c r="M31" i="3" s="1"/>
  <c r="N31" i="3" s="1"/>
  <c r="J26" i="3"/>
  <c r="K26" i="3" s="1"/>
  <c r="J25" i="3"/>
  <c r="J47" i="3" s="1"/>
  <c r="J24" i="3"/>
  <c r="K24" i="3" s="1"/>
  <c r="J48" i="3"/>
  <c r="J27" i="3"/>
  <c r="J29" i="3" s="1"/>
  <c r="J30" i="3" s="1"/>
  <c r="J32" i="3" s="1"/>
  <c r="J55" i="3" s="1"/>
  <c r="J45" i="3"/>
  <c r="I55" i="3"/>
  <c r="H55" i="3"/>
  <c r="E55" i="3"/>
  <c r="D55" i="3"/>
  <c r="I54" i="3"/>
  <c r="H54" i="3"/>
  <c r="E54" i="3"/>
  <c r="D54" i="3"/>
  <c r="I53" i="3"/>
  <c r="H53" i="3"/>
  <c r="E53" i="3"/>
  <c r="D53" i="3"/>
  <c r="I49" i="3"/>
  <c r="H49" i="3"/>
  <c r="E49" i="3"/>
  <c r="D49" i="3"/>
  <c r="I48" i="3"/>
  <c r="H48" i="3"/>
  <c r="E48" i="3"/>
  <c r="D48" i="3"/>
  <c r="I47" i="3"/>
  <c r="H47" i="3"/>
  <c r="E47" i="3"/>
  <c r="D47" i="3"/>
  <c r="I46" i="3"/>
  <c r="H46" i="3"/>
  <c r="E46" i="3"/>
  <c r="D46" i="3"/>
  <c r="I45" i="3"/>
  <c r="H45" i="3"/>
  <c r="E45" i="3"/>
  <c r="D45" i="3"/>
  <c r="C4" i="2"/>
  <c r="C7" i="2" s="1"/>
  <c r="L24" i="3" l="1"/>
  <c r="M24" i="3" s="1"/>
  <c r="N24" i="3" s="1"/>
  <c r="O24" i="3" s="1"/>
  <c r="P24" i="3" s="1"/>
  <c r="Q24" i="3" s="1"/>
  <c r="R24" i="3" s="1"/>
  <c r="S24" i="3" s="1"/>
  <c r="T24" i="3" s="1"/>
  <c r="U24" i="3" s="1"/>
  <c r="J49" i="3"/>
  <c r="J46" i="3"/>
  <c r="K48" i="3"/>
  <c r="K49" i="3"/>
  <c r="L26" i="3"/>
  <c r="M23" i="3"/>
  <c r="N23" i="3" s="1"/>
  <c r="O23" i="3" s="1"/>
  <c r="L48" i="3"/>
  <c r="K54" i="3"/>
  <c r="K25" i="3"/>
  <c r="K47" i="3" s="1"/>
  <c r="K27" i="3"/>
  <c r="K29" i="3" s="1"/>
  <c r="K30" i="3" s="1"/>
  <c r="K32" i="3" s="1"/>
  <c r="K55" i="3" s="1"/>
  <c r="J53" i="3"/>
  <c r="K45" i="3"/>
  <c r="O28" i="3"/>
  <c r="P28" i="3" s="1"/>
  <c r="Q28" i="3" s="1"/>
  <c r="R28" i="3" s="1"/>
  <c r="O31" i="3"/>
  <c r="N54" i="3"/>
  <c r="L54" i="3"/>
  <c r="M54" i="3"/>
  <c r="S28" i="3"/>
  <c r="J39" i="3"/>
  <c r="J40" i="3"/>
  <c r="L45" i="3"/>
  <c r="M42" i="3"/>
  <c r="L27" i="3" l="1"/>
  <c r="M27" i="3" s="1"/>
  <c r="N27" i="3" s="1"/>
  <c r="O27" i="3" s="1"/>
  <c r="P27" i="3" s="1"/>
  <c r="Q27" i="3" s="1"/>
  <c r="R27" i="3" s="1"/>
  <c r="S27" i="3" s="1"/>
  <c r="T27" i="3" s="1"/>
  <c r="U27" i="3" s="1"/>
  <c r="K53" i="3"/>
  <c r="M48" i="3"/>
  <c r="L25" i="3"/>
  <c r="K46" i="3"/>
  <c r="K40" i="3"/>
  <c r="M26" i="3"/>
  <c r="L49" i="3"/>
  <c r="K39" i="3"/>
  <c r="P31" i="3"/>
  <c r="O54" i="3"/>
  <c r="T28" i="3"/>
  <c r="M45" i="3"/>
  <c r="N42" i="3"/>
  <c r="N48" i="3" l="1"/>
  <c r="M49" i="3"/>
  <c r="N26" i="3"/>
  <c r="M25" i="3"/>
  <c r="L46" i="3"/>
  <c r="L47" i="3"/>
  <c r="L29" i="3"/>
  <c r="L30" i="3" s="1"/>
  <c r="L32" i="3" s="1"/>
  <c r="Q31" i="3"/>
  <c r="P54" i="3"/>
  <c r="U28" i="3"/>
  <c r="N45" i="3"/>
  <c r="O42" i="3"/>
  <c r="L53" i="3" l="1"/>
  <c r="P23" i="3"/>
  <c r="O48" i="3"/>
  <c r="M46" i="3"/>
  <c r="N25" i="3"/>
  <c r="M29" i="3"/>
  <c r="M30" i="3" s="1"/>
  <c r="M47" i="3"/>
  <c r="N49" i="3"/>
  <c r="O26" i="3"/>
  <c r="Q54" i="3"/>
  <c r="R31" i="3"/>
  <c r="O45" i="3"/>
  <c r="L39" i="3"/>
  <c r="L55" i="3"/>
  <c r="L40" i="3"/>
  <c r="P42" i="3"/>
  <c r="O49" i="3" l="1"/>
  <c r="P26" i="3"/>
  <c r="M32" i="3"/>
  <c r="M53" i="3"/>
  <c r="N46" i="3"/>
  <c r="O25" i="3"/>
  <c r="N29" i="3"/>
  <c r="N30" i="3" s="1"/>
  <c r="N47" i="3"/>
  <c r="P48" i="3"/>
  <c r="Q23" i="3"/>
  <c r="S31" i="3"/>
  <c r="R54" i="3"/>
  <c r="P45" i="3"/>
  <c r="Q42" i="3"/>
  <c r="N53" i="3" l="1"/>
  <c r="N32" i="3"/>
  <c r="Q48" i="3"/>
  <c r="R23" i="3"/>
  <c r="P25" i="3"/>
  <c r="O46" i="3"/>
  <c r="O29" i="3"/>
  <c r="O30" i="3" s="1"/>
  <c r="O47" i="3"/>
  <c r="Q26" i="3"/>
  <c r="P49" i="3"/>
  <c r="M39" i="3"/>
  <c r="M40" i="3"/>
  <c r="M55" i="3"/>
  <c r="T31" i="3"/>
  <c r="S54" i="3"/>
  <c r="Q45" i="3"/>
  <c r="R42" i="3"/>
  <c r="R26" i="3" l="1"/>
  <c r="Q49" i="3"/>
  <c r="O53" i="3"/>
  <c r="O32" i="3"/>
  <c r="Q25" i="3"/>
  <c r="P46" i="3"/>
  <c r="P29" i="3"/>
  <c r="P30" i="3" s="1"/>
  <c r="P47" i="3"/>
  <c r="N55" i="3"/>
  <c r="N40" i="3"/>
  <c r="N39" i="3"/>
  <c r="R48" i="3"/>
  <c r="S23" i="3"/>
  <c r="U31" i="3"/>
  <c r="T54" i="3"/>
  <c r="R45" i="3"/>
  <c r="S42" i="3"/>
  <c r="T23" i="3" l="1"/>
  <c r="S48" i="3"/>
  <c r="P53" i="3"/>
  <c r="P32" i="3"/>
  <c r="R25" i="3"/>
  <c r="Q46" i="3"/>
  <c r="Q29" i="3"/>
  <c r="Q30" i="3" s="1"/>
  <c r="Q47" i="3"/>
  <c r="O39" i="3"/>
  <c r="O55" i="3"/>
  <c r="O40" i="3"/>
  <c r="R49" i="3"/>
  <c r="S26" i="3"/>
  <c r="U54" i="3"/>
  <c r="S45" i="3"/>
  <c r="T42" i="3"/>
  <c r="T26" i="3" l="1"/>
  <c r="S49" i="3"/>
  <c r="R46" i="3"/>
  <c r="S25" i="3"/>
  <c r="R29" i="3"/>
  <c r="R30" i="3" s="1"/>
  <c r="R47" i="3"/>
  <c r="Q53" i="3"/>
  <c r="Q32" i="3"/>
  <c r="P40" i="3"/>
  <c r="P55" i="3"/>
  <c r="P39" i="3"/>
  <c r="T48" i="3"/>
  <c r="U23" i="3"/>
  <c r="T45" i="3"/>
  <c r="U42" i="3"/>
  <c r="U48" i="3" l="1"/>
  <c r="R32" i="3"/>
  <c r="R53" i="3"/>
  <c r="Q40" i="3"/>
  <c r="Q55" i="3"/>
  <c r="Q39" i="3"/>
  <c r="T25" i="3"/>
  <c r="S46" i="3"/>
  <c r="S29" i="3"/>
  <c r="S30" i="3" s="1"/>
  <c r="S47" i="3"/>
  <c r="U26" i="3"/>
  <c r="U49" i="3" s="1"/>
  <c r="T49" i="3"/>
  <c r="U45" i="3"/>
  <c r="S53" i="3" l="1"/>
  <c r="S32" i="3"/>
  <c r="U25" i="3"/>
  <c r="T46" i="3"/>
  <c r="T29" i="3"/>
  <c r="T30" i="3" s="1"/>
  <c r="T47" i="3"/>
  <c r="R55" i="3"/>
  <c r="R39" i="3"/>
  <c r="R40" i="3"/>
  <c r="T32" i="3" l="1"/>
  <c r="T53" i="3"/>
  <c r="U46" i="3"/>
  <c r="U29" i="3"/>
  <c r="U30" i="3" s="1"/>
  <c r="U47" i="3"/>
  <c r="S40" i="3"/>
  <c r="S39" i="3"/>
  <c r="S55" i="3"/>
  <c r="U32" i="3" l="1"/>
  <c r="U57" i="3" s="1"/>
  <c r="U53" i="3"/>
  <c r="T55" i="3"/>
  <c r="T40" i="3"/>
  <c r="T39" i="3"/>
  <c r="U58" i="3" l="1"/>
  <c r="U40" i="3"/>
  <c r="U39" i="3"/>
  <c r="U55" i="3"/>
  <c r="U60" i="3" l="1"/>
  <c r="U63" i="3" s="1"/>
  <c r="U65" i="3" s="1"/>
  <c r="U66" i="3" s="1"/>
  <c r="U6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Morton</author>
  </authors>
  <commentList>
    <comment ref="J21" authorId="0" shapeId="0" xr:uid="{BB57B1D4-2791-47BD-9B48-861A55E62A15}">
      <text>
        <r>
          <rPr>
            <b/>
            <sz val="9"/>
            <color indexed="81"/>
            <rFont val="Tahoma"/>
            <family val="2"/>
          </rPr>
          <t>Joshua Morton:</t>
        </r>
        <r>
          <rPr>
            <sz val="9"/>
            <color indexed="81"/>
            <rFont val="Tahoma"/>
            <family val="2"/>
          </rPr>
          <t xml:space="preserve">
revenue assumptions stem from the cap call transaction which free'd up estimated 700M+ worth of capital, as well as new lending programs &amp; partnerships</t>
        </r>
      </text>
    </comment>
    <comment ref="J41" authorId="0" shapeId="0" xr:uid="{535BAF05-9FDC-4BB7-9461-691F995F46E4}">
      <text>
        <r>
          <rPr>
            <b/>
            <sz val="9"/>
            <color indexed="81"/>
            <rFont val="Tahoma"/>
            <family val="2"/>
          </rPr>
          <t>Joshua Morton:</t>
        </r>
        <r>
          <rPr>
            <sz val="9"/>
            <color indexed="81"/>
            <rFont val="Tahoma"/>
            <family val="2"/>
          </rPr>
          <t xml:space="preserve">
Something weird is going on with the conversions between millions &amp; billions - share count on main tab should be accurate; estimating 1.07B shares, or 1,070 in millions; don’t read into this too much - moreso focused on revenue growth &amp; expense management</t>
        </r>
      </text>
    </comment>
  </commentList>
</comments>
</file>

<file path=xl/sharedStrings.xml><?xml version="1.0" encoding="utf-8"?>
<sst xmlns="http://schemas.openxmlformats.org/spreadsheetml/2006/main" count="250" uniqueCount="130">
  <si>
    <t>Consolidated Statements of Operations and Comprehensive Loss - USD ($) $ in Thousands</t>
  </si>
  <si>
    <t>12 Months Ended</t>
  </si>
  <si>
    <t>Dec. 31, 2023</t>
  </si>
  <si>
    <t>Dec. 31, 2022</t>
  </si>
  <si>
    <t>Dec. 31, 2021</t>
  </si>
  <si>
    <t>Interest income</t>
  </si>
  <si>
    <t> </t>
  </si>
  <si>
    <t>Loans and securitizations</t>
  </si>
  <si>
    <t>Other</t>
  </si>
  <si>
    <t>Total interest income</t>
  </si>
  <si>
    <t>Interest expense</t>
  </si>
  <si>
    <t>Securitizations and warehouses</t>
  </si>
  <si>
    <t>Deposits</t>
  </si>
  <si>
    <t>Corporate borrowings</t>
  </si>
  <si>
    <t>Total interest expense</t>
  </si>
  <si>
    <t>Net interest income</t>
  </si>
  <si>
    <t>Noninterest income</t>
  </si>
  <si>
    <t>Loan origination, sales, and securitizations</t>
  </si>
  <si>
    <t>Servicing</t>
  </si>
  <si>
    <t>Technology products and solutions</t>
  </si>
  <si>
    <t>Total noninterest income</t>
  </si>
  <si>
    <t>Total net revenue</t>
  </si>
  <si>
    <t>Noninterest expense</t>
  </si>
  <si>
    <t>Technology and product development</t>
  </si>
  <si>
    <t>Sales and marketing</t>
  </si>
  <si>
    <t>Cost of operations</t>
  </si>
  <si>
    <t>General and administrative</t>
  </si>
  <si>
    <t>Goodwill impairment</t>
  </si>
  <si>
    <t>Provision for credit losses</t>
  </si>
  <si>
    <t>Total noninterest expense</t>
  </si>
  <si>
    <t>Loss before income taxes</t>
  </si>
  <si>
    <t>Income tax benefit (expense)</t>
  </si>
  <si>
    <t>Other comprehensive income (loss)</t>
  </si>
  <si>
    <t>Unrealized gains (losses) on available-for-sale securities, net</t>
  </si>
  <si>
    <t>Foreign currency translation adjustments, net</t>
  </si>
  <si>
    <t>Total other comprehensive income (loss)</t>
  </si>
  <si>
    <t>Comprehensive loss</t>
  </si>
  <si>
    <t>Loss per share (Note 19)</t>
  </si>
  <si>
    <t>Loss per share - basic (in dollars per share)</t>
  </si>
  <si>
    <t>Loss per share - diluted (in dollars per share)</t>
  </si>
  <si>
    <t>Weighted average common stock outstanding - basic (in shares)</t>
  </si>
  <si>
    <t>Weighted average common stock outstanding - diluted (in shares)</t>
  </si>
  <si>
    <t>Consolidated Balance Sheets - USD ($) $ in Thousands</t>
  </si>
  <si>
    <t>Assets</t>
  </si>
  <si>
    <t>Cash and cash equivalents</t>
  </si>
  <si>
    <t>Restricted cash and restricted cash equivalents</t>
  </si>
  <si>
    <t>Investment securities (includes available-for-sale securities of $595,187 and $195,438 at fair value with associated amortized cost of $596,757 and $203,418, as of December 31, 2023 and 2022, respectively)</t>
  </si>
  <si>
    <t>Loans held for sale, at fair value</t>
  </si>
  <si>
    <t>Loans held for investment, at fair value</t>
  </si>
  <si>
    <t>Loans held for investment (less allowance for credit losses on loans at amortized cost of $54,695 and $40,788 as of December 31, 2023 and 2022, respectively)</t>
  </si>
  <si>
    <t>Servicing rights</t>
  </si>
  <si>
    <t>Property, equipment and software</t>
  </si>
  <si>
    <t>Goodwill</t>
  </si>
  <si>
    <t>Intangible assets</t>
  </si>
  <si>
    <t>Operating lease right-of-use assets</t>
  </si>
  <si>
    <t>Other assets (less allowance for credit losses of $1,837 and $2,785 as of December 31, 2023 and 2022, respectively)</t>
  </si>
  <si>
    <t>Total assets</t>
  </si>
  <si>
    <t>Deposits [Abstract]</t>
  </si>
  <si>
    <t>Interest-bearing deposits</t>
  </si>
  <si>
    <t>Noninterest-bearing deposits</t>
  </si>
  <si>
    <t>Total deposits</t>
  </si>
  <si>
    <t>Accounts payable, accruals and other liabilities</t>
  </si>
  <si>
    <t>Operating lease liabilities</t>
  </si>
  <si>
    <t>Debt</t>
  </si>
  <si>
    <t>Residual interests classified as debt</t>
  </si>
  <si>
    <t>Total liabilities</t>
  </si>
  <si>
    <t>Commitments, guarantees, concentrations and contingencies (Note 18)</t>
  </si>
  <si>
    <t xml:space="preserve"> </t>
  </si>
  <si>
    <t>Temporary equity:</t>
  </si>
  <si>
    <t>Redeemable preferred stock, $0.00 par value: 100,000,000 and 100,000,000 shares authorized; 3,234,000 and 3,234,000 shares issued and outstanding as of December 31, 2023 and 2022, respectively</t>
  </si>
  <si>
    <t>[1]</t>
  </si>
  <si>
    <t>Permanent equity:</t>
  </si>
  <si>
    <t>Common stock</t>
  </si>
  <si>
    <t>[2]</t>
  </si>
  <si>
    <t>Additional paid-in capital</t>
  </si>
  <si>
    <t>Accumulated other comprehensive loss</t>
  </si>
  <si>
    <t>Accumulated deficit</t>
  </si>
  <si>
    <t>Total permanent equity</t>
  </si>
  <si>
    <t>Total liabilities, temporary equity and permanent equity</t>
  </si>
  <si>
    <t>Variable Interest Entity, Primary Beneficiary</t>
  </si>
  <si>
    <t>[1] Redemption amount is $323,400 as of December 31, 2023 and 2022. Includes 100,000,000 non-voting common shares authorized and no non-voting common shares issued and outstanding as of December 31, 2023 and 2022. See Note 13. Equity for additional information.</t>
  </si>
  <si>
    <t>Price</t>
  </si>
  <si>
    <t>Shares</t>
  </si>
  <si>
    <t>MC</t>
  </si>
  <si>
    <t>Cash</t>
  </si>
  <si>
    <t>EV</t>
  </si>
  <si>
    <t>As of close on 11.22.24</t>
  </si>
  <si>
    <t>Q1 2024</t>
  </si>
  <si>
    <t>Q2 2024</t>
  </si>
  <si>
    <t>Q3 2024</t>
  </si>
  <si>
    <t>Revenue</t>
  </si>
  <si>
    <t>COGS</t>
  </si>
  <si>
    <t>Gross Margin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</si>
  <si>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</si>
  <si>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</si>
  <si>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</si>
  <si>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</si>
  <si>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</si>
  <si>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</si>
  <si>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</si>
  <si>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</si>
  <si>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Year Over Year</t>
  </si>
  <si>
    <t>Quarter to Quarter (2024)</t>
  </si>
  <si>
    <t>Upside</t>
  </si>
  <si>
    <t>Condensed Consolidated Balance Sheets (Unaudited) - USD ($) $ in Thousands</t>
  </si>
  <si>
    <t>Sep. 30, 2024</t>
  </si>
  <si>
    <t>Investment securities (includes available-for-sale securities of $1,478,066 and $595,187 at fair value with associated amortized cost of $1,468,146 and $596,757, as of September 30, 2024 and December 31, 2023, respectively)</t>
  </si>
  <si>
    <t>Loans held for investment, at amortized cost (less allowance for credit losses of $48,419 and $54,695, as of September 30, 2024 and December 31, 2023, respectively)</t>
  </si>
  <si>
    <t>Other assets (less allowance for credit losses of $2,651 and $1,837, as of September 30, 2024 and December 31, 2023, respectively)</t>
  </si>
  <si>
    <t>Deposits:</t>
  </si>
  <si>
    <t>Commitments, guarantees, concentrations and contingencies (Note 15)</t>
  </si>
  <si>
    <t>Redeemable preferred stock, $0.00 par value: 100,000,000 and 100,000,000 shares authorized; — and 3,234,000 shares outstanding, as of September 30, 2024 and December 31, 2023, respectively</t>
  </si>
  <si>
    <t>Accumulated other comprehensive income (loss)</t>
  </si>
  <si>
    <t>[1] Redemption amount was $323,400 as of December 31, 2023. See Note 10. Equity for additional information. Includes 100,000,000 non-voting common shares authorized and no non-voting common shares issued and outstanding as of September 30, 2024 and December 31, 2023. See Note 10. Equity for additional information.</t>
  </si>
  <si>
    <t>Q3 24</t>
  </si>
  <si>
    <t>Net loss/Income</t>
  </si>
  <si>
    <t>Terminal Value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</si>
  <si>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</si>
  <si>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</si>
  <si>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</si>
  <si>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</si>
  <si>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</si>
  <si>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</si>
  <si>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SOFI</t>
  </si>
  <si>
    <t>2030 Price Target as of 11.24.24</t>
  </si>
  <si>
    <t>Should not affect share dilution</t>
  </si>
  <si>
    <t>https://s27.q4cdn.com/749715820/files/doc_news/SoFi-Technologies-Inc.-Prices-750-Million-Convertible-Senior-Notes-Offering-Due-2029-2024.pdf</t>
  </si>
  <si>
    <t>READ ME</t>
  </si>
  <si>
    <t>Annualized</t>
  </si>
  <si>
    <t>https://s27.q4cdn.com/749715820/files/doc_news/SoFi-Expands-Loan-Platform-Business-with-2-Billion-Agreement-with-Fortress-Investment-Group-2024.pdf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</si>
</sst>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7" formatCode="_(* #,##0_);_(* \(#,##0\);_(* &quot;-&quot;??_);_(@_)"/>
    <numFmt numFmtId="178" formatCode="0.000%"/>
    <numFmt numFmtId="179" formatCode="0.000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horizontal="right" vertical="top"/>
    </xf>
    <xf numFmtId="37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 wrapText="1"/>
    </xf>
    <xf numFmtId="0" fontId="5" fillId="0" borderId="0" xfId="3"/>
    <xf numFmtId="0" fontId="7" fillId="0" borderId="0" xfId="4"/>
    <xf numFmtId="2" fontId="0" fillId="0" borderId="0" xfId="0" applyNumberFormat="1"/>
    <xf numFmtId="167" fontId="0" fillId="0" borderId="0" xfId="1" applyNumberFormat="1" applyFont="1"/>
    <xf numFmtId="43" fontId="0" fillId="0" borderId="0" xfId="1" applyNumberFormat="1" applyFont="1"/>
    <xf numFmtId="0" fontId="0" fillId="0" borderId="0" xfId="0"/>
    <xf numFmtId="0" fontId="4" fillId="0" borderId="0" xfId="0" applyFont="1" applyAlignment="1">
      <alignment vertical="top" wrapText="1"/>
    </xf>
    <xf numFmtId="37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37" fontId="4" fillId="0" borderId="0" xfId="0" applyNumberFormat="1" applyFont="1" applyAlignment="1">
      <alignment horizontal="right" vertical="top"/>
    </xf>
    <xf numFmtId="37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 wrapText="1"/>
    </xf>
    <xf numFmtId="37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 wrapText="1"/>
    </xf>
    <xf numFmtId="37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 wrapText="1"/>
    </xf>
    <xf numFmtId="37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0" fontId="0" fillId="0" borderId="0" xfId="0"/>
    <xf numFmtId="0" fontId="4" fillId="0" borderId="0" xfId="0" applyFont="1" applyAlignment="1">
      <alignment vertical="top" wrapText="1"/>
    </xf>
    <xf numFmtId="37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37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2" xfId="0" applyBorder="1"/>
    <xf numFmtId="3" fontId="6" fillId="0" borderId="0" xfId="0" applyNumberFormat="1" applyFont="1"/>
    <xf numFmtId="3" fontId="0" fillId="0" borderId="0" xfId="0" applyNumberFormat="1"/>
    <xf numFmtId="0" fontId="2" fillId="0" borderId="4" xfId="0" applyFont="1" applyBorder="1" applyAlignment="1">
      <alignment horizontal="center"/>
    </xf>
    <xf numFmtId="178" fontId="0" fillId="0" borderId="0" xfId="2" applyNumberFormat="1" applyFont="1"/>
    <xf numFmtId="179" fontId="0" fillId="0" borderId="0" xfId="2" applyNumberFormat="1" applyFont="1"/>
    <xf numFmtId="37" fontId="0" fillId="0" borderId="0" xfId="0" applyNumberFormat="1"/>
    <xf numFmtId="0" fontId="0" fillId="3" borderId="0" xfId="0" applyFill="1"/>
    <xf numFmtId="179" fontId="0" fillId="3" borderId="0" xfId="2" applyNumberFormat="1" applyFont="1" applyFill="1"/>
    <xf numFmtId="0" fontId="2" fillId="0" borderId="2" xfId="0" applyFont="1" applyBorder="1"/>
    <xf numFmtId="37" fontId="3" fillId="0" borderId="0" xfId="0" applyNumberFormat="1" applyFont="1" applyAlignment="1">
      <alignment horizontal="right" vertical="top"/>
    </xf>
    <xf numFmtId="167" fontId="2" fillId="0" borderId="0" xfId="1" applyNumberFormat="1" applyFont="1"/>
    <xf numFmtId="43" fontId="0" fillId="0" borderId="0" xfId="0" applyNumberFormat="1"/>
    <xf numFmtId="0" fontId="0" fillId="0" borderId="11" xfId="0" applyBorder="1"/>
    <xf numFmtId="0" fontId="0" fillId="0" borderId="0" xfId="0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2" fillId="0" borderId="7" xfId="0" applyFont="1" applyBorder="1"/>
    <xf numFmtId="8" fontId="0" fillId="0" borderId="9" xfId="0" applyNumberFormat="1" applyBorder="1"/>
    <xf numFmtId="10" fontId="0" fillId="0" borderId="10" xfId="2" applyNumberFormat="1" applyFont="1" applyBorder="1"/>
    <xf numFmtId="43" fontId="0" fillId="0" borderId="8" xfId="0" applyNumberFormat="1" applyBorder="1"/>
    <xf numFmtId="0" fontId="6" fillId="0" borderId="5" xfId="0" applyFont="1" applyBorder="1"/>
    <xf numFmtId="43" fontId="0" fillId="0" borderId="9" xfId="0" applyNumberFormat="1" applyBorder="1"/>
    <xf numFmtId="43" fontId="0" fillId="0" borderId="9" xfId="1" applyFont="1" applyBorder="1"/>
    <xf numFmtId="0" fontId="6" fillId="0" borderId="6" xfId="0" applyFont="1" applyBorder="1"/>
    <xf numFmtId="0" fontId="0" fillId="0" borderId="12" xfId="0" applyBorder="1"/>
    <xf numFmtId="37" fontId="0" fillId="2" borderId="0" xfId="0" applyNumberFormat="1" applyFill="1"/>
    <xf numFmtId="0" fontId="7" fillId="0" borderId="5" xfId="4" applyBorder="1"/>
    <xf numFmtId="0" fontId="0" fillId="0" borderId="0" xfId="0" applyBorder="1"/>
    <xf numFmtId="0" fontId="0" fillId="0" borderId="6" xfId="0" applyBorder="1"/>
    <xf numFmtId="0" fontId="0" fillId="0" borderId="10" xfId="0" applyBorder="1"/>
    <xf numFmtId="167" fontId="2" fillId="4" borderId="0" xfId="1" applyNumberFormat="1" applyFont="1" applyFill="1"/>
  </cellXfs>
  <cellStyles count="6">
    <cellStyle name="Comma" xfId="1" builtinId="3"/>
    <cellStyle name="Hyperlink" xfId="4" builtinId="8"/>
    <cellStyle name="Hyperlink 2" xfId="5" xr:uid="{01551692-3F66-49FB-B144-9A3D8E5EB3D6}"/>
    <cellStyle name="Normal" xfId="0" builtinId="0"/>
    <cellStyle name="Normal 2" xfId="3" xr:uid="{DEAD089E-D9E2-4BE1-8EC0-135EBFBF0788}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19050</xdr:colOff>
      <xdr:row>56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D8A2D4A-A337-4D2E-B1E7-30F211828D4E}"/>
            </a:ext>
          </a:extLst>
        </xdr:cNvPr>
        <xdr:cNvCxnSpPr/>
      </xdr:nvCxnSpPr>
      <xdr:spPr>
        <a:xfrm>
          <a:off x="10906125" y="0"/>
          <a:ext cx="19050" cy="11410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143916</xdr:colOff>
      <xdr:row>41</xdr:row>
      <xdr:rowOff>20144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A8ACFA-9B61-806E-BBB4-251C3E651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59116" cy="7840169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0</xdr:row>
      <xdr:rowOff>0</xdr:rowOff>
    </xdr:from>
    <xdr:to>
      <xdr:col>21</xdr:col>
      <xdr:colOff>515153</xdr:colOff>
      <xdr:row>37</xdr:row>
      <xdr:rowOff>115300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4005FA-DCCC-0F87-CC5F-D740CB750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2850" y="0"/>
          <a:ext cx="5753903" cy="7163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31</xdr:col>
      <xdr:colOff>553240</xdr:colOff>
      <xdr:row>30</xdr:row>
      <xdr:rowOff>86535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65FD41-2053-A3DB-2A66-A1CEE0BB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92200" y="0"/>
          <a:ext cx="5658640" cy="58015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412100</xdr:colOff>
      <xdr:row>46</xdr:row>
      <xdr:rowOff>20276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148633-3095-D4BD-9BB4-4B64C0368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90500" cy="87832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29</xdr:col>
      <xdr:colOff>212047</xdr:colOff>
      <xdr:row>80</xdr:row>
      <xdr:rowOff>57956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B7C301-D2BA-B698-0ED1-EBDA38C0D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00"/>
          <a:ext cx="17890447" cy="5772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27.q4cdn.com/749715820/files/doc_news/SoFi-Technologies-Inc.-Prices-750-Million-Convertible-Senior-Notes-Offering-Due-2029-2024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27.q4cdn.com/749715820/files/doc_news/SoFi-Expands-Loan-Platform-Business-with-2-Billion-Agreement-with-Fortress-Investment-Group-20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45E4-6324-4E1E-BAC4-BEC4009834B0}">
  <sheetPr>
    <tabColor rgb="FFFFFF99"/>
  </sheetPr>
  <dimension ref="B2:D12"/>
  <sheetViews>
    <sheetView workbookViewId="0">
      <selection activeCell="B10" sqref="B10"/>
    </sheetView>
  </sheetViews>
  <sheetFormatPr defaultRowHeight="15" x14ac:dyDescent="0.25"/>
  <cols>
    <col min="3" max="3" width="15.28515625" bestFit="1" customWidth="1"/>
  </cols>
  <sheetData>
    <row r="2" spans="2:4" x14ac:dyDescent="0.25">
      <c r="B2" s="11" t="s">
        <v>81</v>
      </c>
      <c r="C2" s="15">
        <v>15.6</v>
      </c>
      <c r="D2" t="s">
        <v>86</v>
      </c>
    </row>
    <row r="3" spans="2:4" x14ac:dyDescent="0.25">
      <c r="B3" s="11" t="s">
        <v>82</v>
      </c>
      <c r="C3" s="14">
        <v>1070</v>
      </c>
      <c r="D3" s="67" t="s">
        <v>114</v>
      </c>
    </row>
    <row r="4" spans="2:4" x14ac:dyDescent="0.25">
      <c r="B4" s="11" t="s">
        <v>83</v>
      </c>
      <c r="C4" s="14">
        <f>+C3*C2</f>
        <v>16692</v>
      </c>
      <c r="D4" t="s">
        <v>114</v>
      </c>
    </row>
    <row r="5" spans="2:4" x14ac:dyDescent="0.25">
      <c r="B5" s="11" t="s">
        <v>84</v>
      </c>
      <c r="C5" s="14">
        <f>'Sofi - Balance Sheet (Q3 24)'!C3</f>
        <v>2354965</v>
      </c>
      <c r="D5" s="38" t="s">
        <v>114</v>
      </c>
    </row>
    <row r="6" spans="2:4" x14ac:dyDescent="0.25">
      <c r="B6" s="11" t="s">
        <v>63</v>
      </c>
      <c r="C6" s="14">
        <f>'Sofi - Balance Sheet (Q3 24)'!C22+'Sofi - Balance Sheet (Q3 24)'!C23</f>
        <v>3180863</v>
      </c>
      <c r="D6" s="38" t="s">
        <v>114</v>
      </c>
    </row>
    <row r="7" spans="2:4" x14ac:dyDescent="0.25">
      <c r="B7" s="11" t="s">
        <v>85</v>
      </c>
      <c r="C7" s="14">
        <f>C4-C5+C6</f>
        <v>842590</v>
      </c>
      <c r="D7" s="38" t="s">
        <v>114</v>
      </c>
    </row>
    <row r="8" spans="2:4" x14ac:dyDescent="0.25">
      <c r="B8" s="11"/>
      <c r="C8" s="13"/>
    </row>
    <row r="9" spans="2:4" x14ac:dyDescent="0.25">
      <c r="B9" s="11"/>
      <c r="C9" s="13"/>
    </row>
    <row r="10" spans="2:4" x14ac:dyDescent="0.25">
      <c r="B10" s="11"/>
      <c r="C10" s="13"/>
    </row>
    <row r="11" spans="2:4" x14ac:dyDescent="0.25">
      <c r="B11" s="11"/>
      <c r="C11" s="13"/>
    </row>
    <row r="12" spans="2:4" x14ac:dyDescent="0.25">
      <c r="C1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C3CA-AD10-476E-A984-0A3D977997E6}">
  <sheetPr>
    <tabColor rgb="FFFFFF99"/>
  </sheetPr>
  <dimension ref="A1:AA68"/>
  <sheetViews>
    <sheetView tabSelected="1" topLeftCell="A24" workbookViewId="0">
      <pane xSplit="1" topLeftCell="L1" activePane="topRight" state="frozen"/>
      <selection activeCell="A18" sqref="A18"/>
      <selection pane="topRight" activeCell="V43" sqref="V43"/>
    </sheetView>
  </sheetViews>
  <sheetFormatPr defaultRowHeight="15" outlineLevelRow="1" outlineLevelCol="1" x14ac:dyDescent="0.25"/>
  <cols>
    <col min="1" max="1" width="80" customWidth="1"/>
    <col min="2" max="2" width="2.140625" style="53" customWidth="1"/>
    <col min="3" max="3" width="14" customWidth="1"/>
    <col min="4" max="4" width="11.85546875" bestFit="1" customWidth="1"/>
    <col min="5" max="5" width="12" bestFit="1" customWidth="1"/>
    <col min="6" max="6" width="2.85546875" style="16" customWidth="1"/>
    <col min="7" max="9" width="13.5703125" bestFit="1" customWidth="1"/>
    <col min="10" max="10" width="16" bestFit="1" customWidth="1"/>
    <col min="11" max="16" width="15.28515625" bestFit="1" customWidth="1"/>
    <col min="17" max="19" width="11.85546875" customWidth="1"/>
    <col min="20" max="20" width="15.28515625" bestFit="1" customWidth="1"/>
    <col min="21" max="21" width="17.28515625" bestFit="1" customWidth="1" outlineLevel="1"/>
  </cols>
  <sheetData>
    <row r="1" spans="1:21" ht="15" customHeight="1" x14ac:dyDescent="0.25">
      <c r="A1" s="49" t="s">
        <v>0</v>
      </c>
      <c r="B1" s="51"/>
      <c r="C1" s="2" t="s">
        <v>1</v>
      </c>
      <c r="D1" s="2"/>
      <c r="E1" s="2"/>
      <c r="F1" s="39"/>
      <c r="G1" s="46">
        <v>2024</v>
      </c>
      <c r="H1" s="46"/>
      <c r="I1" s="46"/>
    </row>
    <row r="2" spans="1:21" s="47" customFormat="1" ht="30" x14ac:dyDescent="0.25">
      <c r="A2" s="50"/>
      <c r="B2" s="52"/>
      <c r="C2" s="48" t="s">
        <v>4</v>
      </c>
      <c r="D2" s="48" t="s">
        <v>3</v>
      </c>
      <c r="E2" s="48" t="s">
        <v>2</v>
      </c>
      <c r="F2" s="48"/>
      <c r="G2" s="48" t="s">
        <v>87</v>
      </c>
      <c r="H2" s="48" t="s">
        <v>88</v>
      </c>
      <c r="I2" s="48" t="s">
        <v>89</v>
      </c>
      <c r="J2" s="47">
        <v>2024</v>
      </c>
      <c r="K2" s="47">
        <f>J2+1</f>
        <v>2025</v>
      </c>
      <c r="L2" s="47">
        <f t="shared" ref="L2:U2" si="0">K2+1</f>
        <v>2026</v>
      </c>
      <c r="M2" s="47">
        <f t="shared" si="0"/>
        <v>2027</v>
      </c>
      <c r="N2" s="47">
        <f t="shared" si="0"/>
        <v>2028</v>
      </c>
      <c r="O2" s="47">
        <f t="shared" si="0"/>
        <v>2029</v>
      </c>
      <c r="P2" s="47">
        <f t="shared" si="0"/>
        <v>2030</v>
      </c>
      <c r="Q2" s="47">
        <f t="shared" si="0"/>
        <v>2031</v>
      </c>
      <c r="R2" s="47">
        <f t="shared" si="0"/>
        <v>2032</v>
      </c>
      <c r="S2" s="47">
        <f t="shared" si="0"/>
        <v>2033</v>
      </c>
      <c r="T2" s="47">
        <f t="shared" si="0"/>
        <v>2034</v>
      </c>
      <c r="U2" s="47">
        <f t="shared" si="0"/>
        <v>2035</v>
      </c>
    </row>
    <row r="3" spans="1:21" x14ac:dyDescent="0.25">
      <c r="A3" s="5" t="s">
        <v>5</v>
      </c>
      <c r="C3" s="6" t="s">
        <v>6</v>
      </c>
      <c r="D3" s="6" t="s">
        <v>6</v>
      </c>
      <c r="E3" s="6" t="s">
        <v>6</v>
      </c>
      <c r="F3" s="17"/>
    </row>
    <row r="4" spans="1:21" x14ac:dyDescent="0.25">
      <c r="A4" s="6" t="s">
        <v>7</v>
      </c>
      <c r="C4" s="7">
        <v>351971</v>
      </c>
      <c r="D4" s="7">
        <v>759504</v>
      </c>
      <c r="E4" s="7">
        <v>1944128</v>
      </c>
      <c r="F4" s="19"/>
      <c r="G4" s="19">
        <v>620228</v>
      </c>
      <c r="H4" s="29">
        <v>621061</v>
      </c>
      <c r="I4" s="37">
        <v>671976</v>
      </c>
    </row>
    <row r="5" spans="1:21" x14ac:dyDescent="0.25">
      <c r="A5" s="6" t="s">
        <v>8</v>
      </c>
      <c r="C5" s="8">
        <v>3049</v>
      </c>
      <c r="D5" s="8">
        <v>13867</v>
      </c>
      <c r="E5" s="8">
        <v>106939</v>
      </c>
      <c r="F5" s="18"/>
      <c r="G5" s="18">
        <v>45683</v>
      </c>
      <c r="H5" s="28">
        <v>53534</v>
      </c>
      <c r="I5" s="36">
        <v>51398</v>
      </c>
    </row>
    <row r="6" spans="1:21" x14ac:dyDescent="0.25">
      <c r="A6" s="6" t="s">
        <v>9</v>
      </c>
      <c r="C6" s="8">
        <v>355020</v>
      </c>
      <c r="D6" s="8">
        <v>773371</v>
      </c>
      <c r="E6" s="8">
        <v>2051067</v>
      </c>
      <c r="F6" s="18"/>
      <c r="G6" s="18">
        <v>665911</v>
      </c>
      <c r="H6" s="28">
        <v>674595</v>
      </c>
      <c r="I6" s="36">
        <v>723374</v>
      </c>
    </row>
    <row r="7" spans="1:21" x14ac:dyDescent="0.25">
      <c r="A7" s="5" t="s">
        <v>10</v>
      </c>
      <c r="C7" s="6" t="s">
        <v>6</v>
      </c>
      <c r="D7" s="6" t="s">
        <v>6</v>
      </c>
      <c r="E7" s="6" t="s">
        <v>6</v>
      </c>
      <c r="F7" s="17"/>
      <c r="G7" s="17" t="s">
        <v>6</v>
      </c>
      <c r="H7" s="27" t="s">
        <v>6</v>
      </c>
      <c r="I7" s="35" t="s">
        <v>6</v>
      </c>
    </row>
    <row r="8" spans="1:21" x14ac:dyDescent="0.25">
      <c r="A8" s="6" t="s">
        <v>11</v>
      </c>
      <c r="C8" s="8">
        <v>90485</v>
      </c>
      <c r="D8" s="8">
        <v>110127</v>
      </c>
      <c r="E8" s="8">
        <v>244220</v>
      </c>
      <c r="F8" s="18"/>
      <c r="G8" s="18">
        <v>40921</v>
      </c>
      <c r="H8" s="28">
        <v>17362</v>
      </c>
      <c r="I8" s="36">
        <v>31093</v>
      </c>
    </row>
    <row r="9" spans="1:21" x14ac:dyDescent="0.25">
      <c r="A9" s="6" t="s">
        <v>12</v>
      </c>
      <c r="C9" s="8">
        <v>0</v>
      </c>
      <c r="D9" s="8">
        <v>59793</v>
      </c>
      <c r="E9" s="8">
        <v>507820</v>
      </c>
      <c r="F9" s="18"/>
      <c r="G9" s="18">
        <v>211451</v>
      </c>
      <c r="H9" s="28">
        <v>231815</v>
      </c>
      <c r="I9" s="36">
        <v>248292</v>
      </c>
    </row>
    <row r="10" spans="1:21" x14ac:dyDescent="0.25">
      <c r="A10" s="6" t="s">
        <v>13</v>
      </c>
      <c r="C10" s="8">
        <v>10345</v>
      </c>
      <c r="D10" s="8">
        <v>18438</v>
      </c>
      <c r="E10" s="8">
        <v>36833</v>
      </c>
      <c r="F10" s="18"/>
      <c r="G10" s="18">
        <v>10711</v>
      </c>
      <c r="H10" s="28">
        <v>12725</v>
      </c>
      <c r="I10" s="36">
        <v>12871</v>
      </c>
    </row>
    <row r="11" spans="1:21" x14ac:dyDescent="0.25">
      <c r="A11" s="6" t="s">
        <v>8</v>
      </c>
      <c r="C11" s="8">
        <v>1946</v>
      </c>
      <c r="D11" s="8">
        <v>917</v>
      </c>
      <c r="E11" s="8">
        <v>454</v>
      </c>
      <c r="F11" s="18"/>
      <c r="G11" s="18">
        <v>110</v>
      </c>
      <c r="H11" s="28">
        <v>109</v>
      </c>
      <c r="I11" s="36">
        <v>108</v>
      </c>
    </row>
    <row r="12" spans="1:21" x14ac:dyDescent="0.25">
      <c r="A12" s="6" t="s">
        <v>14</v>
      </c>
      <c r="C12" s="8">
        <v>102776</v>
      </c>
      <c r="D12" s="8">
        <v>189275</v>
      </c>
      <c r="E12" s="8">
        <v>789327</v>
      </c>
      <c r="F12" s="18"/>
      <c r="G12" s="18">
        <v>263193</v>
      </c>
      <c r="H12" s="28">
        <v>262011</v>
      </c>
      <c r="I12" s="36">
        <v>292364</v>
      </c>
    </row>
    <row r="13" spans="1:21" x14ac:dyDescent="0.25">
      <c r="A13" s="6" t="s">
        <v>15</v>
      </c>
      <c r="C13" s="8">
        <v>252244</v>
      </c>
      <c r="D13" s="8">
        <v>584096</v>
      </c>
      <c r="E13" s="8">
        <v>1261740</v>
      </c>
      <c r="F13" s="18"/>
      <c r="G13" s="18">
        <v>402718</v>
      </c>
      <c r="H13" s="28">
        <v>412584</v>
      </c>
      <c r="I13" s="36">
        <v>431010</v>
      </c>
    </row>
    <row r="14" spans="1:21" x14ac:dyDescent="0.25">
      <c r="A14" s="5" t="s">
        <v>16</v>
      </c>
      <c r="C14" s="6" t="s">
        <v>6</v>
      </c>
      <c r="D14" s="6" t="s">
        <v>6</v>
      </c>
      <c r="E14" s="6" t="s">
        <v>6</v>
      </c>
      <c r="F14" s="17"/>
      <c r="G14" s="17" t="s">
        <v>6</v>
      </c>
      <c r="H14" s="27" t="s">
        <v>6</v>
      </c>
      <c r="I14" s="35" t="s">
        <v>6</v>
      </c>
    </row>
    <row r="15" spans="1:21" x14ac:dyDescent="0.25">
      <c r="A15" s="6" t="s">
        <v>17</v>
      </c>
      <c r="C15" s="8">
        <v>482764</v>
      </c>
      <c r="D15" s="8">
        <v>565372</v>
      </c>
      <c r="E15" s="8">
        <v>371812</v>
      </c>
      <c r="F15" s="18"/>
      <c r="G15" s="18">
        <v>57000</v>
      </c>
      <c r="H15" s="28">
        <v>54872</v>
      </c>
      <c r="I15" s="36">
        <v>70085</v>
      </c>
    </row>
    <row r="16" spans="1:21" x14ac:dyDescent="0.25">
      <c r="A16" s="6" t="s">
        <v>18</v>
      </c>
      <c r="C16" s="8">
        <v>-2281</v>
      </c>
      <c r="D16" s="8">
        <v>43547</v>
      </c>
      <c r="E16" s="8">
        <v>37328</v>
      </c>
      <c r="F16" s="18"/>
      <c r="G16" s="18">
        <v>6974</v>
      </c>
      <c r="H16" s="28">
        <v>6659</v>
      </c>
      <c r="I16" s="36">
        <v>9927</v>
      </c>
    </row>
    <row r="17" spans="1:21" x14ac:dyDescent="0.25">
      <c r="A17" s="6" t="s">
        <v>19</v>
      </c>
      <c r="C17" s="8">
        <v>191847</v>
      </c>
      <c r="D17" s="8">
        <v>304901</v>
      </c>
      <c r="E17" s="8">
        <v>323972</v>
      </c>
      <c r="F17" s="18"/>
      <c r="G17" s="18">
        <v>85672</v>
      </c>
      <c r="H17" s="28">
        <v>85866</v>
      </c>
      <c r="I17" s="36">
        <v>90896</v>
      </c>
    </row>
    <row r="18" spans="1:21" s="34" customFormat="1" x14ac:dyDescent="0.25">
      <c r="A18" s="35"/>
      <c r="B18" s="53"/>
      <c r="C18" s="36">
        <v>0</v>
      </c>
      <c r="D18" s="36">
        <v>0</v>
      </c>
      <c r="E18" s="36">
        <v>0</v>
      </c>
      <c r="F18" s="36"/>
      <c r="G18" s="36">
        <v>0</v>
      </c>
      <c r="H18" s="36">
        <v>0</v>
      </c>
      <c r="I18" s="36">
        <v>55641</v>
      </c>
    </row>
    <row r="19" spans="1:21" x14ac:dyDescent="0.25">
      <c r="A19" s="6" t="s">
        <v>8</v>
      </c>
      <c r="C19" s="8">
        <v>60298</v>
      </c>
      <c r="D19" s="8">
        <v>75619</v>
      </c>
      <c r="E19" s="8">
        <v>127937</v>
      </c>
      <c r="F19" s="18"/>
      <c r="G19" s="18">
        <v>92631</v>
      </c>
      <c r="H19" s="28">
        <v>38637</v>
      </c>
      <c r="I19" s="36">
        <v>39562</v>
      </c>
    </row>
    <row r="20" spans="1:21" x14ac:dyDescent="0.25">
      <c r="A20" s="6" t="s">
        <v>20</v>
      </c>
      <c r="C20" s="8">
        <v>732628</v>
      </c>
      <c r="D20" s="8">
        <v>989439</v>
      </c>
      <c r="E20" s="8">
        <v>861049</v>
      </c>
      <c r="F20" s="18"/>
      <c r="G20" s="18">
        <v>242277</v>
      </c>
      <c r="H20" s="28">
        <v>186034</v>
      </c>
      <c r="I20" s="36">
        <v>266111</v>
      </c>
    </row>
    <row r="21" spans="1:21" s="1" customFormat="1" x14ac:dyDescent="0.25">
      <c r="A21" s="41" t="s">
        <v>21</v>
      </c>
      <c r="B21" s="62"/>
      <c r="C21" s="63">
        <v>984872</v>
      </c>
      <c r="D21" s="63">
        <v>1573535</v>
      </c>
      <c r="E21" s="63">
        <v>2122789</v>
      </c>
      <c r="F21" s="63"/>
      <c r="G21" s="63">
        <v>644995</v>
      </c>
      <c r="H21" s="63">
        <v>598618</v>
      </c>
      <c r="I21" s="63">
        <v>697121</v>
      </c>
      <c r="J21" s="85">
        <f>I21*1.25</f>
        <v>871401.25</v>
      </c>
      <c r="K21" s="64">
        <f>J21*1.25</f>
        <v>1089251.5625</v>
      </c>
      <c r="L21" s="64">
        <f>K21*1.16</f>
        <v>1263531.8125</v>
      </c>
      <c r="M21" s="64">
        <f>L21*1.16</f>
        <v>1465696.9024999999</v>
      </c>
      <c r="N21" s="64">
        <f>M21*1.15</f>
        <v>1685551.4378749996</v>
      </c>
      <c r="O21" s="64">
        <f>N21*1.15</f>
        <v>1938384.1535562493</v>
      </c>
      <c r="P21" s="64">
        <f>O21*1.15</f>
        <v>2229141.7765896865</v>
      </c>
      <c r="Q21" s="64">
        <f>P21*1.14</f>
        <v>2541221.6253122422</v>
      </c>
      <c r="R21" s="64">
        <f>Q21*1.13</f>
        <v>2871580.4366028332</v>
      </c>
      <c r="S21" s="64">
        <f>R21*1.1</f>
        <v>3158738.4802631168</v>
      </c>
      <c r="T21" s="64">
        <f>S21*1.09</f>
        <v>3443024.9434867976</v>
      </c>
      <c r="U21" s="64">
        <f>T21*1.07</f>
        <v>3684036.6895308737</v>
      </c>
    </row>
    <row r="22" spans="1:21" x14ac:dyDescent="0.25">
      <c r="A22" s="5" t="s">
        <v>22</v>
      </c>
      <c r="C22" s="6" t="s">
        <v>6</v>
      </c>
      <c r="D22" s="6" t="s">
        <v>6</v>
      </c>
      <c r="E22" s="6" t="s">
        <v>6</v>
      </c>
      <c r="F22" s="17"/>
      <c r="H22" s="27" t="s">
        <v>6</v>
      </c>
    </row>
    <row r="23" spans="1:21" x14ac:dyDescent="0.25">
      <c r="A23" s="6" t="s">
        <v>23</v>
      </c>
      <c r="C23" s="8">
        <v>276087</v>
      </c>
      <c r="D23" s="8">
        <v>405257</v>
      </c>
      <c r="E23" s="8">
        <v>511419</v>
      </c>
      <c r="F23" s="18"/>
      <c r="G23" s="21">
        <v>130920</v>
      </c>
      <c r="H23" s="28">
        <v>132167</v>
      </c>
      <c r="I23" s="43">
        <v>139714</v>
      </c>
      <c r="J23" s="14">
        <f>I23*1.22</f>
        <v>170451.08</v>
      </c>
      <c r="K23" s="14">
        <f>J23*1.25</f>
        <v>213063.84999999998</v>
      </c>
      <c r="L23" s="14">
        <f>K23*1.25</f>
        <v>266329.8125</v>
      </c>
      <c r="M23" s="14">
        <f>L23*1.25</f>
        <v>332912.265625</v>
      </c>
      <c r="N23" s="14">
        <f>M23*1.17</f>
        <v>389507.35078124999</v>
      </c>
      <c r="O23" s="14">
        <f>N23*1.16</f>
        <v>451828.52690624993</v>
      </c>
      <c r="P23" s="14">
        <f t="shared" ref="O23:Q23" si="1">O23*1.15</f>
        <v>519602.80594218738</v>
      </c>
      <c r="Q23" s="14">
        <f t="shared" si="1"/>
        <v>597543.22683351545</v>
      </c>
      <c r="R23" s="14">
        <f>Q23*1.1</f>
        <v>657297.54951686703</v>
      </c>
      <c r="S23" s="14">
        <f t="shared" ref="S23:U23" si="2">R23*1.1</f>
        <v>723027.30446855375</v>
      </c>
      <c r="T23" s="14">
        <f t="shared" si="2"/>
        <v>795330.03491540917</v>
      </c>
      <c r="U23" s="14">
        <f t="shared" si="2"/>
        <v>874863.03840695019</v>
      </c>
    </row>
    <row r="24" spans="1:21" x14ac:dyDescent="0.25">
      <c r="A24" s="6" t="s">
        <v>24</v>
      </c>
      <c r="C24" s="8">
        <v>426875</v>
      </c>
      <c r="D24" s="8">
        <v>617823</v>
      </c>
      <c r="E24" s="8">
        <v>719400</v>
      </c>
      <c r="F24" s="18"/>
      <c r="G24" s="21">
        <v>167366</v>
      </c>
      <c r="H24" s="28">
        <v>184762</v>
      </c>
      <c r="I24" s="43">
        <v>214904</v>
      </c>
      <c r="J24" s="14">
        <f>I24*1.2</f>
        <v>257884.79999999999</v>
      </c>
      <c r="K24" s="14">
        <f t="shared" ref="K24:M24" si="3">J24*1.2</f>
        <v>309461.75999999995</v>
      </c>
      <c r="L24" s="14">
        <f>K24*1.22</f>
        <v>377543.34719999996</v>
      </c>
      <c r="M24" s="14">
        <f>L24*1.22</f>
        <v>460602.88358399994</v>
      </c>
      <c r="N24" s="14">
        <f>M24*1.15</f>
        <v>529693.31612159987</v>
      </c>
      <c r="O24" s="14">
        <f t="shared" ref="O24:Q24" si="4">N24*1.15</f>
        <v>609147.31353983982</v>
      </c>
      <c r="P24" s="14">
        <f t="shared" si="4"/>
        <v>700519.41057081579</v>
      </c>
      <c r="Q24" s="14">
        <f t="shared" si="4"/>
        <v>805597.32215643814</v>
      </c>
      <c r="R24" s="14">
        <f>Q24*1.1</f>
        <v>886157.054372082</v>
      </c>
      <c r="S24" s="14">
        <f t="shared" ref="S24:U24" si="5">R24*1.1</f>
        <v>974772.75980929029</v>
      </c>
      <c r="T24" s="14">
        <f t="shared" si="5"/>
        <v>1072250.0357902194</v>
      </c>
      <c r="U24" s="14">
        <f t="shared" si="5"/>
        <v>1179475.0393692416</v>
      </c>
    </row>
    <row r="25" spans="1:21" x14ac:dyDescent="0.25">
      <c r="A25" s="6" t="s">
        <v>25</v>
      </c>
      <c r="C25" s="8">
        <v>256980</v>
      </c>
      <c r="D25" s="8">
        <v>313226</v>
      </c>
      <c r="E25" s="8">
        <v>379998</v>
      </c>
      <c r="F25" s="18"/>
      <c r="G25" s="21">
        <v>100061</v>
      </c>
      <c r="H25" s="28">
        <v>109703</v>
      </c>
      <c r="I25" s="43">
        <v>123714</v>
      </c>
      <c r="J25" s="14">
        <f>I25*1.2</f>
        <v>148456.79999999999</v>
      </c>
      <c r="K25" s="14">
        <f t="shared" ref="K25:M25" si="6">J25*1.2</f>
        <v>178148.15999999997</v>
      </c>
      <c r="L25" s="14">
        <f t="shared" si="6"/>
        <v>213777.79199999996</v>
      </c>
      <c r="M25" s="14">
        <f t="shared" si="6"/>
        <v>256533.35039999994</v>
      </c>
      <c r="N25" s="14">
        <f>M25*1.15</f>
        <v>295013.35295999993</v>
      </c>
      <c r="O25" s="14">
        <f t="shared" ref="O25:Q25" si="7">N25*1.15</f>
        <v>339265.35590399988</v>
      </c>
      <c r="P25" s="14">
        <f t="shared" si="7"/>
        <v>390155.1592895998</v>
      </c>
      <c r="Q25" s="14">
        <f t="shared" si="7"/>
        <v>448678.43318303971</v>
      </c>
      <c r="R25" s="14">
        <f>Q25*1.1</f>
        <v>493546.2765013437</v>
      </c>
      <c r="S25" s="14">
        <f t="shared" ref="S25:U25" si="8">R25*1.1</f>
        <v>542900.90415147808</v>
      </c>
      <c r="T25" s="14">
        <f t="shared" si="8"/>
        <v>597190.99456662592</v>
      </c>
      <c r="U25" s="14">
        <f t="shared" si="8"/>
        <v>656910.09402328858</v>
      </c>
    </row>
    <row r="26" spans="1:21" x14ac:dyDescent="0.25">
      <c r="A26" s="6" t="s">
        <v>26</v>
      </c>
      <c r="C26" s="8">
        <v>498534</v>
      </c>
      <c r="D26" s="8">
        <v>501618</v>
      </c>
      <c r="E26" s="8">
        <v>511011</v>
      </c>
      <c r="F26" s="18"/>
      <c r="G26" s="21">
        <v>145240</v>
      </c>
      <c r="H26" s="28">
        <v>145006</v>
      </c>
      <c r="I26" s="43">
        <v>148921</v>
      </c>
      <c r="J26" s="14">
        <f>I26*1.2</f>
        <v>178705.19999999998</v>
      </c>
      <c r="K26" s="14">
        <f t="shared" ref="K26:M26" si="9">J26*1.2</f>
        <v>214446.23999999996</v>
      </c>
      <c r="L26" s="14">
        <f t="shared" si="9"/>
        <v>257335.48799999995</v>
      </c>
      <c r="M26" s="14">
        <f t="shared" si="9"/>
        <v>308802.58559999993</v>
      </c>
      <c r="N26" s="14">
        <f>M26*1.15</f>
        <v>355122.97343999991</v>
      </c>
      <c r="O26" s="14">
        <f t="shared" ref="O26:Q26" si="10">N26*1.15</f>
        <v>408391.41945599986</v>
      </c>
      <c r="P26" s="14">
        <f t="shared" si="10"/>
        <v>469650.13237439981</v>
      </c>
      <c r="Q26" s="14">
        <f t="shared" si="10"/>
        <v>540097.65223055973</v>
      </c>
      <c r="R26" s="14">
        <f>Q26*1.1</f>
        <v>594107.41745361581</v>
      </c>
      <c r="S26" s="14">
        <f t="shared" ref="S26:U26" si="11">R26*1.1</f>
        <v>653518.1591989774</v>
      </c>
      <c r="T26" s="14">
        <f t="shared" si="11"/>
        <v>718869.97511887515</v>
      </c>
      <c r="U26" s="14">
        <f t="shared" si="11"/>
        <v>790756.97263076273</v>
      </c>
    </row>
    <row r="27" spans="1:21" x14ac:dyDescent="0.25">
      <c r="A27" s="6" t="s">
        <v>27</v>
      </c>
      <c r="C27" s="8">
        <v>0</v>
      </c>
      <c r="D27" s="8">
        <v>0</v>
      </c>
      <c r="E27" s="8">
        <v>247174</v>
      </c>
      <c r="F27" s="18"/>
      <c r="G27" s="22">
        <v>0</v>
      </c>
      <c r="H27" s="43">
        <v>0</v>
      </c>
      <c r="I27" s="43">
        <v>0</v>
      </c>
      <c r="J27" s="14">
        <f t="shared" ref="J27:M28" si="12">I27*1.15</f>
        <v>0</v>
      </c>
      <c r="K27" s="14">
        <f t="shared" si="12"/>
        <v>0</v>
      </c>
      <c r="L27" s="14">
        <f t="shared" si="12"/>
        <v>0</v>
      </c>
      <c r="M27" s="14">
        <f t="shared" si="12"/>
        <v>0</v>
      </c>
      <c r="N27" s="14">
        <f t="shared" ref="N27" si="13">M27*1.15</f>
        <v>0</v>
      </c>
      <c r="O27" s="14">
        <f t="shared" ref="O27:Q27" si="14">N27*1.15</f>
        <v>0</v>
      </c>
      <c r="P27" s="14">
        <f t="shared" si="14"/>
        <v>0</v>
      </c>
      <c r="Q27" s="14">
        <f t="shared" si="14"/>
        <v>0</v>
      </c>
      <c r="R27" s="14">
        <f t="shared" ref="R27:U27" si="15">Q27*1.15</f>
        <v>0</v>
      </c>
      <c r="S27" s="14">
        <f t="shared" si="15"/>
        <v>0</v>
      </c>
      <c r="T27" s="14">
        <f t="shared" si="15"/>
        <v>0</v>
      </c>
      <c r="U27" s="14">
        <f t="shared" si="15"/>
        <v>0</v>
      </c>
    </row>
    <row r="28" spans="1:21" x14ac:dyDescent="0.25">
      <c r="A28" s="6" t="s">
        <v>28</v>
      </c>
      <c r="C28" s="8">
        <v>7573</v>
      </c>
      <c r="D28" s="8">
        <v>54332</v>
      </c>
      <c r="E28" s="8">
        <v>54945</v>
      </c>
      <c r="F28" s="18"/>
      <c r="G28" s="22">
        <v>7182</v>
      </c>
      <c r="H28" s="31">
        <v>11640</v>
      </c>
      <c r="I28" s="43">
        <v>6013</v>
      </c>
      <c r="J28" s="14">
        <f>I28*1.2</f>
        <v>7215.5999999999995</v>
      </c>
      <c r="K28" s="14">
        <f>J28*1.2</f>
        <v>8658.7199999999993</v>
      </c>
      <c r="L28" s="14">
        <f t="shared" si="12"/>
        <v>9957.5279999999984</v>
      </c>
      <c r="M28" s="14">
        <f t="shared" si="12"/>
        <v>11451.157199999998</v>
      </c>
      <c r="N28" s="14">
        <f>M28*1.1</f>
        <v>12596.272919999999</v>
      </c>
      <c r="O28" s="14">
        <f t="shared" ref="O28:Q28" si="16">N28*1.1</f>
        <v>13855.900212</v>
      </c>
      <c r="P28" s="14">
        <f t="shared" si="16"/>
        <v>15241.490233200002</v>
      </c>
      <c r="Q28" s="14">
        <f t="shared" si="16"/>
        <v>16765.639256520004</v>
      </c>
      <c r="R28" s="14">
        <f>Q28*1.05</f>
        <v>17603.921219346004</v>
      </c>
      <c r="S28" s="14">
        <f t="shared" ref="S28:U28" si="17">R28*1.05</f>
        <v>18484.117280313305</v>
      </c>
      <c r="T28" s="14">
        <f t="shared" si="17"/>
        <v>19408.32314432897</v>
      </c>
      <c r="U28" s="14">
        <f t="shared" si="17"/>
        <v>20378.739301545418</v>
      </c>
    </row>
    <row r="29" spans="1:21" s="1" customFormat="1" x14ac:dyDescent="0.25">
      <c r="A29" s="41" t="s">
        <v>29</v>
      </c>
      <c r="B29" s="62"/>
      <c r="C29" s="63">
        <v>1466049</v>
      </c>
      <c r="D29" s="63">
        <v>1892256</v>
      </c>
      <c r="E29" s="63">
        <v>2423947</v>
      </c>
      <c r="F29" s="63"/>
      <c r="G29" s="63">
        <v>550769</v>
      </c>
      <c r="H29" s="63">
        <v>583278</v>
      </c>
      <c r="I29" s="63">
        <v>633266</v>
      </c>
      <c r="J29" s="64">
        <f>SUM(J23:J28)</f>
        <v>762713.47999999986</v>
      </c>
      <c r="K29" s="64">
        <f t="shared" ref="K29:M29" si="18">SUM(K23:K28)</f>
        <v>923778.72999999986</v>
      </c>
      <c r="L29" s="64">
        <f t="shared" si="18"/>
        <v>1124943.9676999997</v>
      </c>
      <c r="M29" s="64">
        <f t="shared" si="18"/>
        <v>1370302.2424089997</v>
      </c>
      <c r="N29" s="64">
        <f t="shared" ref="N29" si="19">SUM(N23:N28)</f>
        <v>1581933.2662228495</v>
      </c>
      <c r="O29" s="64">
        <f t="shared" ref="O29" si="20">SUM(O23:O28)</f>
        <v>1822488.5160180896</v>
      </c>
      <c r="P29" s="64">
        <f t="shared" ref="P29" si="21">SUM(P23:P28)</f>
        <v>2095168.9984102028</v>
      </c>
      <c r="Q29" s="64">
        <f t="shared" ref="Q29:R29" si="22">SUM(Q23:Q28)</f>
        <v>2408682.2736600731</v>
      </c>
      <c r="R29" s="64">
        <f t="shared" si="22"/>
        <v>2648712.2190632545</v>
      </c>
      <c r="S29" s="64">
        <f t="shared" ref="S29" si="23">SUM(S23:S28)</f>
        <v>2912703.2449086132</v>
      </c>
      <c r="T29" s="64">
        <f t="shared" ref="T29" si="24">SUM(T23:T28)</f>
        <v>3203049.3635354582</v>
      </c>
      <c r="U29" s="64">
        <f t="shared" ref="U29" si="25">SUM(U23:U28)</f>
        <v>3522383.883731789</v>
      </c>
    </row>
    <row r="30" spans="1:21" x14ac:dyDescent="0.25">
      <c r="A30" s="6" t="s">
        <v>30</v>
      </c>
      <c r="C30" s="8">
        <v>-481177</v>
      </c>
      <c r="D30" s="8">
        <v>-318721</v>
      </c>
      <c r="E30" s="8">
        <v>-301158</v>
      </c>
      <c r="F30" s="18"/>
      <c r="G30" s="22">
        <v>94226</v>
      </c>
      <c r="H30" s="31">
        <v>15340</v>
      </c>
      <c r="I30" s="43">
        <v>63855</v>
      </c>
      <c r="J30" s="14">
        <f>+J21-J29</f>
        <v>108687.77000000014</v>
      </c>
      <c r="K30" s="14">
        <f t="shared" ref="K30:M30" si="26">+K21-K29</f>
        <v>165472.83250000014</v>
      </c>
      <c r="L30" s="14">
        <f t="shared" si="26"/>
        <v>138587.84480000031</v>
      </c>
      <c r="M30" s="14">
        <f t="shared" si="26"/>
        <v>95394.660091000143</v>
      </c>
      <c r="N30" s="14">
        <f t="shared" ref="N30" si="27">+N21-N29</f>
        <v>103618.17165215011</v>
      </c>
      <c r="O30" s="14">
        <f t="shared" ref="O30" si="28">+O21-O29</f>
        <v>115895.63753815973</v>
      </c>
      <c r="P30" s="14">
        <f t="shared" ref="P30" si="29">+P21-P29</f>
        <v>133972.77817948372</v>
      </c>
      <c r="Q30" s="14">
        <f t="shared" ref="Q30:R30" si="30">+Q21-Q29</f>
        <v>132539.35165216913</v>
      </c>
      <c r="R30" s="14">
        <f t="shared" si="30"/>
        <v>222868.21753957868</v>
      </c>
      <c r="S30" s="14">
        <f t="shared" ref="S30" si="31">+S21-S29</f>
        <v>246035.23535450362</v>
      </c>
      <c r="T30" s="14">
        <f t="shared" ref="T30" si="32">+T21-T29</f>
        <v>239975.5799513394</v>
      </c>
      <c r="U30" s="14">
        <f t="shared" ref="U30" si="33">+U21-U29</f>
        <v>161652.80579908472</v>
      </c>
    </row>
    <row r="31" spans="1:21" x14ac:dyDescent="0.25">
      <c r="A31" s="6" t="s">
        <v>31</v>
      </c>
      <c r="C31" s="8">
        <v>-2760</v>
      </c>
      <c r="D31" s="8">
        <v>-1686</v>
      </c>
      <c r="E31" s="8">
        <v>416</v>
      </c>
      <c r="F31" s="18"/>
      <c r="G31" s="22">
        <v>-6183</v>
      </c>
      <c r="H31" s="31">
        <v>2064</v>
      </c>
      <c r="I31" s="43">
        <v>-3110</v>
      </c>
      <c r="J31" s="14">
        <f>I31*1.06</f>
        <v>-3296.6000000000004</v>
      </c>
      <c r="K31" s="14">
        <f t="shared" ref="K31:M31" si="34">J31*1.05</f>
        <v>-3461.4300000000007</v>
      </c>
      <c r="L31" s="14">
        <f t="shared" si="34"/>
        <v>-3634.5015000000008</v>
      </c>
      <c r="M31" s="14">
        <f t="shared" si="34"/>
        <v>-3816.226575000001</v>
      </c>
      <c r="N31" s="14">
        <f t="shared" ref="N31" si="35">M31*1.05</f>
        <v>-4007.0379037500011</v>
      </c>
      <c r="O31" s="14">
        <f t="shared" ref="O31:Q31" si="36">N31*1.05</f>
        <v>-4207.3897989375009</v>
      </c>
      <c r="P31" s="14">
        <f t="shared" si="36"/>
        <v>-4417.7592888843765</v>
      </c>
      <c r="Q31" s="14">
        <f t="shared" si="36"/>
        <v>-4638.6472533285951</v>
      </c>
      <c r="R31" s="14">
        <f t="shared" ref="R31:U31" si="37">Q31*1.05</f>
        <v>-4870.5796159950251</v>
      </c>
      <c r="S31" s="14">
        <f t="shared" si="37"/>
        <v>-5114.1085967947765</v>
      </c>
      <c r="T31" s="14">
        <f t="shared" si="37"/>
        <v>-5369.8140266345154</v>
      </c>
      <c r="U31" s="14">
        <f t="shared" si="37"/>
        <v>-5638.3047279662414</v>
      </c>
    </row>
    <row r="32" spans="1:21" x14ac:dyDescent="0.25">
      <c r="A32" s="6" t="s">
        <v>115</v>
      </c>
      <c r="C32" s="8">
        <v>-483937</v>
      </c>
      <c r="D32" s="8">
        <v>-320407</v>
      </c>
      <c r="E32" s="8">
        <v>-300742</v>
      </c>
      <c r="F32" s="18"/>
      <c r="G32" s="22">
        <v>88043</v>
      </c>
      <c r="H32" s="31">
        <v>17404</v>
      </c>
      <c r="I32" s="43">
        <v>60745</v>
      </c>
      <c r="J32" s="14">
        <f>SUM(J30:J31)</f>
        <v>105391.17000000013</v>
      </c>
      <c r="K32" s="14">
        <f t="shared" ref="K32:M32" si="38">SUM(K30:K31)</f>
        <v>162011.40250000014</v>
      </c>
      <c r="L32" s="14">
        <f t="shared" si="38"/>
        <v>134953.3433000003</v>
      </c>
      <c r="M32" s="14">
        <f t="shared" si="38"/>
        <v>91578.433516000136</v>
      </c>
      <c r="N32" s="14">
        <f t="shared" ref="N32" si="39">SUM(N30:N31)</f>
        <v>99611.133748400112</v>
      </c>
      <c r="O32" s="14">
        <f t="shared" ref="O32" si="40">SUM(O30:O31)</f>
        <v>111688.24773922224</v>
      </c>
      <c r="P32" s="14">
        <f t="shared" ref="P32" si="41">SUM(P30:P31)</f>
        <v>129555.01889059934</v>
      </c>
      <c r="Q32" s="14">
        <f t="shared" ref="Q32:R32" si="42">SUM(Q30:Q31)</f>
        <v>127900.70439884053</v>
      </c>
      <c r="R32" s="14">
        <f t="shared" si="42"/>
        <v>217997.63792358365</v>
      </c>
      <c r="S32" s="14">
        <f t="shared" ref="S32" si="43">SUM(S30:S31)</f>
        <v>240921.12675770884</v>
      </c>
      <c r="T32" s="14">
        <f t="shared" ref="T32" si="44">SUM(T30:T31)</f>
        <v>234605.76592470487</v>
      </c>
      <c r="U32" s="14">
        <f t="shared" ref="U32" si="45">SUM(U30:U31)</f>
        <v>156014.50107111849</v>
      </c>
    </row>
    <row r="33" spans="1:21" x14ac:dyDescent="0.25">
      <c r="A33" s="5" t="s">
        <v>32</v>
      </c>
      <c r="C33" s="6" t="s">
        <v>6</v>
      </c>
      <c r="D33" s="6" t="s">
        <v>6</v>
      </c>
      <c r="E33" s="6" t="s">
        <v>6</v>
      </c>
      <c r="F33" s="17"/>
      <c r="H33" s="30" t="s">
        <v>6</v>
      </c>
      <c r="I33" s="42" t="s">
        <v>6</v>
      </c>
    </row>
    <row r="34" spans="1:21" x14ac:dyDescent="0.25">
      <c r="A34" s="6" t="s">
        <v>33</v>
      </c>
      <c r="C34" s="8">
        <v>-1351</v>
      </c>
      <c r="D34" s="8">
        <v>-7260</v>
      </c>
      <c r="E34" s="8">
        <v>6410</v>
      </c>
      <c r="F34" s="18"/>
      <c r="G34" s="24">
        <v>-700</v>
      </c>
      <c r="H34" s="31">
        <v>741</v>
      </c>
      <c r="I34" s="43">
        <v>9029</v>
      </c>
    </row>
    <row r="35" spans="1:21" x14ac:dyDescent="0.25">
      <c r="A35" s="6" t="s">
        <v>34</v>
      </c>
      <c r="C35" s="8">
        <v>46</v>
      </c>
      <c r="D35" s="8">
        <v>435</v>
      </c>
      <c r="E35" s="8">
        <v>677</v>
      </c>
      <c r="F35" s="18"/>
      <c r="G35" s="24">
        <v>-179</v>
      </c>
      <c r="H35" s="31">
        <v>-136</v>
      </c>
      <c r="I35" s="43">
        <v>563</v>
      </c>
    </row>
    <row r="36" spans="1:21" x14ac:dyDescent="0.25">
      <c r="A36" s="6" t="s">
        <v>35</v>
      </c>
      <c r="C36" s="8">
        <v>-1305</v>
      </c>
      <c r="D36" s="8">
        <v>-6825</v>
      </c>
      <c r="E36" s="8">
        <v>7087</v>
      </c>
      <c r="F36" s="18"/>
      <c r="G36" s="24">
        <v>-879</v>
      </c>
      <c r="H36" s="31">
        <v>605</v>
      </c>
      <c r="I36" s="43">
        <v>9592</v>
      </c>
    </row>
    <row r="37" spans="1:21" x14ac:dyDescent="0.25">
      <c r="A37" s="6" t="s">
        <v>36</v>
      </c>
      <c r="C37" s="7">
        <v>-485242</v>
      </c>
      <c r="D37" s="7">
        <v>-327232</v>
      </c>
      <c r="E37" s="7">
        <v>-293655</v>
      </c>
      <c r="F37" s="19"/>
      <c r="G37" s="25">
        <v>87164</v>
      </c>
      <c r="H37" s="32">
        <v>18009</v>
      </c>
      <c r="I37" s="44">
        <v>70337</v>
      </c>
    </row>
    <row r="38" spans="1:21" x14ac:dyDescent="0.25">
      <c r="A38" s="5" t="s">
        <v>37</v>
      </c>
      <c r="C38" s="6" t="s">
        <v>6</v>
      </c>
      <c r="D38" s="6" t="s">
        <v>6</v>
      </c>
      <c r="E38" s="6" t="s">
        <v>6</v>
      </c>
      <c r="F38" s="17"/>
      <c r="G38" s="23" t="s">
        <v>6</v>
      </c>
      <c r="H38" s="30" t="s">
        <v>6</v>
      </c>
      <c r="I38" s="42" t="s">
        <v>6</v>
      </c>
    </row>
    <row r="39" spans="1:21" x14ac:dyDescent="0.25">
      <c r="A39" s="6" t="s">
        <v>38</v>
      </c>
      <c r="C39" s="7">
        <v>-1</v>
      </c>
      <c r="D39" s="9">
        <v>-0.4</v>
      </c>
      <c r="E39" s="9">
        <v>-0.36</v>
      </c>
      <c r="F39" s="20"/>
      <c r="G39" s="26">
        <v>0.08</v>
      </c>
      <c r="H39" s="33">
        <v>0.01</v>
      </c>
      <c r="I39" s="45">
        <v>0.06</v>
      </c>
      <c r="J39" s="65">
        <f>J32/J41</f>
        <v>1.3325807490398391</v>
      </c>
      <c r="K39" s="65">
        <f t="shared" ref="K39:U39" si="46">K32/K41</f>
        <v>2.0484949175196059</v>
      </c>
      <c r="L39" s="65">
        <f t="shared" si="46"/>
        <v>1.7063690183925724</v>
      </c>
      <c r="M39" s="65">
        <f t="shared" si="46"/>
        <v>1.157930569806241</v>
      </c>
      <c r="N39" s="65">
        <f t="shared" si="46"/>
        <v>1.2594971592321298</v>
      </c>
      <c r="O39" s="65">
        <f t="shared" si="46"/>
        <v>1.4122018840029928</v>
      </c>
      <c r="P39" s="65">
        <f t="shared" si="46"/>
        <v>1.6381118467050433</v>
      </c>
      <c r="Q39" s="65">
        <f t="shared" si="46"/>
        <v>1.6171944620268448</v>
      </c>
      <c r="R39" s="65">
        <f t="shared" si="46"/>
        <v>2.7563927379601574</v>
      </c>
      <c r="S39" s="65">
        <f t="shared" si="46"/>
        <v>3.0462405489407631</v>
      </c>
      <c r="T39" s="65">
        <f t="shared" si="46"/>
        <v>2.9663882399731212</v>
      </c>
      <c r="U39" s="65">
        <f t="shared" si="46"/>
        <v>1.9726692539652761</v>
      </c>
    </row>
    <row r="40" spans="1:21" x14ac:dyDescent="0.25">
      <c r="A40" s="6" t="s">
        <v>39</v>
      </c>
      <c r="C40" s="7">
        <v>-1</v>
      </c>
      <c r="D40" s="9">
        <v>-0.4</v>
      </c>
      <c r="E40" s="9">
        <v>-0.36</v>
      </c>
      <c r="F40" s="20"/>
      <c r="G40" s="26">
        <v>0.02</v>
      </c>
      <c r="H40" s="33">
        <v>0.01</v>
      </c>
      <c r="I40" s="45">
        <v>0.05</v>
      </c>
      <c r="J40" s="65">
        <f>J32/J42</f>
        <v>1.3325807490398391</v>
      </c>
      <c r="K40" s="65">
        <f t="shared" ref="K40:U40" si="47">K32/K42</f>
        <v>2.0484949175196059</v>
      </c>
      <c r="L40" s="65">
        <f t="shared" si="47"/>
        <v>1.7063690183925724</v>
      </c>
      <c r="M40" s="65">
        <f t="shared" si="47"/>
        <v>1.157930569806241</v>
      </c>
      <c r="N40" s="65">
        <f t="shared" si="47"/>
        <v>1.2594971592321298</v>
      </c>
      <c r="O40" s="65">
        <f t="shared" si="47"/>
        <v>1.4122018840029928</v>
      </c>
      <c r="P40" s="65">
        <f t="shared" si="47"/>
        <v>1.6381118467050433</v>
      </c>
      <c r="Q40" s="65">
        <f t="shared" si="47"/>
        <v>1.6171944620268448</v>
      </c>
      <c r="R40" s="65">
        <f t="shared" si="47"/>
        <v>2.7563927379601574</v>
      </c>
      <c r="S40" s="65">
        <f t="shared" si="47"/>
        <v>3.0462405489407631</v>
      </c>
      <c r="T40" s="65">
        <f t="shared" si="47"/>
        <v>2.9663882399731212</v>
      </c>
      <c r="U40" s="65">
        <f t="shared" si="47"/>
        <v>1.9726692539652761</v>
      </c>
    </row>
    <row r="41" spans="1:21" hidden="1" outlineLevel="1" x14ac:dyDescent="0.25">
      <c r="A41" s="6" t="s">
        <v>40</v>
      </c>
      <c r="C41" s="8">
        <v>526730261</v>
      </c>
      <c r="D41" s="8">
        <v>900886113</v>
      </c>
      <c r="E41" s="8">
        <v>945024160</v>
      </c>
      <c r="F41" s="18"/>
      <c r="G41" s="24">
        <v>982617492</v>
      </c>
      <c r="H41" s="31">
        <v>1058591943</v>
      </c>
      <c r="I41" s="43">
        <v>1071159746</v>
      </c>
      <c r="J41" s="80">
        <f>AVERAGE(C41:E41)*0.0001</f>
        <v>79088.017800000001</v>
      </c>
      <c r="K41" s="80">
        <f>+J41</f>
        <v>79088.017800000001</v>
      </c>
      <c r="L41" s="80">
        <f t="shared" ref="L41:U41" si="48">+K41</f>
        <v>79088.017800000001</v>
      </c>
      <c r="M41" s="80">
        <f t="shared" si="48"/>
        <v>79088.017800000001</v>
      </c>
      <c r="N41" s="80">
        <f t="shared" si="48"/>
        <v>79088.017800000001</v>
      </c>
      <c r="O41" s="80">
        <f t="shared" si="48"/>
        <v>79088.017800000001</v>
      </c>
      <c r="P41" s="80">
        <f t="shared" si="48"/>
        <v>79088.017800000001</v>
      </c>
      <c r="Q41" s="80">
        <f t="shared" si="48"/>
        <v>79088.017800000001</v>
      </c>
      <c r="R41" s="80">
        <f t="shared" si="48"/>
        <v>79088.017800000001</v>
      </c>
      <c r="S41" s="80">
        <f t="shared" si="48"/>
        <v>79088.017800000001</v>
      </c>
      <c r="T41" s="80">
        <f t="shared" si="48"/>
        <v>79088.017800000001</v>
      </c>
      <c r="U41" s="80">
        <f t="shared" si="48"/>
        <v>79088.017800000001</v>
      </c>
    </row>
    <row r="42" spans="1:21" hidden="1" outlineLevel="1" x14ac:dyDescent="0.25">
      <c r="A42" s="6" t="s">
        <v>41</v>
      </c>
      <c r="C42" s="8">
        <v>526730261</v>
      </c>
      <c r="D42" s="8">
        <v>900886113</v>
      </c>
      <c r="E42" s="8">
        <v>945024160</v>
      </c>
      <c r="F42" s="18"/>
      <c r="G42" s="24">
        <v>1042476501</v>
      </c>
      <c r="H42" s="31">
        <v>1065171357</v>
      </c>
      <c r="I42" s="43">
        <v>1104450416</v>
      </c>
      <c r="J42" s="80">
        <f>AVERAGE(C42:E42)*0.0001</f>
        <v>79088.017800000001</v>
      </c>
      <c r="K42" s="80">
        <f>+J42</f>
        <v>79088.017800000001</v>
      </c>
      <c r="L42" s="80">
        <f t="shared" ref="L42:U42" si="49">+K42</f>
        <v>79088.017800000001</v>
      </c>
      <c r="M42" s="80">
        <f t="shared" si="49"/>
        <v>79088.017800000001</v>
      </c>
      <c r="N42" s="80">
        <f t="shared" si="49"/>
        <v>79088.017800000001</v>
      </c>
      <c r="O42" s="80">
        <f t="shared" si="49"/>
        <v>79088.017800000001</v>
      </c>
      <c r="P42" s="80">
        <f t="shared" si="49"/>
        <v>79088.017800000001</v>
      </c>
      <c r="Q42" s="80">
        <f t="shared" si="49"/>
        <v>79088.017800000001</v>
      </c>
      <c r="R42" s="80">
        <f t="shared" si="49"/>
        <v>79088.017800000001</v>
      </c>
      <c r="S42" s="80">
        <f t="shared" si="49"/>
        <v>79088.017800000001</v>
      </c>
      <c r="T42" s="80">
        <f t="shared" si="49"/>
        <v>79088.017800000001</v>
      </c>
      <c r="U42" s="80">
        <f t="shared" si="49"/>
        <v>79088.017800000001</v>
      </c>
    </row>
    <row r="43" spans="1:21" collapsed="1" x14ac:dyDescent="0.25"/>
    <row r="44" spans="1:21" s="38" customFormat="1" x14ac:dyDescent="0.25">
      <c r="B44" s="53"/>
      <c r="C44" s="56" t="s">
        <v>101</v>
      </c>
      <c r="D44" s="46"/>
      <c r="E44" s="46"/>
      <c r="G44" s="46" t="s">
        <v>102</v>
      </c>
      <c r="H44" s="46"/>
      <c r="I44" s="46"/>
    </row>
    <row r="45" spans="1:21" hidden="1" outlineLevel="1" x14ac:dyDescent="0.25">
      <c r="A45" s="54" t="s">
        <v>90</v>
      </c>
      <c r="C45" s="60"/>
      <c r="D45" s="58">
        <f>(D21-C21)/C21</f>
        <v>0.59770508248787657</v>
      </c>
      <c r="E45" s="58">
        <f>(E21-D21)/D21</f>
        <v>0.34905737717940816</v>
      </c>
      <c r="G45" s="61"/>
      <c r="H45" s="58">
        <f>(H21-G21)/G21</f>
        <v>-7.190288296808503E-2</v>
      </c>
      <c r="I45" s="58">
        <f>(I21-H21)/H21</f>
        <v>0.16455068173693407</v>
      </c>
      <c r="J45" s="58">
        <f t="shared" ref="J45:U45" si="50">(J21-I21)/I21</f>
        <v>0.25</v>
      </c>
      <c r="K45" s="58">
        <f t="shared" si="50"/>
        <v>0.25</v>
      </c>
      <c r="L45" s="58">
        <f t="shared" si="50"/>
        <v>0.16</v>
      </c>
      <c r="M45" s="58">
        <f t="shared" si="50"/>
        <v>0.15999999999999989</v>
      </c>
      <c r="N45" s="58">
        <f t="shared" si="50"/>
        <v>0.14999999999999983</v>
      </c>
      <c r="O45" s="58">
        <f t="shared" si="50"/>
        <v>0.14999999999999988</v>
      </c>
      <c r="P45" s="58">
        <f t="shared" si="50"/>
        <v>0.14999999999999988</v>
      </c>
      <c r="Q45" s="58">
        <f t="shared" si="50"/>
        <v>0.13999999999999979</v>
      </c>
      <c r="R45" s="58">
        <f t="shared" si="50"/>
        <v>0.12999999999999981</v>
      </c>
      <c r="S45" s="58">
        <f t="shared" si="50"/>
        <v>0.10000000000000007</v>
      </c>
      <c r="T45" s="58">
        <f t="shared" si="50"/>
        <v>9.0000000000000108E-2</v>
      </c>
      <c r="U45" s="58">
        <f t="shared" si="50"/>
        <v>7.0000000000000062E-2</v>
      </c>
    </row>
    <row r="46" spans="1:21" hidden="1" outlineLevel="1" x14ac:dyDescent="0.25">
      <c r="A46" s="55" t="s">
        <v>91</v>
      </c>
      <c r="C46" s="60"/>
      <c r="D46" s="58">
        <f>(D25-C25)/C25</f>
        <v>0.21887306405167717</v>
      </c>
      <c r="E46" s="58">
        <f>(E25-D25)/D25</f>
        <v>0.21317515148806293</v>
      </c>
      <c r="F46" s="58"/>
      <c r="G46" s="61"/>
      <c r="H46" s="58">
        <f>(H25-G25)/G25</f>
        <v>9.6361219656009828E-2</v>
      </c>
      <c r="I46" s="58">
        <f>(I25-H25)/H25</f>
        <v>0.12771756469741027</v>
      </c>
      <c r="J46" s="58">
        <f t="shared" ref="J46:U46" si="51">(J25-I25)/I25</f>
        <v>0.1999999999999999</v>
      </c>
      <c r="K46" s="58">
        <f t="shared" si="51"/>
        <v>0.19999999999999993</v>
      </c>
      <c r="L46" s="58">
        <f t="shared" si="51"/>
        <v>0.19999999999999993</v>
      </c>
      <c r="M46" s="58">
        <f t="shared" si="51"/>
        <v>0.19999999999999996</v>
      </c>
      <c r="N46" s="58">
        <f t="shared" si="51"/>
        <v>0.15000000000000002</v>
      </c>
      <c r="O46" s="58">
        <f t="shared" si="51"/>
        <v>0.14999999999999986</v>
      </c>
      <c r="P46" s="58">
        <f t="shared" si="51"/>
        <v>0.14999999999999983</v>
      </c>
      <c r="Q46" s="58">
        <f t="shared" si="51"/>
        <v>0.14999999999999986</v>
      </c>
      <c r="R46" s="58">
        <f t="shared" si="51"/>
        <v>0.10000000000000003</v>
      </c>
      <c r="S46" s="58">
        <f t="shared" si="51"/>
        <v>0.10000000000000002</v>
      </c>
      <c r="T46" s="58">
        <f t="shared" si="51"/>
        <v>0.10000000000000005</v>
      </c>
      <c r="U46" s="58">
        <f t="shared" si="51"/>
        <v>0.10000000000000012</v>
      </c>
    </row>
    <row r="47" spans="1:21" hidden="1" outlineLevel="1" x14ac:dyDescent="0.25">
      <c r="A47" s="55" t="s">
        <v>92</v>
      </c>
      <c r="C47" s="60"/>
      <c r="D47" s="59">
        <f>D21-D25</f>
        <v>1260309</v>
      </c>
      <c r="E47" s="59">
        <f>E21-E25</f>
        <v>1742791</v>
      </c>
      <c r="G47" s="60"/>
      <c r="H47" s="59">
        <f>H21-H25</f>
        <v>488915</v>
      </c>
      <c r="I47" s="59">
        <f>I21-I25</f>
        <v>573407</v>
      </c>
      <c r="J47" s="59">
        <f t="shared" ref="J47:U47" si="52">J21-J25</f>
        <v>722944.45</v>
      </c>
      <c r="K47" s="59">
        <f t="shared" si="52"/>
        <v>911103.40250000008</v>
      </c>
      <c r="L47" s="59">
        <f t="shared" si="52"/>
        <v>1049754.0205000001</v>
      </c>
      <c r="M47" s="59">
        <f t="shared" si="52"/>
        <v>1209163.5521</v>
      </c>
      <c r="N47" s="59">
        <f t="shared" si="52"/>
        <v>1390538.0849149995</v>
      </c>
      <c r="O47" s="59">
        <f t="shared" si="52"/>
        <v>1599118.7976522495</v>
      </c>
      <c r="P47" s="59">
        <f t="shared" si="52"/>
        <v>1838986.6173000867</v>
      </c>
      <c r="Q47" s="59">
        <f t="shared" si="52"/>
        <v>2092543.1921292024</v>
      </c>
      <c r="R47" s="59">
        <f t="shared" si="52"/>
        <v>2378034.1601014896</v>
      </c>
      <c r="S47" s="59">
        <f t="shared" si="52"/>
        <v>2615837.5761116389</v>
      </c>
      <c r="T47" s="59">
        <f t="shared" si="52"/>
        <v>2845833.9489201717</v>
      </c>
      <c r="U47" s="59">
        <f t="shared" si="52"/>
        <v>3027126.595507585</v>
      </c>
    </row>
    <row r="48" spans="1:21" hidden="1" outlineLevel="1" x14ac:dyDescent="0.25">
      <c r="A48" s="55" t="s">
        <v>93</v>
      </c>
      <c r="C48" s="60"/>
      <c r="D48" s="58">
        <f>(D23-C23)/C23</f>
        <v>0.46785976884098129</v>
      </c>
      <c r="E48" s="58">
        <f>(E23-D23)/D23</f>
        <v>0.26196216228220609</v>
      </c>
      <c r="F48" s="58"/>
      <c r="G48" s="61"/>
      <c r="H48" s="58">
        <f>(H23-G23)/G23</f>
        <v>9.5249007027192172E-3</v>
      </c>
      <c r="I48" s="58">
        <f>(I23-H23)/H23</f>
        <v>5.7101999742749703E-2</v>
      </c>
      <c r="J48" s="58">
        <f t="shared" ref="J48:U48" si="53">(J23-I23)/I23</f>
        <v>0.21999999999999992</v>
      </c>
      <c r="K48" s="58">
        <f t="shared" si="53"/>
        <v>0.24999999999999994</v>
      </c>
      <c r="L48" s="58">
        <f t="shared" si="53"/>
        <v>0.25000000000000011</v>
      </c>
      <c r="M48" s="58">
        <f t="shared" si="53"/>
        <v>0.25</v>
      </c>
      <c r="N48" s="58">
        <f t="shared" si="53"/>
        <v>0.16999999999999996</v>
      </c>
      <c r="O48" s="58">
        <f t="shared" si="53"/>
        <v>0.15999999999999984</v>
      </c>
      <c r="P48" s="58">
        <f t="shared" si="53"/>
        <v>0.14999999999999991</v>
      </c>
      <c r="Q48" s="58">
        <f t="shared" si="53"/>
        <v>0.14999999999999994</v>
      </c>
      <c r="R48" s="58">
        <f t="shared" si="53"/>
        <v>0.10000000000000006</v>
      </c>
      <c r="S48" s="58">
        <f t="shared" si="53"/>
        <v>0.10000000000000002</v>
      </c>
      <c r="T48" s="58">
        <f t="shared" si="53"/>
        <v>0.10000000000000006</v>
      </c>
      <c r="U48" s="58">
        <f t="shared" si="53"/>
        <v>0.10000000000000013</v>
      </c>
    </row>
    <row r="49" spans="1:21" hidden="1" outlineLevel="1" x14ac:dyDescent="0.25">
      <c r="A49" s="55" t="s">
        <v>94</v>
      </c>
      <c r="C49" s="60"/>
      <c r="D49" s="58">
        <f>(D26-C26)/C26</f>
        <v>6.1861377559002994E-3</v>
      </c>
      <c r="E49" s="58">
        <f t="shared" ref="E49:I49" si="54">(E26-D26)/D26</f>
        <v>1.872540459074435E-2</v>
      </c>
      <c r="F49" s="58"/>
      <c r="G49" s="61"/>
      <c r="H49" s="58">
        <f t="shared" si="54"/>
        <v>-1.611126411456899E-3</v>
      </c>
      <c r="I49" s="58">
        <f t="shared" si="54"/>
        <v>2.6998882804849453E-2</v>
      </c>
      <c r="J49" s="58">
        <f t="shared" ref="J49:U49" si="55">(J26-I26)/I26</f>
        <v>0.19999999999999987</v>
      </c>
      <c r="K49" s="58">
        <f t="shared" si="55"/>
        <v>0.1999999999999999</v>
      </c>
      <c r="L49" s="58">
        <f t="shared" si="55"/>
        <v>0.2</v>
      </c>
      <c r="M49" s="58">
        <f t="shared" si="55"/>
        <v>0.19999999999999996</v>
      </c>
      <c r="N49" s="58">
        <f t="shared" si="55"/>
        <v>0.14999999999999997</v>
      </c>
      <c r="O49" s="58">
        <f t="shared" si="55"/>
        <v>0.14999999999999988</v>
      </c>
      <c r="P49" s="58">
        <f t="shared" si="55"/>
        <v>0.14999999999999994</v>
      </c>
      <c r="Q49" s="58">
        <f t="shared" si="55"/>
        <v>0.14999999999999991</v>
      </c>
      <c r="R49" s="58">
        <f t="shared" si="55"/>
        <v>0.1000000000000002</v>
      </c>
      <c r="S49" s="58">
        <f t="shared" si="55"/>
        <v>0.10000000000000002</v>
      </c>
      <c r="T49" s="58">
        <f t="shared" si="55"/>
        <v>0.10000000000000002</v>
      </c>
      <c r="U49" s="58">
        <f t="shared" si="55"/>
        <v>0.10000000000000007</v>
      </c>
    </row>
    <row r="50" spans="1:21" hidden="1" outlineLevel="1" x14ac:dyDescent="0.25">
      <c r="A50" s="55" t="s">
        <v>95</v>
      </c>
    </row>
    <row r="51" spans="1:21" hidden="1" outlineLevel="1" x14ac:dyDescent="0.25">
      <c r="A51" s="55" t="s">
        <v>96</v>
      </c>
    </row>
    <row r="52" spans="1:21" hidden="1" outlineLevel="1" x14ac:dyDescent="0.25">
      <c r="A52" s="55" t="s">
        <v>97</v>
      </c>
    </row>
    <row r="53" spans="1:21" hidden="1" outlineLevel="1" x14ac:dyDescent="0.25">
      <c r="A53" s="55" t="s">
        <v>98</v>
      </c>
      <c r="C53" s="60"/>
      <c r="D53" s="58">
        <f>(D30-C30)/C30</f>
        <v>-0.33762212242064771</v>
      </c>
      <c r="E53" s="58">
        <f>(E30-D30)/D30</f>
        <v>-5.5104621283191255E-2</v>
      </c>
      <c r="F53" s="58"/>
      <c r="G53" s="61"/>
      <c r="H53" s="58">
        <f>(H30-G30)/G30</f>
        <v>-0.83719992358796935</v>
      </c>
      <c r="I53" s="58">
        <f>(I30-H30)/H30</f>
        <v>3.1626466753585398</v>
      </c>
      <c r="J53" s="58">
        <f t="shared" ref="J53:U53" si="56">(J30-I30)/I30</f>
        <v>0.70210273275389767</v>
      </c>
      <c r="K53" s="58">
        <f t="shared" si="56"/>
        <v>0.52246046174284311</v>
      </c>
      <c r="L53" s="58">
        <f t="shared" si="56"/>
        <v>-0.16247372631395429</v>
      </c>
      <c r="M53" s="58">
        <f t="shared" si="56"/>
        <v>-0.31166647241923245</v>
      </c>
      <c r="N53" s="58">
        <f t="shared" si="56"/>
        <v>8.6205156067491434E-2</v>
      </c>
      <c r="O53" s="58">
        <f t="shared" si="56"/>
        <v>0.11848757500977256</v>
      </c>
      <c r="P53" s="58">
        <f t="shared" si="56"/>
        <v>0.15597774882054485</v>
      </c>
      <c r="Q53" s="58">
        <f t="shared" si="56"/>
        <v>-1.069938644844866E-2</v>
      </c>
      <c r="R53" s="58">
        <f t="shared" si="56"/>
        <v>0.68152488118747501</v>
      </c>
      <c r="S53" s="58">
        <f t="shared" si="56"/>
        <v>0.10394940144756513</v>
      </c>
      <c r="T53" s="58">
        <f t="shared" si="56"/>
        <v>-2.4629217820907108E-2</v>
      </c>
      <c r="U53" s="58">
        <f t="shared" si="56"/>
        <v>-0.32637810133904643</v>
      </c>
    </row>
    <row r="54" spans="1:21" hidden="1" outlineLevel="1" x14ac:dyDescent="0.25">
      <c r="A54" s="55" t="s">
        <v>99</v>
      </c>
      <c r="C54" s="60"/>
      <c r="D54" s="58">
        <f>(D31-C31)/C31</f>
        <v>-0.38913043478260867</v>
      </c>
      <c r="E54" s="58">
        <f>(E31-D31)/D31</f>
        <v>-1.246737841043891</v>
      </c>
      <c r="F54" s="58"/>
      <c r="G54" s="61"/>
      <c r="H54" s="58">
        <f>(H31-G31)/G31</f>
        <v>-1.3338185346918972</v>
      </c>
      <c r="I54" s="58">
        <f>(I31-H31)/H31</f>
        <v>-2.5067829457364339</v>
      </c>
      <c r="J54" s="58">
        <f t="shared" ref="J54:U54" si="57">(J31-I31)/I31</f>
        <v>6.0000000000000116E-2</v>
      </c>
      <c r="K54" s="58">
        <f t="shared" si="57"/>
        <v>5.0000000000000114E-2</v>
      </c>
      <c r="L54" s="58">
        <f t="shared" si="57"/>
        <v>4.9999999999999996E-2</v>
      </c>
      <c r="M54" s="58">
        <f t="shared" si="57"/>
        <v>5.0000000000000072E-2</v>
      </c>
      <c r="N54" s="58">
        <f t="shared" si="57"/>
        <v>4.9999999999999996E-2</v>
      </c>
      <c r="O54" s="58">
        <f t="shared" si="57"/>
        <v>4.9999999999999947E-2</v>
      </c>
      <c r="P54" s="58">
        <f t="shared" si="57"/>
        <v>5.0000000000000121E-2</v>
      </c>
      <c r="Q54" s="58">
        <f t="shared" si="57"/>
        <v>4.9999999999999947E-2</v>
      </c>
      <c r="R54" s="58">
        <f t="shared" si="57"/>
        <v>5.0000000000000051E-2</v>
      </c>
      <c r="S54" s="58">
        <f t="shared" si="57"/>
        <v>5.0000000000000044E-2</v>
      </c>
      <c r="T54" s="58">
        <f t="shared" si="57"/>
        <v>0.05</v>
      </c>
      <c r="U54" s="58">
        <f t="shared" si="57"/>
        <v>5.0000000000000058E-2</v>
      </c>
    </row>
    <row r="55" spans="1:21" hidden="1" outlineLevel="1" x14ac:dyDescent="0.25">
      <c r="A55" s="55" t="s">
        <v>100</v>
      </c>
      <c r="C55" s="60"/>
      <c r="D55" s="58">
        <f>(D32-C32)/C32</f>
        <v>-0.33791588574545861</v>
      </c>
      <c r="E55" s="58">
        <f>(E32-D32)/D32</f>
        <v>-6.1375063590995205E-2</v>
      </c>
      <c r="F55" s="58"/>
      <c r="G55" s="61"/>
      <c r="H55" s="58">
        <f>(H32-G32)/G32</f>
        <v>-0.80232386447531323</v>
      </c>
      <c r="I55" s="58">
        <f>(I32-H32)/H32</f>
        <v>2.4902895886003216</v>
      </c>
      <c r="J55" s="58">
        <f t="shared" ref="J55:U55" si="58">(J32-I32)/I32</f>
        <v>0.73497687052432514</v>
      </c>
      <c r="K55" s="58">
        <f t="shared" si="58"/>
        <v>0.53723886450828795</v>
      </c>
      <c r="L55" s="58">
        <f t="shared" si="58"/>
        <v>-0.16701330142487852</v>
      </c>
      <c r="M55" s="58">
        <f t="shared" si="58"/>
        <v>-0.32140670785441794</v>
      </c>
      <c r="N55" s="58">
        <f t="shared" si="58"/>
        <v>8.7713885507733028E-2</v>
      </c>
      <c r="O55" s="58">
        <f t="shared" si="58"/>
        <v>0.12124261150693004</v>
      </c>
      <c r="P55" s="58">
        <f t="shared" si="58"/>
        <v>0.15997001934432467</v>
      </c>
      <c r="Q55" s="58">
        <f t="shared" si="58"/>
        <v>-1.2769204203163803E-2</v>
      </c>
      <c r="R55" s="58">
        <f t="shared" si="58"/>
        <v>0.70442875157112794</v>
      </c>
      <c r="S55" s="58">
        <f t="shared" si="58"/>
        <v>0.10515475787935251</v>
      </c>
      <c r="T55" s="58">
        <f t="shared" si="58"/>
        <v>-2.6213395719982855E-2</v>
      </c>
      <c r="U55" s="58">
        <f t="shared" si="58"/>
        <v>-0.33499289560858331</v>
      </c>
    </row>
    <row r="56" spans="1:21" ht="15.75" collapsed="1" thickBot="1" x14ac:dyDescent="0.3">
      <c r="A56" s="38"/>
    </row>
    <row r="57" spans="1:21" x14ac:dyDescent="0.25">
      <c r="S57" s="71" t="s">
        <v>123</v>
      </c>
      <c r="T57" s="66"/>
      <c r="U57" s="74">
        <f>U32*(1+0.045)/(0.25-0.045)</f>
        <v>795293.43228936009</v>
      </c>
    </row>
    <row r="58" spans="1:21" x14ac:dyDescent="0.25">
      <c r="S58" s="75" t="s">
        <v>116</v>
      </c>
      <c r="T58" s="67"/>
      <c r="U58" s="76">
        <f>SUM(U57,U32)</f>
        <v>951307.93336047861</v>
      </c>
    </row>
    <row r="59" spans="1:21" x14ac:dyDescent="0.25">
      <c r="S59" s="75"/>
      <c r="T59" s="67"/>
      <c r="U59" s="70"/>
    </row>
    <row r="60" spans="1:21" x14ac:dyDescent="0.25">
      <c r="S60" s="75" t="s">
        <v>117</v>
      </c>
      <c r="T60" s="67"/>
      <c r="U60" s="72">
        <f>NPV(0.15,J32:U32,U58)</f>
        <v>899290.25153443974</v>
      </c>
    </row>
    <row r="61" spans="1:21" x14ac:dyDescent="0.25">
      <c r="S61" s="75" t="s">
        <v>118</v>
      </c>
      <c r="T61" s="67"/>
      <c r="U61" s="77">
        <f>'Sofi - Main'!C5</f>
        <v>2354965</v>
      </c>
    </row>
    <row r="62" spans="1:21" x14ac:dyDescent="0.25">
      <c r="S62" s="75" t="s">
        <v>119</v>
      </c>
      <c r="T62" s="67"/>
      <c r="U62" s="77">
        <f>'Sofi - Main'!C6</f>
        <v>3180863</v>
      </c>
    </row>
    <row r="63" spans="1:21" x14ac:dyDescent="0.25">
      <c r="S63" s="75" t="s">
        <v>120</v>
      </c>
      <c r="T63" s="67"/>
      <c r="U63" s="72">
        <f>U60+U61-U62</f>
        <v>73392.251534439623</v>
      </c>
    </row>
    <row r="64" spans="1:21" x14ac:dyDescent="0.25">
      <c r="S64" s="75" t="s">
        <v>121</v>
      </c>
      <c r="T64" s="67"/>
      <c r="U64" s="77">
        <f>'Sofi - Main'!C3</f>
        <v>1070</v>
      </c>
    </row>
    <row r="65" spans="19:22" x14ac:dyDescent="0.25">
      <c r="S65" s="75" t="s">
        <v>122</v>
      </c>
      <c r="T65" s="67"/>
      <c r="U65" s="70">
        <f>U63/U64</f>
        <v>68.590889284523016</v>
      </c>
      <c r="V65" t="s">
        <v>124</v>
      </c>
    </row>
    <row r="66" spans="19:22" ht="15.75" thickBot="1" x14ac:dyDescent="0.3">
      <c r="S66" s="78" t="s">
        <v>103</v>
      </c>
      <c r="T66" s="79"/>
      <c r="U66" s="73">
        <f>U65/'Sofi - Main'!C2-1</f>
        <v>3.3968518772130141</v>
      </c>
    </row>
    <row r="67" spans="19:22" x14ac:dyDescent="0.25">
      <c r="T67" t="s">
        <v>128</v>
      </c>
      <c r="U67">
        <f>U66/5</f>
        <v>0.67937037544260281</v>
      </c>
    </row>
    <row r="68" spans="19:22" x14ac:dyDescent="0.25">
      <c r="V68" s="57"/>
    </row>
  </sheetData>
  <mergeCells count="5">
    <mergeCell ref="A1:A2"/>
    <mergeCell ref="C1:E1"/>
    <mergeCell ref="G1:I1"/>
    <mergeCell ref="C44:E44"/>
    <mergeCell ref="G44:I44"/>
  </mergeCells>
  <conditionalFormatting sqref="U6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67D3-D112-4D84-A457-3DE9EFE90FA1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C98C-18AA-47C5-BF71-1C6492FC9046}">
  <sheetPr>
    <tabColor theme="8" tint="0.79998168889431442"/>
  </sheetPr>
  <dimension ref="N33:AA42"/>
  <sheetViews>
    <sheetView topLeftCell="A10" workbookViewId="0">
      <selection activeCell="B5" sqref="B5"/>
    </sheetView>
  </sheetViews>
  <sheetFormatPr defaultRowHeight="15" x14ac:dyDescent="0.25"/>
  <sheetData>
    <row r="33" spans="14:27" x14ac:dyDescent="0.25">
      <c r="X33" t="s">
        <v>125</v>
      </c>
    </row>
    <row r="39" spans="14:27" ht="15.75" thickBot="1" x14ac:dyDescent="0.3"/>
    <row r="40" spans="14:27" x14ac:dyDescent="0.25">
      <c r="N40" s="71" t="s">
        <v>127</v>
      </c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9"/>
    </row>
    <row r="41" spans="14:27" x14ac:dyDescent="0.25">
      <c r="N41" s="81" t="s">
        <v>126</v>
      </c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70"/>
    </row>
    <row r="42" spans="14:27" ht="15.75" thickBot="1" x14ac:dyDescent="0.3">
      <c r="N42" s="83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84"/>
    </row>
  </sheetData>
  <hyperlinks>
    <hyperlink ref="N41" r:id="rId1" xr:uid="{697E6BAE-AB89-40CB-A7F7-EF0F04FF762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8249-14B7-4C4D-9449-D721180CB1DE}">
  <sheetPr>
    <tabColor theme="8" tint="0.79998168889431442"/>
  </sheetPr>
  <dimension ref="A1"/>
  <sheetViews>
    <sheetView topLeftCell="B52"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9539-1085-40B8-9D3C-CBAAE1D5FDC6}">
  <sheetPr>
    <tabColor theme="8" tint="0.79998168889431442"/>
  </sheetPr>
  <dimension ref="B2:B3"/>
  <sheetViews>
    <sheetView workbookViewId="0">
      <selection activeCell="B5" sqref="B5"/>
    </sheetView>
  </sheetViews>
  <sheetFormatPr defaultRowHeight="15" x14ac:dyDescent="0.25"/>
  <sheetData>
    <row r="2" spans="2:2" x14ac:dyDescent="0.25">
      <c r="B2" s="68" t="s">
        <v>127</v>
      </c>
    </row>
    <row r="3" spans="2:2" x14ac:dyDescent="0.25">
      <c r="B3" s="12" t="s">
        <v>129</v>
      </c>
    </row>
  </sheetData>
  <hyperlinks>
    <hyperlink ref="B3" r:id="rId1" xr:uid="{1D411CC7-D16F-4D78-B53C-094DBE4995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DB72-C8EE-40C4-B408-B36C98A39080}">
  <sheetPr>
    <tabColor theme="0" tint="-0.249977111117893"/>
  </sheetPr>
  <dimension ref="A1:D47"/>
  <sheetViews>
    <sheetView workbookViewId="0">
      <selection activeCell="A32" sqref="A32"/>
    </sheetView>
  </sheetViews>
  <sheetFormatPr defaultRowHeight="15" x14ac:dyDescent="0.25"/>
  <cols>
    <col min="1" max="1" width="80" style="38" customWidth="1"/>
    <col min="2" max="2" width="13" style="38" customWidth="1"/>
    <col min="3" max="4" width="14" style="38" customWidth="1"/>
    <col min="5" max="16384" width="9.140625" style="38"/>
  </cols>
  <sheetData>
    <row r="1" spans="1:4" x14ac:dyDescent="0.25">
      <c r="A1" s="2" t="s">
        <v>104</v>
      </c>
      <c r="B1" s="3"/>
      <c r="C1" s="40" t="s">
        <v>105</v>
      </c>
      <c r="D1" s="40" t="s">
        <v>2</v>
      </c>
    </row>
    <row r="2" spans="1:4" x14ac:dyDescent="0.25">
      <c r="A2" s="41" t="s">
        <v>43</v>
      </c>
      <c r="C2" s="42" t="s">
        <v>6</v>
      </c>
      <c r="D2" s="42" t="s">
        <v>6</v>
      </c>
    </row>
    <row r="3" spans="1:4" x14ac:dyDescent="0.25">
      <c r="A3" s="42" t="s">
        <v>44</v>
      </c>
      <c r="C3" s="44">
        <v>2354965</v>
      </c>
      <c r="D3" s="44">
        <v>3085020</v>
      </c>
    </row>
    <row r="4" spans="1:4" x14ac:dyDescent="0.25">
      <c r="A4" s="42" t="s">
        <v>45</v>
      </c>
      <c r="C4" s="43">
        <v>614794</v>
      </c>
      <c r="D4" s="43">
        <v>530558</v>
      </c>
    </row>
    <row r="5" spans="1:4" ht="45" x14ac:dyDescent="0.25">
      <c r="A5" s="42" t="s">
        <v>106</v>
      </c>
      <c r="C5" s="43">
        <v>1554285</v>
      </c>
      <c r="D5" s="43">
        <v>701935</v>
      </c>
    </row>
    <row r="6" spans="1:4" x14ac:dyDescent="0.25">
      <c r="A6" s="42" t="s">
        <v>47</v>
      </c>
      <c r="C6" s="43">
        <v>17324514</v>
      </c>
      <c r="D6" s="43">
        <v>15396771</v>
      </c>
    </row>
    <row r="7" spans="1:4" x14ac:dyDescent="0.25">
      <c r="A7" s="42" t="s">
        <v>48</v>
      </c>
      <c r="C7" s="43">
        <v>7876667</v>
      </c>
      <c r="D7" s="43">
        <v>6725484</v>
      </c>
    </row>
    <row r="8" spans="1:4" ht="30" x14ac:dyDescent="0.25">
      <c r="A8" s="42" t="s">
        <v>107</v>
      </c>
      <c r="C8" s="43">
        <v>1417262</v>
      </c>
      <c r="D8" s="43">
        <v>836159</v>
      </c>
    </row>
    <row r="9" spans="1:4" x14ac:dyDescent="0.25">
      <c r="A9" s="42" t="s">
        <v>50</v>
      </c>
      <c r="C9" s="43">
        <v>296127</v>
      </c>
      <c r="D9" s="43">
        <v>180469</v>
      </c>
    </row>
    <row r="10" spans="1:4" x14ac:dyDescent="0.25">
      <c r="A10" s="42" t="s">
        <v>51</v>
      </c>
      <c r="C10" s="43">
        <v>266226</v>
      </c>
      <c r="D10" s="43">
        <v>216908</v>
      </c>
    </row>
    <row r="11" spans="1:4" x14ac:dyDescent="0.25">
      <c r="A11" s="42" t="s">
        <v>52</v>
      </c>
      <c r="C11" s="43">
        <v>1393505</v>
      </c>
      <c r="D11" s="43">
        <v>1393505</v>
      </c>
    </row>
    <row r="12" spans="1:4" x14ac:dyDescent="0.25">
      <c r="A12" s="42" t="s">
        <v>53</v>
      </c>
      <c r="C12" s="43">
        <v>314959</v>
      </c>
      <c r="D12" s="43">
        <v>364048</v>
      </c>
    </row>
    <row r="13" spans="1:4" x14ac:dyDescent="0.25">
      <c r="A13" s="42" t="s">
        <v>54</v>
      </c>
      <c r="C13" s="43">
        <v>84149</v>
      </c>
      <c r="D13" s="43">
        <v>89635</v>
      </c>
    </row>
    <row r="14" spans="1:4" ht="30" x14ac:dyDescent="0.25">
      <c r="A14" s="42" t="s">
        <v>108</v>
      </c>
      <c r="C14" s="43">
        <v>882723</v>
      </c>
      <c r="D14" s="43">
        <v>554366</v>
      </c>
    </row>
    <row r="15" spans="1:4" x14ac:dyDescent="0.25">
      <c r="A15" s="42" t="s">
        <v>56</v>
      </c>
      <c r="C15" s="43">
        <v>34380176</v>
      </c>
      <c r="D15" s="43">
        <v>30074858</v>
      </c>
    </row>
    <row r="16" spans="1:4" x14ac:dyDescent="0.25">
      <c r="A16" s="41" t="s">
        <v>109</v>
      </c>
      <c r="C16" s="42" t="s">
        <v>6</v>
      </c>
      <c r="D16" s="42" t="s">
        <v>6</v>
      </c>
    </row>
    <row r="17" spans="1:4" x14ac:dyDescent="0.25">
      <c r="A17" s="42" t="s">
        <v>58</v>
      </c>
      <c r="C17" s="43">
        <v>24351778</v>
      </c>
      <c r="D17" s="43">
        <v>18568993</v>
      </c>
    </row>
    <row r="18" spans="1:4" x14ac:dyDescent="0.25">
      <c r="A18" s="42" t="s">
        <v>59</v>
      </c>
      <c r="C18" s="43">
        <v>56008</v>
      </c>
      <c r="D18" s="43">
        <v>51670</v>
      </c>
    </row>
    <row r="19" spans="1:4" x14ac:dyDescent="0.25">
      <c r="A19" s="42" t="s">
        <v>60</v>
      </c>
      <c r="C19" s="43">
        <v>24407786</v>
      </c>
      <c r="D19" s="43">
        <v>18620663</v>
      </c>
    </row>
    <row r="20" spans="1:4" x14ac:dyDescent="0.25">
      <c r="A20" s="42" t="s">
        <v>61</v>
      </c>
      <c r="C20" s="43">
        <v>569018</v>
      </c>
      <c r="D20" s="43">
        <v>549748</v>
      </c>
    </row>
    <row r="21" spans="1:4" x14ac:dyDescent="0.25">
      <c r="A21" s="42" t="s">
        <v>62</v>
      </c>
      <c r="C21" s="43">
        <v>101028</v>
      </c>
      <c r="D21" s="43">
        <v>108649</v>
      </c>
    </row>
    <row r="22" spans="1:4" x14ac:dyDescent="0.25">
      <c r="A22" s="42" t="s">
        <v>63</v>
      </c>
      <c r="C22" s="43">
        <v>3180205</v>
      </c>
      <c r="D22" s="43">
        <v>5233416</v>
      </c>
    </row>
    <row r="23" spans="1:4" x14ac:dyDescent="0.25">
      <c r="A23" s="42" t="s">
        <v>64</v>
      </c>
      <c r="C23" s="43">
        <v>658</v>
      </c>
      <c r="D23" s="43">
        <v>7396</v>
      </c>
    </row>
    <row r="24" spans="1:4" x14ac:dyDescent="0.25">
      <c r="A24" s="42" t="s">
        <v>65</v>
      </c>
      <c r="C24" s="43">
        <v>28258695</v>
      </c>
      <c r="D24" s="43">
        <v>24519872</v>
      </c>
    </row>
    <row r="25" spans="1:4" x14ac:dyDescent="0.25">
      <c r="A25" s="42" t="s">
        <v>110</v>
      </c>
      <c r="C25" s="42" t="s">
        <v>67</v>
      </c>
      <c r="D25" s="42" t="s">
        <v>67</v>
      </c>
    </row>
    <row r="26" spans="1:4" x14ac:dyDescent="0.25">
      <c r="A26" s="41" t="s">
        <v>68</v>
      </c>
      <c r="C26" s="42" t="s">
        <v>6</v>
      </c>
      <c r="D26" s="42" t="s">
        <v>6</v>
      </c>
    </row>
    <row r="27" spans="1:4" ht="45" x14ac:dyDescent="0.25">
      <c r="A27" s="42" t="s">
        <v>111</v>
      </c>
      <c r="B27" s="42" t="s">
        <v>70</v>
      </c>
      <c r="C27" s="43">
        <v>0</v>
      </c>
      <c r="D27" s="43">
        <v>320374</v>
      </c>
    </row>
    <row r="28" spans="1:4" x14ac:dyDescent="0.25">
      <c r="A28" s="41" t="s">
        <v>71</v>
      </c>
      <c r="C28" s="42" t="s">
        <v>6</v>
      </c>
      <c r="D28" s="42" t="s">
        <v>6</v>
      </c>
    </row>
    <row r="29" spans="1:4" x14ac:dyDescent="0.25">
      <c r="A29" s="42" t="s">
        <v>72</v>
      </c>
      <c r="B29" s="42" t="s">
        <v>73</v>
      </c>
      <c r="C29" s="43">
        <v>108</v>
      </c>
      <c r="D29" s="43">
        <v>97</v>
      </c>
    </row>
    <row r="30" spans="1:4" x14ac:dyDescent="0.25">
      <c r="A30" s="42" t="s">
        <v>74</v>
      </c>
      <c r="C30" s="43">
        <v>7751335</v>
      </c>
      <c r="D30" s="43">
        <v>7039987</v>
      </c>
    </row>
    <row r="31" spans="1:4" x14ac:dyDescent="0.25">
      <c r="A31" s="42" t="s">
        <v>112</v>
      </c>
      <c r="C31" s="43">
        <v>8109</v>
      </c>
      <c r="D31" s="43">
        <v>-1209</v>
      </c>
    </row>
    <row r="32" spans="1:4" x14ac:dyDescent="0.25">
      <c r="A32" s="42" t="s">
        <v>76</v>
      </c>
      <c r="C32" s="43">
        <v>-1638071</v>
      </c>
      <c r="D32" s="43">
        <v>-1804263</v>
      </c>
    </row>
    <row r="33" spans="1:4" x14ac:dyDescent="0.25">
      <c r="A33" s="42" t="s">
        <v>77</v>
      </c>
      <c r="C33" s="43">
        <v>6121481</v>
      </c>
      <c r="D33" s="43">
        <v>5234612</v>
      </c>
    </row>
    <row r="34" spans="1:4" x14ac:dyDescent="0.25">
      <c r="A34" s="42" t="s">
        <v>78</v>
      </c>
      <c r="C34" s="43">
        <v>34380176</v>
      </c>
      <c r="D34" s="43">
        <v>30074858</v>
      </c>
    </row>
    <row r="35" spans="1:4" x14ac:dyDescent="0.25">
      <c r="A35" s="42" t="s">
        <v>79</v>
      </c>
      <c r="C35" s="42" t="s">
        <v>6</v>
      </c>
      <c r="D35" s="42" t="s">
        <v>6</v>
      </c>
    </row>
    <row r="36" spans="1:4" x14ac:dyDescent="0.25">
      <c r="A36" s="41" t="s">
        <v>43</v>
      </c>
      <c r="C36" s="42" t="s">
        <v>6</v>
      </c>
      <c r="D36" s="42" t="s">
        <v>6</v>
      </c>
    </row>
    <row r="37" spans="1:4" x14ac:dyDescent="0.25">
      <c r="A37" s="42" t="s">
        <v>45</v>
      </c>
      <c r="C37" s="43">
        <v>27281</v>
      </c>
      <c r="D37" s="43">
        <v>50547</v>
      </c>
    </row>
    <row r="38" spans="1:4" x14ac:dyDescent="0.25">
      <c r="A38" s="42" t="s">
        <v>47</v>
      </c>
      <c r="C38" s="43">
        <v>229072</v>
      </c>
      <c r="D38" s="43">
        <v>502757</v>
      </c>
    </row>
    <row r="39" spans="1:4" x14ac:dyDescent="0.25">
      <c r="A39" s="42" t="s">
        <v>48</v>
      </c>
      <c r="C39" s="43">
        <v>85445</v>
      </c>
      <c r="D39" s="43">
        <v>221461</v>
      </c>
    </row>
    <row r="40" spans="1:4" x14ac:dyDescent="0.25">
      <c r="A40" s="42" t="s">
        <v>56</v>
      </c>
      <c r="C40" s="43">
        <v>341798</v>
      </c>
      <c r="D40" s="43">
        <v>774765</v>
      </c>
    </row>
    <row r="41" spans="1:4" x14ac:dyDescent="0.25">
      <c r="A41" s="41" t="s">
        <v>109</v>
      </c>
      <c r="C41" s="42" t="s">
        <v>6</v>
      </c>
      <c r="D41" s="42" t="s">
        <v>6</v>
      </c>
    </row>
    <row r="42" spans="1:4" x14ac:dyDescent="0.25">
      <c r="A42" s="42" t="s">
        <v>61</v>
      </c>
      <c r="C42" s="43">
        <v>158</v>
      </c>
      <c r="D42" s="43">
        <v>1773</v>
      </c>
    </row>
    <row r="43" spans="1:4" x14ac:dyDescent="0.25">
      <c r="A43" s="42" t="s">
        <v>63</v>
      </c>
      <c r="C43" s="43">
        <v>94163</v>
      </c>
      <c r="D43" s="43">
        <v>420974</v>
      </c>
    </row>
    <row r="44" spans="1:4" x14ac:dyDescent="0.25">
      <c r="A44" s="42" t="s">
        <v>64</v>
      </c>
      <c r="C44" s="43">
        <v>658</v>
      </c>
      <c r="D44" s="43">
        <v>7396</v>
      </c>
    </row>
    <row r="45" spans="1:4" x14ac:dyDescent="0.25">
      <c r="A45" s="42" t="s">
        <v>65</v>
      </c>
      <c r="C45" s="44">
        <v>94979</v>
      </c>
      <c r="D45" s="44">
        <v>430143</v>
      </c>
    </row>
    <row r="46" spans="1:4" x14ac:dyDescent="0.25">
      <c r="A46" s="3"/>
      <c r="B46" s="3"/>
      <c r="C46" s="3"/>
    </row>
    <row r="47" spans="1:4" x14ac:dyDescent="0.25">
      <c r="A47" s="10" t="s">
        <v>113</v>
      </c>
      <c r="B47" s="3"/>
      <c r="C47" s="3"/>
    </row>
  </sheetData>
  <mergeCells count="3">
    <mergeCell ref="A1:B1"/>
    <mergeCell ref="A46:C46"/>
    <mergeCell ref="A47:C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E1A8-33B1-48BF-A1B5-4E84E75162BF}">
  <sheetPr>
    <tabColor theme="0" tint="-0.249977111117893"/>
  </sheetPr>
  <dimension ref="A1:D47"/>
  <sheetViews>
    <sheetView topLeftCell="A15" workbookViewId="0">
      <selection activeCell="A32" sqref="A32"/>
    </sheetView>
  </sheetViews>
  <sheetFormatPr defaultRowHeight="15" x14ac:dyDescent="0.25"/>
  <cols>
    <col min="1" max="1" width="80" customWidth="1"/>
    <col min="2" max="2" width="13" customWidth="1"/>
    <col min="3" max="4" width="14" customWidth="1"/>
  </cols>
  <sheetData>
    <row r="1" spans="1:4" x14ac:dyDescent="0.25">
      <c r="A1" s="2" t="s">
        <v>42</v>
      </c>
      <c r="B1" s="3"/>
      <c r="C1" s="4" t="s">
        <v>2</v>
      </c>
      <c r="D1" s="4" t="s">
        <v>3</v>
      </c>
    </row>
    <row r="2" spans="1:4" x14ac:dyDescent="0.25">
      <c r="A2" s="5" t="s">
        <v>43</v>
      </c>
      <c r="C2" s="6" t="s">
        <v>6</v>
      </c>
      <c r="D2" s="6" t="s">
        <v>6</v>
      </c>
    </row>
    <row r="3" spans="1:4" x14ac:dyDescent="0.25">
      <c r="A3" s="6" t="s">
        <v>44</v>
      </c>
      <c r="C3" s="7">
        <v>3085020</v>
      </c>
      <c r="D3" s="7">
        <v>1421907</v>
      </c>
    </row>
    <row r="4" spans="1:4" x14ac:dyDescent="0.25">
      <c r="A4" s="6" t="s">
        <v>45</v>
      </c>
      <c r="C4" s="8">
        <v>530558</v>
      </c>
      <c r="D4" s="8">
        <v>424395</v>
      </c>
    </row>
    <row r="5" spans="1:4" ht="45" x14ac:dyDescent="0.25">
      <c r="A5" s="6" t="s">
        <v>46</v>
      </c>
      <c r="C5" s="8">
        <v>701935</v>
      </c>
      <c r="D5" s="8">
        <v>396769</v>
      </c>
    </row>
    <row r="6" spans="1:4" x14ac:dyDescent="0.25">
      <c r="A6" s="6" t="s">
        <v>47</v>
      </c>
      <c r="C6" s="8">
        <v>15396771</v>
      </c>
      <c r="D6" s="8">
        <v>13557074</v>
      </c>
    </row>
    <row r="7" spans="1:4" x14ac:dyDescent="0.25">
      <c r="A7" s="6" t="s">
        <v>48</v>
      </c>
      <c r="C7" s="8">
        <v>6725484</v>
      </c>
      <c r="D7" s="8">
        <v>0</v>
      </c>
    </row>
    <row r="8" spans="1:4" ht="30" x14ac:dyDescent="0.25">
      <c r="A8" s="6" t="s">
        <v>49</v>
      </c>
      <c r="C8" s="8">
        <v>836159</v>
      </c>
      <c r="D8" s="8">
        <v>307957</v>
      </c>
    </row>
    <row r="9" spans="1:4" x14ac:dyDescent="0.25">
      <c r="A9" s="6" t="s">
        <v>50</v>
      </c>
      <c r="C9" s="8">
        <v>180469</v>
      </c>
      <c r="D9" s="8">
        <v>149854</v>
      </c>
    </row>
    <row r="10" spans="1:4" x14ac:dyDescent="0.25">
      <c r="A10" s="6" t="s">
        <v>51</v>
      </c>
      <c r="C10" s="8">
        <v>216908</v>
      </c>
      <c r="D10" s="8">
        <v>170104</v>
      </c>
    </row>
    <row r="11" spans="1:4" x14ac:dyDescent="0.25">
      <c r="A11" s="6" t="s">
        <v>52</v>
      </c>
      <c r="C11" s="8">
        <v>1393505</v>
      </c>
      <c r="D11" s="8">
        <v>1622991</v>
      </c>
    </row>
    <row r="12" spans="1:4" x14ac:dyDescent="0.25">
      <c r="A12" s="6" t="s">
        <v>53</v>
      </c>
      <c r="C12" s="8">
        <v>364048</v>
      </c>
      <c r="D12" s="8">
        <v>442155</v>
      </c>
    </row>
    <row r="13" spans="1:4" x14ac:dyDescent="0.25">
      <c r="A13" s="6" t="s">
        <v>54</v>
      </c>
      <c r="C13" s="8">
        <v>89635</v>
      </c>
      <c r="D13" s="8">
        <v>97135</v>
      </c>
    </row>
    <row r="14" spans="1:4" ht="30" x14ac:dyDescent="0.25">
      <c r="A14" s="6" t="s">
        <v>55</v>
      </c>
      <c r="C14" s="8">
        <v>554366</v>
      </c>
      <c r="D14" s="8">
        <v>417334</v>
      </c>
    </row>
    <row r="15" spans="1:4" x14ac:dyDescent="0.25">
      <c r="A15" s="6" t="s">
        <v>56</v>
      </c>
      <c r="C15" s="8">
        <v>30074858</v>
      </c>
      <c r="D15" s="8">
        <v>19007675</v>
      </c>
    </row>
    <row r="16" spans="1:4" x14ac:dyDescent="0.25">
      <c r="A16" s="5" t="s">
        <v>57</v>
      </c>
      <c r="C16" s="6" t="s">
        <v>6</v>
      </c>
      <c r="D16" s="6" t="s">
        <v>6</v>
      </c>
    </row>
    <row r="17" spans="1:4" x14ac:dyDescent="0.25">
      <c r="A17" s="6" t="s">
        <v>58</v>
      </c>
      <c r="C17" s="8">
        <v>18568993</v>
      </c>
      <c r="D17" s="8">
        <v>7265792</v>
      </c>
    </row>
    <row r="18" spans="1:4" x14ac:dyDescent="0.25">
      <c r="A18" s="6" t="s">
        <v>59</v>
      </c>
      <c r="C18" s="8">
        <v>51670</v>
      </c>
      <c r="D18" s="8">
        <v>76504</v>
      </c>
    </row>
    <row r="19" spans="1:4" x14ac:dyDescent="0.25">
      <c r="A19" s="6" t="s">
        <v>60</v>
      </c>
      <c r="C19" s="8">
        <v>18620663</v>
      </c>
      <c r="D19" s="8">
        <v>7342296</v>
      </c>
    </row>
    <row r="20" spans="1:4" x14ac:dyDescent="0.25">
      <c r="A20" s="6" t="s">
        <v>61</v>
      </c>
      <c r="C20" s="8">
        <v>549748</v>
      </c>
      <c r="D20" s="8">
        <v>516215</v>
      </c>
    </row>
    <row r="21" spans="1:4" x14ac:dyDescent="0.25">
      <c r="A21" s="6" t="s">
        <v>62</v>
      </c>
      <c r="C21" s="8">
        <v>108649</v>
      </c>
      <c r="D21" s="8">
        <v>117758</v>
      </c>
    </row>
    <row r="22" spans="1:4" x14ac:dyDescent="0.25">
      <c r="A22" s="6" t="s">
        <v>63</v>
      </c>
      <c r="C22" s="8">
        <v>5233416</v>
      </c>
      <c r="D22" s="8">
        <v>5485882</v>
      </c>
    </row>
    <row r="23" spans="1:4" x14ac:dyDescent="0.25">
      <c r="A23" s="6" t="s">
        <v>64</v>
      </c>
      <c r="C23" s="8">
        <v>7396</v>
      </c>
      <c r="D23" s="8">
        <v>17048</v>
      </c>
    </row>
    <row r="24" spans="1:4" x14ac:dyDescent="0.25">
      <c r="A24" s="6" t="s">
        <v>65</v>
      </c>
      <c r="C24" s="8">
        <v>24519872</v>
      </c>
      <c r="D24" s="8">
        <v>13479199</v>
      </c>
    </row>
    <row r="25" spans="1:4" x14ac:dyDescent="0.25">
      <c r="A25" s="6" t="s">
        <v>66</v>
      </c>
      <c r="C25" s="6" t="s">
        <v>67</v>
      </c>
      <c r="D25" s="6" t="s">
        <v>67</v>
      </c>
    </row>
    <row r="26" spans="1:4" x14ac:dyDescent="0.25">
      <c r="A26" s="5" t="s">
        <v>68</v>
      </c>
      <c r="C26" s="6" t="s">
        <v>6</v>
      </c>
      <c r="D26" s="6" t="s">
        <v>6</v>
      </c>
    </row>
    <row r="27" spans="1:4" ht="45" x14ac:dyDescent="0.25">
      <c r="A27" s="6" t="s">
        <v>69</v>
      </c>
      <c r="B27" s="6" t="s">
        <v>70</v>
      </c>
      <c r="C27" s="8">
        <v>320374</v>
      </c>
      <c r="D27" s="8">
        <v>320374</v>
      </c>
    </row>
    <row r="28" spans="1:4" x14ac:dyDescent="0.25">
      <c r="A28" s="5" t="s">
        <v>71</v>
      </c>
      <c r="C28" s="6" t="s">
        <v>6</v>
      </c>
      <c r="D28" s="6" t="s">
        <v>6</v>
      </c>
    </row>
    <row r="29" spans="1:4" x14ac:dyDescent="0.25">
      <c r="A29" s="6" t="s">
        <v>72</v>
      </c>
      <c r="B29" s="6" t="s">
        <v>73</v>
      </c>
      <c r="C29" s="8">
        <v>97</v>
      </c>
      <c r="D29" s="8">
        <v>93</v>
      </c>
    </row>
    <row r="30" spans="1:4" x14ac:dyDescent="0.25">
      <c r="A30" s="6" t="s">
        <v>74</v>
      </c>
      <c r="C30" s="8">
        <v>7039987</v>
      </c>
      <c r="D30" s="8">
        <v>6719826</v>
      </c>
    </row>
    <row r="31" spans="1:4" x14ac:dyDescent="0.25">
      <c r="A31" s="6" t="s">
        <v>75</v>
      </c>
      <c r="C31" s="8">
        <v>-1209</v>
      </c>
      <c r="D31" s="8">
        <v>-8296</v>
      </c>
    </row>
    <row r="32" spans="1:4" x14ac:dyDescent="0.25">
      <c r="A32" s="6" t="s">
        <v>76</v>
      </c>
      <c r="C32" s="8">
        <v>-1804263</v>
      </c>
      <c r="D32" s="8">
        <v>-1503521</v>
      </c>
    </row>
    <row r="33" spans="1:4" x14ac:dyDescent="0.25">
      <c r="A33" s="6" t="s">
        <v>77</v>
      </c>
      <c r="C33" s="8">
        <v>5234612</v>
      </c>
      <c r="D33" s="8">
        <v>5208102</v>
      </c>
    </row>
    <row r="34" spans="1:4" x14ac:dyDescent="0.25">
      <c r="A34" s="6" t="s">
        <v>78</v>
      </c>
      <c r="C34" s="8">
        <v>30074858</v>
      </c>
      <c r="D34" s="8">
        <v>19007675</v>
      </c>
    </row>
    <row r="35" spans="1:4" x14ac:dyDescent="0.25">
      <c r="A35" s="6" t="s">
        <v>79</v>
      </c>
      <c r="C35" s="6" t="s">
        <v>6</v>
      </c>
      <c r="D35" s="6" t="s">
        <v>6</v>
      </c>
    </row>
    <row r="36" spans="1:4" x14ac:dyDescent="0.25">
      <c r="A36" s="5" t="s">
        <v>43</v>
      </c>
      <c r="C36" s="6" t="s">
        <v>6</v>
      </c>
      <c r="D36" s="6" t="s">
        <v>6</v>
      </c>
    </row>
    <row r="37" spans="1:4" x14ac:dyDescent="0.25">
      <c r="A37" s="6" t="s">
        <v>45</v>
      </c>
      <c r="C37" s="8">
        <v>50547</v>
      </c>
      <c r="D37" s="8">
        <v>68151</v>
      </c>
    </row>
    <row r="38" spans="1:4" x14ac:dyDescent="0.25">
      <c r="A38" s="6" t="s">
        <v>47</v>
      </c>
      <c r="C38" s="8">
        <v>502757</v>
      </c>
      <c r="D38" s="8">
        <v>931701</v>
      </c>
    </row>
    <row r="39" spans="1:4" x14ac:dyDescent="0.25">
      <c r="A39" s="6" t="s">
        <v>48</v>
      </c>
      <c r="C39" s="8">
        <v>221461</v>
      </c>
      <c r="D39" s="8">
        <v>0</v>
      </c>
    </row>
    <row r="40" spans="1:4" x14ac:dyDescent="0.25">
      <c r="A40" s="6" t="s">
        <v>56</v>
      </c>
      <c r="C40" s="8">
        <v>774765</v>
      </c>
      <c r="D40" s="8">
        <v>999852</v>
      </c>
    </row>
    <row r="41" spans="1:4" x14ac:dyDescent="0.25">
      <c r="A41" s="5" t="s">
        <v>57</v>
      </c>
      <c r="C41" s="6" t="s">
        <v>6</v>
      </c>
      <c r="D41" s="6" t="s">
        <v>6</v>
      </c>
    </row>
    <row r="42" spans="1:4" x14ac:dyDescent="0.25">
      <c r="A42" s="6" t="s">
        <v>61</v>
      </c>
      <c r="C42" s="8">
        <v>1773</v>
      </c>
      <c r="D42" s="8">
        <v>3053</v>
      </c>
    </row>
    <row r="43" spans="1:4" x14ac:dyDescent="0.25">
      <c r="A43" s="6" t="s">
        <v>63</v>
      </c>
      <c r="C43" s="8">
        <v>420974</v>
      </c>
      <c r="D43" s="8">
        <v>771454</v>
      </c>
    </row>
    <row r="44" spans="1:4" x14ac:dyDescent="0.25">
      <c r="A44" s="6" t="s">
        <v>64</v>
      </c>
      <c r="C44" s="8">
        <v>7396</v>
      </c>
      <c r="D44" s="8">
        <v>17048</v>
      </c>
    </row>
    <row r="45" spans="1:4" x14ac:dyDescent="0.25">
      <c r="A45" s="6" t="s">
        <v>65</v>
      </c>
      <c r="C45" s="7">
        <v>430143</v>
      </c>
      <c r="D45" s="7">
        <v>791555</v>
      </c>
    </row>
    <row r="46" spans="1:4" x14ac:dyDescent="0.25">
      <c r="A46" s="3"/>
      <c r="B46" s="3"/>
      <c r="C46" s="3"/>
    </row>
    <row r="47" spans="1:4" x14ac:dyDescent="0.25">
      <c r="A47" s="10" t="s">
        <v>80</v>
      </c>
      <c r="B47" s="3"/>
      <c r="C47" s="3"/>
    </row>
  </sheetData>
  <mergeCells count="3">
    <mergeCell ref="A1:B1"/>
    <mergeCell ref="A46:C46"/>
    <mergeCell ref="A47:C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Sofi - Main</vt:lpstr>
      <vt:lpstr>Sofi - Model (DCF)</vt:lpstr>
      <vt:lpstr>Support --&gt;</vt:lpstr>
      <vt:lpstr>Cap Call Transaction</vt:lpstr>
      <vt:lpstr>Lending Support </vt:lpstr>
      <vt:lpstr>Fortress Investment Transaction</vt:lpstr>
      <vt:lpstr>Sofi - Balance Sheet (Q3 24)</vt:lpstr>
      <vt:lpstr>Sofi - Balance Sheet 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Morton</dc:creator>
  <cp:lastModifiedBy>Joshua Morton</cp:lastModifiedBy>
  <dcterms:created xsi:type="dcterms:W3CDTF">2024-11-24T21:14:13Z</dcterms:created>
  <dcterms:modified xsi:type="dcterms:W3CDTF">2024-11-24T23:32:07Z</dcterms:modified>
</cp:coreProperties>
</file>