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omments1.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513f703a87b86ea7/Documents/"/>
    </mc:Choice>
  </mc:AlternateContent>
  <xr:revisionPtr revIDLastSave="3754" documentId="8_{6374B6F4-88CB-4EB6-ABCF-2940BB9C3C0E}" xr6:coauthVersionLast="47" xr6:coauthVersionMax="47" xr10:uidLastSave="{700016A5-DB1F-43A2-B883-41A65B28899F}"/>
  <bookViews>
    <workbookView xWindow="-110" yWindow="-110" windowWidth="25820" windowHeight="15500" xr2:uid="{4E656C11-31EA-4699-B464-2CC9FD78D039}"/>
  </bookViews>
  <sheets>
    <sheet name="Sales" sheetId="3" r:id="rId1"/>
    <sheet name="Summary" sheetId="2" r:id="rId2"/>
    <sheet name="MOMP Tables" sheetId="11" r:id="rId3"/>
    <sheet name="MOMP" sheetId="10" r:id="rId4"/>
    <sheet name="Sales Rep Tables" sheetId="6" r:id="rId5"/>
    <sheet name="Sales Rep Analysis" sheetId="12" r:id="rId6"/>
    <sheet name="AI Dash" sheetId="13" r:id="rId7"/>
  </sheets>
  <definedNames>
    <definedName name="_xlcn.WorksheetConnection_DAProject.xlsxSales_Export_2019_2020__21" hidden="1">Sales_Export_2019_2020__2[]</definedName>
    <definedName name="ExternalData_2" localSheetId="0" hidden="1">Sales!$A$1:$J$1001</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 cacheId="20" r:id="rId28"/>
    <pivotCache cacheId="21" r:id="rId29"/>
    <pivotCache cacheId="22" r:id="rId3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Export_2019-2020_05a23875-22af-472c-9867-e04353475c73" name="Sales-Export_2019-2020" connection="Query - Sales-Export_2019-2020"/>
          <x15:modelTable id="Sales-Export_2019-2020  3_68edca67-3a60-4cad-8196-29b7ba75e286" name="Sales-Export_2019-2020  3" connection="Query - Sales-Export_2019-2020 (3)"/>
          <x15:modelTable id="Sales_Export_2019_2020__2" name="Sales_Export_2019_2020__2" connection="WorksheetConnection_DAProject.xlsx!Sales_Export_2019_2020__2"/>
        </x15:modelTables>
        <x15:modelRelationships>
          <x15:modelRelationship fromTable="Sales-Export_2019-2020" fromColumn="order_id" toTable="Sales_Export_2019_2020__2" toColumn="order_id"/>
        </x15:modelRelationships>
        <x15:extLst>
          <ext xmlns:x16="http://schemas.microsoft.com/office/spreadsheetml/2014/11/main" uri="{9835A34E-60A6-4A7C-AAB8-D5F71C897F49}">
            <x16:modelTimeGroupings>
              <x16:modelTimeGrouping tableName="Sales-Export_2019-2020"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81" i="6" l="1"/>
  <c r="F80" i="6"/>
  <c r="AJ54" i="11"/>
  <c r="AQ56" i="11"/>
  <c r="AP56" i="11"/>
  <c r="AJ57" i="11" a="1"/>
  <c r="AO56" i="11"/>
  <c r="AJ53" i="11"/>
  <c r="AJ52" i="11"/>
  <c r="I20" i="13"/>
  <c r="I16" i="13"/>
  <c r="I12" i="13"/>
  <c r="I10" i="13"/>
  <c r="D19" i="13"/>
  <c r="E19" i="13"/>
  <c r="D15" i="13"/>
  <c r="E15" i="13"/>
  <c r="F15" i="13" s="1"/>
  <c r="D14" i="13"/>
  <c r="E14" i="13"/>
  <c r="F14" i="13"/>
  <c r="G14" i="13"/>
  <c r="D13" i="13"/>
  <c r="E13" i="13"/>
  <c r="F13" i="13"/>
  <c r="D12" i="13"/>
  <c r="E12" i="13"/>
  <c r="F12" i="13" s="1"/>
  <c r="G12" i="13"/>
  <c r="D11" i="13"/>
  <c r="E11" i="13"/>
  <c r="F11" i="13"/>
  <c r="G11" i="13"/>
  <c r="D10" i="13"/>
  <c r="E10" i="13"/>
  <c r="F10" i="13"/>
  <c r="G10" i="13"/>
  <c r="L6" i="13"/>
  <c r="H6" i="13"/>
  <c r="H5" i="13"/>
  <c r="F6" i="13"/>
  <c r="F5" i="13"/>
  <c r="D6" i="13"/>
  <c r="D5" i="13"/>
  <c r="B6" i="13"/>
  <c r="B5" i="13"/>
  <c r="O71" i="13"/>
  <c r="P71" i="13"/>
  <c r="M61" i="13"/>
  <c r="N61" i="13"/>
  <c r="O61" i="13"/>
  <c r="P61" i="13"/>
  <c r="Q61" i="13" s="1"/>
  <c r="M62" i="13"/>
  <c r="N62" i="13"/>
  <c r="O62" i="13"/>
  <c r="P62" i="13"/>
  <c r="Q62" i="13"/>
  <c r="M63" i="13"/>
  <c r="N63" i="13"/>
  <c r="O63" i="13"/>
  <c r="P63" i="13"/>
  <c r="Q63" i="13"/>
  <c r="M64" i="13"/>
  <c r="N64" i="13"/>
  <c r="O64" i="13"/>
  <c r="P64" i="13"/>
  <c r="Q64" i="13"/>
  <c r="M65" i="13"/>
  <c r="N65" i="13"/>
  <c r="O65" i="13"/>
  <c r="P65" i="13"/>
  <c r="M66" i="13"/>
  <c r="N66" i="13"/>
  <c r="O66" i="13"/>
  <c r="P66" i="13"/>
  <c r="Q66" i="13"/>
  <c r="M67" i="13"/>
  <c r="N67" i="13"/>
  <c r="O67" i="13"/>
  <c r="P67" i="13"/>
  <c r="Q67" i="13"/>
  <c r="M68" i="13"/>
  <c r="N68" i="13"/>
  <c r="O68" i="13"/>
  <c r="P68" i="13"/>
  <c r="Q68" i="13" s="1"/>
  <c r="M69" i="13"/>
  <c r="N69" i="13"/>
  <c r="O69" i="13"/>
  <c r="P69" i="13"/>
  <c r="Q69" i="13"/>
  <c r="M70" i="13"/>
  <c r="N70" i="13"/>
  <c r="O70" i="13"/>
  <c r="P70" i="13"/>
  <c r="Q70" i="13"/>
  <c r="C61" i="13"/>
  <c r="D61" i="13"/>
  <c r="E61" i="13"/>
  <c r="F61" i="13"/>
  <c r="G61" i="13"/>
  <c r="H61" i="13"/>
  <c r="I61" i="13"/>
  <c r="J61" i="13"/>
  <c r="C62" i="13"/>
  <c r="D62" i="13"/>
  <c r="E62" i="13"/>
  <c r="F62" i="13"/>
  <c r="G62" i="13"/>
  <c r="H62" i="13"/>
  <c r="I62" i="13"/>
  <c r="J62" i="13"/>
  <c r="C63" i="13"/>
  <c r="D63" i="13"/>
  <c r="B63" i="13" s="1"/>
  <c r="E63" i="13"/>
  <c r="F63" i="13"/>
  <c r="G63" i="13"/>
  <c r="H63" i="13"/>
  <c r="I63" i="13"/>
  <c r="J63" i="13"/>
  <c r="C64" i="13"/>
  <c r="D64" i="13"/>
  <c r="E64" i="13"/>
  <c r="F64" i="13"/>
  <c r="G64" i="13"/>
  <c r="H64" i="13"/>
  <c r="I64" i="13"/>
  <c r="J64" i="13"/>
  <c r="C65" i="13"/>
  <c r="D65" i="13"/>
  <c r="B65" i="13" s="1"/>
  <c r="E65" i="13"/>
  <c r="F65" i="13"/>
  <c r="G65" i="13"/>
  <c r="H65" i="13"/>
  <c r="I65" i="13"/>
  <c r="J65" i="13"/>
  <c r="C66" i="13"/>
  <c r="D66" i="13"/>
  <c r="B66" i="13" s="1"/>
  <c r="E66" i="13"/>
  <c r="F66" i="13"/>
  <c r="G66" i="13"/>
  <c r="H66" i="13"/>
  <c r="I66" i="13"/>
  <c r="J66" i="13"/>
  <c r="C67" i="13"/>
  <c r="D67" i="13"/>
  <c r="B67" i="13" s="1"/>
  <c r="E67" i="13"/>
  <c r="F67" i="13"/>
  <c r="G67" i="13"/>
  <c r="H67" i="13"/>
  <c r="I67" i="13"/>
  <c r="J67" i="13"/>
  <c r="C68" i="13"/>
  <c r="D68" i="13"/>
  <c r="B68" i="13" s="1"/>
  <c r="E68" i="13"/>
  <c r="F68" i="13"/>
  <c r="G68" i="13"/>
  <c r="H68" i="13"/>
  <c r="I68" i="13"/>
  <c r="J68" i="13"/>
  <c r="C69" i="13"/>
  <c r="D69" i="13"/>
  <c r="B69" i="13" s="1"/>
  <c r="E69" i="13"/>
  <c r="F69" i="13"/>
  <c r="G69" i="13"/>
  <c r="H69" i="13"/>
  <c r="I69" i="13"/>
  <c r="J69" i="13"/>
  <c r="C70" i="13"/>
  <c r="D70" i="13"/>
  <c r="B70" i="13" s="1"/>
  <c r="E70" i="13"/>
  <c r="F70" i="13"/>
  <c r="G70" i="13"/>
  <c r="H70" i="13"/>
  <c r="I70" i="13"/>
  <c r="J70" i="13"/>
  <c r="C71" i="13"/>
  <c r="D71" i="13"/>
  <c r="B71" i="13" s="1"/>
  <c r="E71" i="13"/>
  <c r="F71" i="13"/>
  <c r="G71" i="13"/>
  <c r="H71" i="13"/>
  <c r="I71" i="13"/>
  <c r="J71" i="13"/>
  <c r="C72" i="13"/>
  <c r="D72" i="13"/>
  <c r="B72" i="13" s="1"/>
  <c r="E72" i="13"/>
  <c r="F72" i="13"/>
  <c r="G72" i="13"/>
  <c r="H72" i="13"/>
  <c r="I72" i="13"/>
  <c r="J72" i="13"/>
  <c r="C73" i="13"/>
  <c r="D73" i="13"/>
  <c r="B73" i="13" s="1"/>
  <c r="E73" i="13"/>
  <c r="F73" i="13"/>
  <c r="G73" i="13"/>
  <c r="H73" i="13"/>
  <c r="I73" i="13"/>
  <c r="J73" i="13"/>
  <c r="C74" i="13"/>
  <c r="D74" i="13"/>
  <c r="B74" i="13" s="1"/>
  <c r="E74" i="13"/>
  <c r="F74" i="13"/>
  <c r="G74" i="13"/>
  <c r="H74" i="13"/>
  <c r="I74" i="13"/>
  <c r="J74" i="13"/>
  <c r="C75" i="13"/>
  <c r="D75" i="13"/>
  <c r="B75" i="13" s="1"/>
  <c r="E75" i="13"/>
  <c r="F75" i="13"/>
  <c r="G75" i="13"/>
  <c r="H75" i="13"/>
  <c r="I75" i="13"/>
  <c r="J75" i="13"/>
  <c r="C76" i="13"/>
  <c r="D76" i="13"/>
  <c r="B76" i="13" s="1"/>
  <c r="E76" i="13"/>
  <c r="F76" i="13"/>
  <c r="G76" i="13"/>
  <c r="H76" i="13"/>
  <c r="I76" i="13"/>
  <c r="J76" i="13"/>
  <c r="C77" i="13"/>
  <c r="D77" i="13"/>
  <c r="B77" i="13" s="1"/>
  <c r="E77" i="13"/>
  <c r="F77" i="13"/>
  <c r="G77" i="13"/>
  <c r="H77" i="13"/>
  <c r="I77" i="13"/>
  <c r="J77" i="13"/>
  <c r="C78" i="13"/>
  <c r="D78" i="13"/>
  <c r="B78" i="13" s="1"/>
  <c r="E78" i="13"/>
  <c r="F78" i="13"/>
  <c r="G78" i="13"/>
  <c r="H78" i="13"/>
  <c r="I78" i="13"/>
  <c r="J78" i="13"/>
  <c r="C79" i="13"/>
  <c r="D79" i="13"/>
  <c r="B79" i="13" s="1"/>
  <c r="E79" i="13"/>
  <c r="F79" i="13"/>
  <c r="G79" i="13"/>
  <c r="H79" i="13"/>
  <c r="I79" i="13"/>
  <c r="J79" i="13"/>
  <c r="C80" i="13"/>
  <c r="D80" i="13"/>
  <c r="B80" i="13" s="1"/>
  <c r="E80" i="13"/>
  <c r="F80" i="13"/>
  <c r="G80" i="13"/>
  <c r="H80" i="13"/>
  <c r="I80" i="13"/>
  <c r="J80" i="13"/>
  <c r="C81" i="13"/>
  <c r="D81" i="13"/>
  <c r="B81" i="13" s="1"/>
  <c r="E81" i="13"/>
  <c r="F81" i="13"/>
  <c r="G81" i="13"/>
  <c r="H81" i="13"/>
  <c r="I81" i="13"/>
  <c r="J81" i="13"/>
  <c r="C82" i="13"/>
  <c r="D82" i="13"/>
  <c r="B82" i="13" s="1"/>
  <c r="E82" i="13"/>
  <c r="F82" i="13"/>
  <c r="G82" i="13"/>
  <c r="H82" i="13"/>
  <c r="I82" i="13"/>
  <c r="J82" i="13"/>
  <c r="C83" i="13"/>
  <c r="D83" i="13"/>
  <c r="B83" i="13" s="1"/>
  <c r="E83" i="13"/>
  <c r="F83" i="13"/>
  <c r="G83" i="13"/>
  <c r="H83" i="13"/>
  <c r="I83" i="13"/>
  <c r="J83" i="13"/>
  <c r="C84" i="13"/>
  <c r="D84" i="13"/>
  <c r="B84" i="13" s="1"/>
  <c r="E84" i="13"/>
  <c r="F84" i="13"/>
  <c r="G84" i="13"/>
  <c r="H84" i="13"/>
  <c r="I84" i="13"/>
  <c r="J84" i="13"/>
  <c r="R7" i="6"/>
  <c r="S7" i="6"/>
  <c r="Q7" i="6"/>
  <c r="S6" i="6"/>
  <c r="R6" i="6"/>
  <c r="Q6" i="6"/>
  <c r="R5" i="6"/>
  <c r="S5" i="6"/>
  <c r="Q5" i="6"/>
  <c r="R3" i="6"/>
  <c r="S3" i="6"/>
  <c r="Q3" i="6"/>
  <c r="R4" i="6"/>
  <c r="Q4" i="6"/>
  <c r="S4" i="6"/>
  <c r="AC56" i="11"/>
  <c r="AC55" i="11"/>
  <c r="X5" i="11" a="1"/>
  <c r="K75" i="13" s="1"/>
  <c r="X6" i="11" a="1"/>
  <c r="K76" i="13" s="1"/>
  <c r="X7" i="11" a="1"/>
  <c r="K77" i="13" s="1"/>
  <c r="X8" i="11" a="1"/>
  <c r="K78" i="13" s="1"/>
  <c r="X9" i="11" a="1"/>
  <c r="K79" i="13" s="1"/>
  <c r="T21" i="11"/>
  <c r="S21" i="11"/>
  <c r="T20" i="11"/>
  <c r="S20" i="11"/>
  <c r="T19" i="11"/>
  <c r="S19" i="11"/>
  <c r="AU86" i="6"/>
  <c r="AU87" i="6"/>
  <c r="AU88" i="6"/>
  <c r="AU89" i="6"/>
  <c r="AU90" i="6"/>
  <c r="AU91" i="6"/>
  <c r="AU92" i="6"/>
  <c r="AU93" i="6"/>
  <c r="AU94" i="6"/>
  <c r="AU95" i="6"/>
  <c r="AU96" i="6"/>
  <c r="AU97" i="6"/>
  <c r="AU98" i="6"/>
  <c r="AU99" i="6"/>
  <c r="AU100" i="6"/>
  <c r="AU101" i="6"/>
  <c r="AU102" i="6"/>
  <c r="AU103" i="6"/>
  <c r="AU104" i="6"/>
  <c r="AU105" i="6"/>
  <c r="AU106" i="6"/>
  <c r="AU107" i="6"/>
  <c r="AU108" i="6"/>
  <c r="AU109" i="6"/>
  <c r="AU110" i="6"/>
  <c r="AU111" i="6"/>
  <c r="AU112" i="6"/>
  <c r="AU113" i="6"/>
  <c r="AU114" i="6"/>
  <c r="AU115" i="6"/>
  <c r="AU116" i="6"/>
  <c r="AU117" i="6"/>
  <c r="AU118" i="6"/>
  <c r="AT86" i="6"/>
  <c r="AT87" i="6"/>
  <c r="AT88" i="6"/>
  <c r="AT89" i="6"/>
  <c r="AT90" i="6"/>
  <c r="AT91" i="6"/>
  <c r="AT92" i="6"/>
  <c r="AT93" i="6"/>
  <c r="AT94" i="6"/>
  <c r="AT95" i="6"/>
  <c r="AT96" i="6"/>
  <c r="AT97" i="6"/>
  <c r="AT98" i="6"/>
  <c r="AT99" i="6"/>
  <c r="AT100" i="6"/>
  <c r="AT101" i="6"/>
  <c r="AT102" i="6"/>
  <c r="AT103" i="6"/>
  <c r="AT104" i="6"/>
  <c r="AT105" i="6"/>
  <c r="AT106" i="6"/>
  <c r="AT107" i="6"/>
  <c r="AT108" i="6"/>
  <c r="AT109" i="6"/>
  <c r="AT110" i="6"/>
  <c r="AT111" i="6"/>
  <c r="AT112" i="6"/>
  <c r="AT113" i="6"/>
  <c r="AT114" i="6"/>
  <c r="AT115" i="6"/>
  <c r="AT116" i="6"/>
  <c r="AT117" i="6"/>
  <c r="AT118" i="6"/>
  <c r="AS86" i="6"/>
  <c r="AS87" i="6"/>
  <c r="AS88" i="6"/>
  <c r="AS89" i="6"/>
  <c r="AS90" i="6"/>
  <c r="AS91" i="6"/>
  <c r="AS92" i="6"/>
  <c r="AS93" i="6"/>
  <c r="AS94" i="6"/>
  <c r="AS95" i="6"/>
  <c r="AS96" i="6"/>
  <c r="AS97" i="6"/>
  <c r="AS98" i="6"/>
  <c r="AS99" i="6"/>
  <c r="AS100" i="6"/>
  <c r="AS101" i="6"/>
  <c r="AS102" i="6"/>
  <c r="AS103" i="6"/>
  <c r="AS104" i="6"/>
  <c r="AS105" i="6"/>
  <c r="AS106" i="6"/>
  <c r="AS107" i="6"/>
  <c r="AS108" i="6"/>
  <c r="AS109" i="6"/>
  <c r="AS110" i="6"/>
  <c r="AS111" i="6"/>
  <c r="AS112" i="6"/>
  <c r="AS113" i="6"/>
  <c r="AS114" i="6"/>
  <c r="AS115" i="6"/>
  <c r="AS116" i="6"/>
  <c r="AS117" i="6"/>
  <c r="AS118" i="6"/>
  <c r="AR86" i="6"/>
  <c r="AR87" i="6"/>
  <c r="AR88" i="6"/>
  <c r="AR89" i="6"/>
  <c r="AR90" i="6"/>
  <c r="AR91" i="6"/>
  <c r="AR92" i="6"/>
  <c r="AR93" i="6"/>
  <c r="AR94" i="6"/>
  <c r="AR95" i="6"/>
  <c r="AR96" i="6"/>
  <c r="AR97" i="6"/>
  <c r="AR98" i="6"/>
  <c r="AR99" i="6"/>
  <c r="AR100" i="6"/>
  <c r="AR101" i="6"/>
  <c r="AR102" i="6"/>
  <c r="AR103" i="6"/>
  <c r="AR104" i="6"/>
  <c r="AR105" i="6"/>
  <c r="AR106" i="6"/>
  <c r="AR107" i="6"/>
  <c r="AR108" i="6"/>
  <c r="AR109" i="6"/>
  <c r="AR110" i="6"/>
  <c r="AR111" i="6"/>
  <c r="AR112" i="6"/>
  <c r="AR113" i="6"/>
  <c r="AR114" i="6"/>
  <c r="AR115" i="6"/>
  <c r="AR116" i="6"/>
  <c r="AR117" i="6"/>
  <c r="AR118" i="6"/>
  <c r="AQ86" i="6"/>
  <c r="AQ87" i="6"/>
  <c r="AQ88" i="6"/>
  <c r="AQ89" i="6"/>
  <c r="AQ90" i="6"/>
  <c r="AQ91" i="6"/>
  <c r="AQ92" i="6"/>
  <c r="AQ93" i="6"/>
  <c r="AQ94" i="6"/>
  <c r="AQ95" i="6"/>
  <c r="AQ96" i="6"/>
  <c r="AQ97" i="6"/>
  <c r="AQ98" i="6"/>
  <c r="AQ99" i="6"/>
  <c r="AQ100" i="6"/>
  <c r="AQ101" i="6"/>
  <c r="AQ102" i="6"/>
  <c r="AQ103" i="6"/>
  <c r="AQ104" i="6"/>
  <c r="AQ105" i="6"/>
  <c r="AQ106" i="6"/>
  <c r="AQ107" i="6"/>
  <c r="AQ108" i="6"/>
  <c r="AQ109" i="6"/>
  <c r="AQ110" i="6"/>
  <c r="AQ111" i="6"/>
  <c r="AQ112" i="6"/>
  <c r="AQ113" i="6"/>
  <c r="AQ114" i="6"/>
  <c r="AQ115" i="6"/>
  <c r="AQ116" i="6"/>
  <c r="AQ117" i="6"/>
  <c r="AQ118" i="6"/>
  <c r="AP86" i="6"/>
  <c r="AP87" i="6"/>
  <c r="AP88" i="6"/>
  <c r="AP89" i="6"/>
  <c r="AP90" i="6"/>
  <c r="AP91" i="6"/>
  <c r="AP92" i="6"/>
  <c r="AP93" i="6"/>
  <c r="AP94" i="6"/>
  <c r="AP95" i="6"/>
  <c r="AP96" i="6"/>
  <c r="AP97" i="6"/>
  <c r="AP98" i="6"/>
  <c r="AP99" i="6"/>
  <c r="AP100" i="6"/>
  <c r="AP101" i="6"/>
  <c r="AP102" i="6"/>
  <c r="AP103" i="6"/>
  <c r="AP104" i="6"/>
  <c r="AP105" i="6"/>
  <c r="AP106" i="6"/>
  <c r="AP107" i="6"/>
  <c r="AP108" i="6"/>
  <c r="AP109" i="6"/>
  <c r="AP110" i="6"/>
  <c r="AP111" i="6"/>
  <c r="AP112" i="6"/>
  <c r="AP113" i="6"/>
  <c r="AP114" i="6"/>
  <c r="AP115" i="6"/>
  <c r="AP116" i="6"/>
  <c r="AP117" i="6"/>
  <c r="AP118" i="6"/>
  <c r="AO86" i="6"/>
  <c r="AO87" i="6"/>
  <c r="AO88" i="6"/>
  <c r="AO89" i="6"/>
  <c r="AO90" i="6"/>
  <c r="AO91" i="6"/>
  <c r="AO92" i="6"/>
  <c r="AO93" i="6"/>
  <c r="AO94" i="6"/>
  <c r="AO95" i="6"/>
  <c r="AO96" i="6"/>
  <c r="AO97" i="6"/>
  <c r="AO98" i="6"/>
  <c r="AO99" i="6"/>
  <c r="AO100" i="6"/>
  <c r="AO101" i="6"/>
  <c r="AO102" i="6"/>
  <c r="AO103" i="6"/>
  <c r="AO104" i="6"/>
  <c r="AO105" i="6"/>
  <c r="AO106" i="6"/>
  <c r="AO107" i="6"/>
  <c r="AO108" i="6"/>
  <c r="AO109" i="6"/>
  <c r="AO110" i="6"/>
  <c r="AO111" i="6"/>
  <c r="AO112" i="6"/>
  <c r="AO113" i="6"/>
  <c r="AO114" i="6"/>
  <c r="AO115" i="6"/>
  <c r="AO116" i="6"/>
  <c r="AO117" i="6"/>
  <c r="AO118" i="6"/>
  <c r="AN86" i="6"/>
  <c r="AN87" i="6"/>
  <c r="AN88" i="6"/>
  <c r="AN89" i="6"/>
  <c r="AN90" i="6"/>
  <c r="AN91" i="6"/>
  <c r="AN92" i="6"/>
  <c r="AN93" i="6"/>
  <c r="AN94" i="6"/>
  <c r="AN95" i="6"/>
  <c r="AN96" i="6"/>
  <c r="AN97" i="6"/>
  <c r="AN98" i="6"/>
  <c r="AN99" i="6"/>
  <c r="AN100" i="6"/>
  <c r="AN101" i="6"/>
  <c r="AN102" i="6"/>
  <c r="AN103" i="6"/>
  <c r="AN104" i="6"/>
  <c r="AN105" i="6"/>
  <c r="AN106" i="6"/>
  <c r="AN107" i="6"/>
  <c r="AN108" i="6"/>
  <c r="AN109" i="6"/>
  <c r="AN110" i="6"/>
  <c r="AN111" i="6"/>
  <c r="AN112" i="6"/>
  <c r="AN113" i="6"/>
  <c r="AN114" i="6"/>
  <c r="AN115" i="6"/>
  <c r="AN116" i="6"/>
  <c r="AN117" i="6"/>
  <c r="AN118" i="6"/>
  <c r="AM86" i="6"/>
  <c r="AM87" i="6"/>
  <c r="AM88" i="6"/>
  <c r="AM89" i="6"/>
  <c r="AM90" i="6"/>
  <c r="AM91" i="6"/>
  <c r="AM92" i="6"/>
  <c r="AM93" i="6"/>
  <c r="AM94" i="6"/>
  <c r="AM95" i="6"/>
  <c r="AM96" i="6"/>
  <c r="AM97" i="6"/>
  <c r="AM98" i="6"/>
  <c r="AM99" i="6"/>
  <c r="AM100" i="6"/>
  <c r="AM101" i="6"/>
  <c r="AM102" i="6"/>
  <c r="AM103" i="6"/>
  <c r="AM104" i="6"/>
  <c r="AM105" i="6"/>
  <c r="AM106" i="6"/>
  <c r="AM107" i="6"/>
  <c r="AM108" i="6"/>
  <c r="AM109" i="6"/>
  <c r="AM110" i="6"/>
  <c r="AM111" i="6"/>
  <c r="AM112" i="6"/>
  <c r="AM113" i="6"/>
  <c r="AM114" i="6"/>
  <c r="AM115" i="6"/>
  <c r="AM116" i="6"/>
  <c r="AM117" i="6"/>
  <c r="AM118" i="6"/>
  <c r="AL86" i="6"/>
  <c r="AL87" i="6"/>
  <c r="AL88" i="6"/>
  <c r="AL89" i="6"/>
  <c r="AL90" i="6"/>
  <c r="AL91" i="6"/>
  <c r="AL92" i="6"/>
  <c r="AL93" i="6"/>
  <c r="AL94" i="6"/>
  <c r="AL95" i="6"/>
  <c r="AL96" i="6"/>
  <c r="AL97" i="6"/>
  <c r="AL98" i="6"/>
  <c r="AL99" i="6"/>
  <c r="AL100" i="6"/>
  <c r="AL101" i="6"/>
  <c r="AL102" i="6"/>
  <c r="AL103" i="6"/>
  <c r="AL104" i="6"/>
  <c r="AL105" i="6"/>
  <c r="AL106" i="6"/>
  <c r="AL107" i="6"/>
  <c r="AL108" i="6"/>
  <c r="AL109" i="6"/>
  <c r="AL110" i="6"/>
  <c r="AL111" i="6"/>
  <c r="AL112" i="6"/>
  <c r="AL113" i="6"/>
  <c r="AL114" i="6"/>
  <c r="AL115" i="6"/>
  <c r="AL116" i="6"/>
  <c r="AL117" i="6"/>
  <c r="AL118" i="6"/>
  <c r="AM85" i="6"/>
  <c r="AN85" i="6"/>
  <c r="AO85" i="6"/>
  <c r="AP85" i="6"/>
  <c r="AQ85" i="6"/>
  <c r="AR85" i="6"/>
  <c r="AS85" i="6"/>
  <c r="AT85" i="6"/>
  <c r="AU85" i="6"/>
  <c r="AL85" i="6"/>
  <c r="AM84" i="6"/>
  <c r="AL84" i="6"/>
  <c r="AN84" i="6"/>
  <c r="AO84" i="6"/>
  <c r="AP84" i="6"/>
  <c r="AQ84" i="6"/>
  <c r="AR84" i="6"/>
  <c r="AS84" i="6"/>
  <c r="AT84" i="6"/>
  <c r="AU84" i="6"/>
  <c r="AI52" i="6"/>
  <c r="AI54" i="6"/>
  <c r="AI60" i="6"/>
  <c r="AI71" i="6"/>
  <c r="AI72" i="6"/>
  <c r="AI80" i="6"/>
  <c r="AH49" i="6"/>
  <c r="AH52" i="6"/>
  <c r="AH53" i="6"/>
  <c r="AH58" i="6"/>
  <c r="AH60" i="6"/>
  <c r="AH61" i="6"/>
  <c r="AH68" i="6"/>
  <c r="AH71" i="6"/>
  <c r="AH74" i="6"/>
  <c r="AH75" i="6"/>
  <c r="AH76" i="6"/>
  <c r="AG51" i="6"/>
  <c r="AG52" i="6"/>
  <c r="AG53" i="6"/>
  <c r="AG54" i="6"/>
  <c r="AG58" i="6"/>
  <c r="AG59" i="6"/>
  <c r="AG60" i="6"/>
  <c r="AG61" i="6"/>
  <c r="AG64" i="6"/>
  <c r="AG66" i="6"/>
  <c r="AG67" i="6"/>
  <c r="AG72" i="6"/>
  <c r="AG73" i="6"/>
  <c r="AG77" i="6"/>
  <c r="AF58" i="6"/>
  <c r="AE60" i="6"/>
  <c r="AE61" i="6"/>
  <c r="AE68" i="6"/>
  <c r="AD52" i="6"/>
  <c r="AD53" i="6"/>
  <c r="AD54" i="6"/>
  <c r="AD60" i="6"/>
  <c r="AD71" i="6"/>
  <c r="AC52" i="6"/>
  <c r="AC54" i="6"/>
  <c r="AC61" i="6"/>
  <c r="AC71" i="6"/>
  <c r="AB52" i="6"/>
  <c r="AB58" i="6"/>
  <c r="AB60" i="6"/>
  <c r="AB61" i="6"/>
  <c r="AB68" i="6"/>
  <c r="AB77" i="6"/>
  <c r="AA52" i="6"/>
  <c r="AA71" i="6"/>
  <c r="AA76" i="6"/>
  <c r="Z54" i="6"/>
  <c r="Z56" i="6"/>
  <c r="Z57" i="6"/>
  <c r="Z58" i="6"/>
  <c r="Z60" i="6"/>
  <c r="Z62" i="6"/>
  <c r="Z68" i="6"/>
  <c r="Z71" i="6"/>
  <c r="Z73" i="6"/>
  <c r="Z76" i="6"/>
  <c r="Z77" i="6"/>
  <c r="Z80" i="6"/>
  <c r="Z48" i="6"/>
  <c r="Z52" i="6"/>
  <c r="R13" i="11"/>
  <c r="Q13" i="11"/>
  <c r="R10" i="11"/>
  <c r="Q10" i="11"/>
  <c r="R15" i="11"/>
  <c r="S12" i="11"/>
  <c r="R12" i="11"/>
  <c r="Q12" i="11"/>
  <c r="S11" i="11"/>
  <c r="R11" i="11"/>
  <c r="E16" i="13" s="1"/>
  <c r="Q11" i="11"/>
  <c r="R5" i="11"/>
  <c r="Q5" i="11"/>
  <c r="S8" i="11"/>
  <c r="R8" i="11"/>
  <c r="Q8" i="11"/>
  <c r="R7" i="11"/>
  <c r="Q7" i="11"/>
  <c r="S6" i="11"/>
  <c r="S5" i="11"/>
  <c r="S4" i="11"/>
  <c r="R6" i="11"/>
  <c r="E17" i="13" s="1"/>
  <c r="Q6" i="11"/>
  <c r="D17" i="13" s="1"/>
  <c r="R4" i="11"/>
  <c r="E18" i="13" s="1"/>
  <c r="Q4" i="11"/>
  <c r="I5" i="2"/>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909"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79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61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581"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909"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79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61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581"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I4" i="2"/>
  <c r="C3" i="2"/>
  <c r="B27" i="2" a="1"/>
  <c r="I9" i="2" a="1"/>
  <c r="B10" i="2" a="1"/>
  <c r="G5" i="2" s="1"/>
  <c r="F9" i="2" a="1"/>
  <c r="G4" i="2" s="1"/>
  <c r="E5" i="2"/>
  <c r="E4" i="2"/>
  <c r="E3" i="2"/>
  <c r="C6" i="2"/>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909"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79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61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581"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C4" i="2"/>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AA54" i="6" s="1"/>
  <c r="K34" i="3"/>
  <c r="K35" i="3"/>
  <c r="K36" i="3"/>
  <c r="K37" i="3"/>
  <c r="K38" i="3"/>
  <c r="K39" i="3"/>
  <c r="K40" i="3"/>
  <c r="K41" i="3"/>
  <c r="K42" i="3"/>
  <c r="K43" i="3"/>
  <c r="K44" i="3"/>
  <c r="K45" i="3"/>
  <c r="K46" i="3"/>
  <c r="K47" i="3"/>
  <c r="K48" i="3"/>
  <c r="AG68" i="6" s="1"/>
  <c r="K49" i="3"/>
  <c r="K50" i="3"/>
  <c r="K51" i="3"/>
  <c r="K52" i="3"/>
  <c r="K53" i="3"/>
  <c r="AG74" i="6" s="1"/>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AG78" i="6" s="1"/>
  <c r="K106" i="3"/>
  <c r="K107" i="3"/>
  <c r="K108" i="3"/>
  <c r="K109" i="3"/>
  <c r="K110" i="3"/>
  <c r="K111" i="3"/>
  <c r="K112" i="3"/>
  <c r="K113" i="3"/>
  <c r="K114" i="3"/>
  <c r="K115" i="3"/>
  <c r="K116" i="3"/>
  <c r="K117" i="3"/>
  <c r="K118" i="3"/>
  <c r="K119" i="3"/>
  <c r="K120" i="3"/>
  <c r="AI59" i="6" s="1"/>
  <c r="K121" i="3"/>
  <c r="K122" i="3"/>
  <c r="K123" i="3"/>
  <c r="K124" i="3"/>
  <c r="K125" i="3"/>
  <c r="K126" i="3"/>
  <c r="K127" i="3"/>
  <c r="AG62" i="6" s="1"/>
  <c r="K128" i="3"/>
  <c r="K129" i="3"/>
  <c r="K130" i="3"/>
  <c r="K131" i="3"/>
  <c r="K132" i="3"/>
  <c r="K133" i="3"/>
  <c r="K134" i="3"/>
  <c r="K135" i="3"/>
  <c r="K136" i="3"/>
  <c r="K137" i="3"/>
  <c r="K138" i="3"/>
  <c r="AH66" i="6" s="1"/>
  <c r="K139" i="3"/>
  <c r="K140" i="3"/>
  <c r="K141" i="3"/>
  <c r="K142" i="3"/>
  <c r="K143" i="3"/>
  <c r="K144" i="3"/>
  <c r="K145" i="3"/>
  <c r="K146" i="3"/>
  <c r="K147" i="3"/>
  <c r="K148" i="3"/>
  <c r="K149" i="3"/>
  <c r="K150" i="3"/>
  <c r="AG69" i="6" s="1"/>
  <c r="K151" i="3"/>
  <c r="K152" i="3"/>
  <c r="K153" i="3"/>
  <c r="K154" i="3"/>
  <c r="K155" i="3"/>
  <c r="K156" i="3"/>
  <c r="K157" i="3"/>
  <c r="K158" i="3"/>
  <c r="K159" i="3"/>
  <c r="K160" i="3"/>
  <c r="K161" i="3"/>
  <c r="K162" i="3"/>
  <c r="K163" i="3"/>
  <c r="K164" i="3"/>
  <c r="K165" i="3"/>
  <c r="K166" i="3"/>
  <c r="K167" i="3"/>
  <c r="K168" i="3"/>
  <c r="K169" i="3"/>
  <c r="K170" i="3"/>
  <c r="AG76" i="6" s="1"/>
  <c r="K171" i="3"/>
  <c r="K172" i="3"/>
  <c r="K173" i="3"/>
  <c r="K174" i="3"/>
  <c r="K175" i="3"/>
  <c r="K176" i="3"/>
  <c r="K177" i="3"/>
  <c r="K178" i="3"/>
  <c r="K179" i="3"/>
  <c r="K180" i="3"/>
  <c r="K181" i="3"/>
  <c r="K182" i="3"/>
  <c r="K183" i="3"/>
  <c r="K184" i="3"/>
  <c r="K185" i="3"/>
  <c r="K186" i="3"/>
  <c r="K187" i="3"/>
  <c r="AH70" i="6" s="1"/>
  <c r="K188" i="3"/>
  <c r="K189" i="3"/>
  <c r="AG49" i="6" s="1"/>
  <c r="K190" i="3"/>
  <c r="K191" i="3"/>
  <c r="K192" i="3"/>
  <c r="K193" i="3"/>
  <c r="K194" i="3"/>
  <c r="K195" i="3"/>
  <c r="K196" i="3"/>
  <c r="K197" i="3"/>
  <c r="K198" i="3"/>
  <c r="K199" i="3"/>
  <c r="K200" i="3"/>
  <c r="K201" i="3"/>
  <c r="K202" i="3"/>
  <c r="K203" i="3"/>
  <c r="K204" i="3"/>
  <c r="AE53" i="6" s="1"/>
  <c r="K205" i="3"/>
  <c r="K206" i="3"/>
  <c r="K207" i="3"/>
  <c r="K208" i="3"/>
  <c r="K209" i="3"/>
  <c r="K210" i="3"/>
  <c r="AH47" i="6" s="1"/>
  <c r="K211" i="3"/>
  <c r="K212" i="3"/>
  <c r="K213" i="3"/>
  <c r="K214" i="3"/>
  <c r="K215" i="3"/>
  <c r="K216" i="3"/>
  <c r="K217" i="3"/>
  <c r="K218" i="3"/>
  <c r="K219" i="3"/>
  <c r="AI68" i="6" s="1"/>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AH59" i="6" s="1"/>
  <c r="K248" i="3"/>
  <c r="K249" i="3"/>
  <c r="K250" i="3"/>
  <c r="K251" i="3"/>
  <c r="K252" i="3"/>
  <c r="K253" i="3"/>
  <c r="K254" i="3"/>
  <c r="K255" i="3"/>
  <c r="K256" i="3"/>
  <c r="K257" i="3"/>
  <c r="Z72" i="6" s="1"/>
  <c r="K258" i="3"/>
  <c r="K259" i="3"/>
  <c r="K260" i="3"/>
  <c r="K261" i="3"/>
  <c r="K262" i="3"/>
  <c r="K263" i="3"/>
  <c r="AF52" i="6" s="1"/>
  <c r="K264" i="3"/>
  <c r="K265" i="3"/>
  <c r="K266" i="3"/>
  <c r="K267" i="3"/>
  <c r="K268" i="3"/>
  <c r="K269" i="3"/>
  <c r="K270" i="3"/>
  <c r="K271" i="3"/>
  <c r="K272" i="3"/>
  <c r="K273" i="3"/>
  <c r="K274" i="3"/>
  <c r="K275" i="3"/>
  <c r="K276" i="3"/>
  <c r="K277" i="3"/>
  <c r="AB71" i="6" s="1"/>
  <c r="K278" i="3"/>
  <c r="K279" i="3"/>
  <c r="K280" i="3"/>
  <c r="K281" i="3"/>
  <c r="K282" i="3"/>
  <c r="AE58" i="6" s="1"/>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AG65" i="6" s="1"/>
  <c r="K325" i="3"/>
  <c r="K326" i="3"/>
  <c r="K327" i="3"/>
  <c r="K328" i="3"/>
  <c r="K329" i="3"/>
  <c r="K330" i="3"/>
  <c r="K331" i="3"/>
  <c r="K332" i="3"/>
  <c r="AG55" i="6" s="1"/>
  <c r="K333" i="3"/>
  <c r="K334" i="3"/>
  <c r="K335" i="3"/>
  <c r="K336" i="3"/>
  <c r="K337" i="3"/>
  <c r="K338" i="3"/>
  <c r="K339" i="3"/>
  <c r="K340" i="3"/>
  <c r="K341" i="3"/>
  <c r="K342" i="3"/>
  <c r="K343" i="3"/>
  <c r="K344" i="3"/>
  <c r="K345" i="3"/>
  <c r="K346" i="3"/>
  <c r="K347" i="3"/>
  <c r="K348" i="3"/>
  <c r="K349" i="3"/>
  <c r="K350" i="3"/>
  <c r="K351" i="3"/>
  <c r="K352" i="3"/>
  <c r="K353" i="3"/>
  <c r="K354" i="3"/>
  <c r="AI69" i="6" s="1"/>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AA58" i="6" s="1"/>
  <c r="K391" i="3"/>
  <c r="K392" i="3"/>
  <c r="K393" i="3"/>
  <c r="K394" i="3"/>
  <c r="K395" i="3"/>
  <c r="K396" i="3"/>
  <c r="K397" i="3"/>
  <c r="Z75" i="6" s="1"/>
  <c r="K398" i="3"/>
  <c r="K399" i="3"/>
  <c r="K400" i="3"/>
  <c r="K401" i="3"/>
  <c r="K402" i="3"/>
  <c r="K403" i="3"/>
  <c r="K404" i="3"/>
  <c r="K405" i="3"/>
  <c r="K406" i="3"/>
  <c r="K407" i="3"/>
  <c r="K408" i="3"/>
  <c r="K409" i="3"/>
  <c r="K410" i="3"/>
  <c r="K411" i="3"/>
  <c r="K412" i="3"/>
  <c r="K413" i="3"/>
  <c r="K414" i="3"/>
  <c r="K415" i="3"/>
  <c r="AC72" i="6" s="1"/>
  <c r="K416" i="3"/>
  <c r="K417" i="3"/>
  <c r="K418" i="3"/>
  <c r="K419" i="3"/>
  <c r="K420" i="3"/>
  <c r="K421" i="3"/>
  <c r="K422" i="3"/>
  <c r="K423" i="3"/>
  <c r="AE52" i="6" s="1"/>
  <c r="K424" i="3"/>
  <c r="K425" i="3"/>
  <c r="K426" i="3"/>
  <c r="K427" i="3"/>
  <c r="K428" i="3"/>
  <c r="K429" i="3"/>
  <c r="AH57" i="6" s="1"/>
  <c r="K430" i="3"/>
  <c r="AE66" i="6" s="1"/>
  <c r="K431" i="3"/>
  <c r="K432" i="3"/>
  <c r="K433" i="3"/>
  <c r="K434" i="3"/>
  <c r="Z69" i="6" s="1"/>
  <c r="K435" i="3"/>
  <c r="K436" i="3"/>
  <c r="K437" i="3"/>
  <c r="K438" i="3"/>
  <c r="K439" i="3"/>
  <c r="K440" i="3"/>
  <c r="K441" i="3"/>
  <c r="K442" i="3"/>
  <c r="K443" i="3"/>
  <c r="K444" i="3"/>
  <c r="K445" i="3"/>
  <c r="AC80" i="6" s="1"/>
  <c r="K446" i="3"/>
  <c r="K447" i="3"/>
  <c r="K448" i="3"/>
  <c r="AG80" i="6" s="1"/>
  <c r="K449" i="3"/>
  <c r="AA56" i="6" s="1"/>
  <c r="K450" i="3"/>
  <c r="K451" i="3"/>
  <c r="K452" i="3"/>
  <c r="K453" i="3"/>
  <c r="K454" i="3"/>
  <c r="Z53" i="6" s="1"/>
  <c r="K455" i="3"/>
  <c r="K456" i="3"/>
  <c r="K457" i="3"/>
  <c r="K458" i="3"/>
  <c r="K459" i="3"/>
  <c r="K460" i="3"/>
  <c r="K461" i="3"/>
  <c r="AH79" i="6" s="1"/>
  <c r="K462" i="3"/>
  <c r="K463" i="3"/>
  <c r="K464" i="3"/>
  <c r="K465" i="3"/>
  <c r="K466" i="3"/>
  <c r="K467" i="3"/>
  <c r="K468" i="3"/>
  <c r="K469" i="3"/>
  <c r="K470" i="3"/>
  <c r="K471" i="3"/>
  <c r="K472" i="3"/>
  <c r="K473" i="3"/>
  <c r="AF61" i="6" s="1"/>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AG56" i="6" s="1"/>
  <c r="K520" i="3"/>
  <c r="K521" i="3"/>
  <c r="K522" i="3"/>
  <c r="K523" i="3"/>
  <c r="K524" i="3"/>
  <c r="K525" i="3"/>
  <c r="AI58" i="6" s="1"/>
  <c r="K526" i="3"/>
  <c r="K527" i="3"/>
  <c r="K528" i="3"/>
  <c r="K529" i="3"/>
  <c r="K530" i="3"/>
  <c r="K531" i="3"/>
  <c r="K532" i="3"/>
  <c r="K533" i="3"/>
  <c r="K534" i="3"/>
  <c r="K535" i="3"/>
  <c r="K536" i="3"/>
  <c r="K537" i="3"/>
  <c r="K538" i="3"/>
  <c r="K539" i="3"/>
  <c r="AC58" i="6" s="1"/>
  <c r="K540" i="3"/>
  <c r="K541" i="3"/>
  <c r="K542" i="3"/>
  <c r="K543" i="3"/>
  <c r="K544" i="3"/>
  <c r="K545" i="3"/>
  <c r="K546" i="3"/>
  <c r="AF60" i="6" s="1"/>
  <c r="K547" i="3"/>
  <c r="K548" i="3"/>
  <c r="K549" i="3"/>
  <c r="K550" i="3"/>
  <c r="K551" i="3"/>
  <c r="K552" i="3"/>
  <c r="K553" i="3"/>
  <c r="K554" i="3"/>
  <c r="K555" i="3"/>
  <c r="K556" i="3"/>
  <c r="K557" i="3"/>
  <c r="K558" i="3"/>
  <c r="AC64" i="6" s="1"/>
  <c r="K559" i="3"/>
  <c r="K560" i="3"/>
  <c r="K561" i="3"/>
  <c r="K562" i="3"/>
  <c r="K563" i="3"/>
  <c r="K564" i="3"/>
  <c r="K565" i="3"/>
  <c r="AB59" i="6" s="1"/>
  <c r="K566" i="3"/>
  <c r="K567" i="3"/>
  <c r="K568" i="3"/>
  <c r="K569" i="3"/>
  <c r="K570" i="3"/>
  <c r="K571" i="3"/>
  <c r="K572" i="3"/>
  <c r="K573" i="3"/>
  <c r="K574" i="3"/>
  <c r="K575" i="3"/>
  <c r="K576" i="3"/>
  <c r="K577" i="3"/>
  <c r="K578" i="3"/>
  <c r="K579" i="3"/>
  <c r="K580" i="3"/>
  <c r="K909" i="3"/>
  <c r="K582" i="3"/>
  <c r="K583" i="3"/>
  <c r="K584" i="3"/>
  <c r="K585" i="3"/>
  <c r="K586" i="3"/>
  <c r="K587" i="3"/>
  <c r="K588" i="3"/>
  <c r="K589" i="3"/>
  <c r="K590" i="3"/>
  <c r="K591" i="3"/>
  <c r="K592" i="3"/>
  <c r="K593" i="3"/>
  <c r="K594" i="3"/>
  <c r="K595" i="3"/>
  <c r="K596" i="3"/>
  <c r="K597" i="3"/>
  <c r="K598" i="3"/>
  <c r="K599" i="3"/>
  <c r="K600" i="3"/>
  <c r="K601" i="3"/>
  <c r="K602" i="3"/>
  <c r="AG57" i="6" s="1"/>
  <c r="K603" i="3"/>
  <c r="K604" i="3"/>
  <c r="K605" i="3"/>
  <c r="K606" i="3"/>
  <c r="K607" i="3"/>
  <c r="K608" i="3"/>
  <c r="K609" i="3"/>
  <c r="K610" i="3"/>
  <c r="K611" i="3"/>
  <c r="AH54" i="6" s="1"/>
  <c r="K612" i="3"/>
  <c r="K613" i="3"/>
  <c r="K614" i="3"/>
  <c r="K615" i="3"/>
  <c r="Z79" i="6" s="1"/>
  <c r="K796" i="3"/>
  <c r="K617" i="3"/>
  <c r="AC59" i="6" s="1"/>
  <c r="K618" i="3"/>
  <c r="K619" i="3"/>
  <c r="K620" i="3"/>
  <c r="K621" i="3"/>
  <c r="K622" i="3"/>
  <c r="AE76" i="6" s="1"/>
  <c r="K623" i="3"/>
  <c r="K624" i="3"/>
  <c r="AH72" i="6" s="1"/>
  <c r="K625" i="3"/>
  <c r="K626" i="3"/>
  <c r="K627" i="3"/>
  <c r="Z61" i="6" s="1"/>
  <c r="K628" i="3"/>
  <c r="K629" i="3"/>
  <c r="K630" i="3"/>
  <c r="K631" i="3"/>
  <c r="K632" i="3"/>
  <c r="K633" i="3"/>
  <c r="K634" i="3"/>
  <c r="K635" i="3"/>
  <c r="K636" i="3"/>
  <c r="AB73" i="6" s="1"/>
  <c r="K637" i="3"/>
  <c r="K638" i="3"/>
  <c r="K639" i="3"/>
  <c r="K640" i="3"/>
  <c r="K641" i="3"/>
  <c r="K642" i="3"/>
  <c r="K643" i="3"/>
  <c r="K644" i="3"/>
  <c r="Z47" i="6" s="1"/>
  <c r="K645" i="3"/>
  <c r="K646" i="3"/>
  <c r="K647" i="3"/>
  <c r="K648" i="3"/>
  <c r="K649" i="3"/>
  <c r="K650" i="3"/>
  <c r="K651" i="3"/>
  <c r="K652" i="3"/>
  <c r="K653" i="3"/>
  <c r="K654" i="3"/>
  <c r="K655" i="3"/>
  <c r="K656" i="3"/>
  <c r="K657" i="3"/>
  <c r="K658" i="3"/>
  <c r="AC57" i="6" s="1"/>
  <c r="K659" i="3"/>
  <c r="K660" i="3"/>
  <c r="K661" i="3"/>
  <c r="K662" i="3"/>
  <c r="K663" i="3"/>
  <c r="K664" i="3"/>
  <c r="K665" i="3"/>
  <c r="K666" i="3"/>
  <c r="K667" i="3"/>
  <c r="K668" i="3"/>
  <c r="K669" i="3"/>
  <c r="K670" i="3"/>
  <c r="AG63" i="6" s="1"/>
  <c r="K671" i="3"/>
  <c r="K672" i="3"/>
  <c r="K673" i="3"/>
  <c r="K674" i="3"/>
  <c r="AF76" i="6" s="1"/>
  <c r="K675" i="3"/>
  <c r="K676" i="3"/>
  <c r="K677" i="3"/>
  <c r="K678" i="3"/>
  <c r="K679" i="3"/>
  <c r="K680" i="3"/>
  <c r="K681" i="3"/>
  <c r="K682" i="3"/>
  <c r="K683" i="3"/>
  <c r="K684" i="3"/>
  <c r="K685" i="3"/>
  <c r="K686" i="3"/>
  <c r="K687" i="3"/>
  <c r="K688" i="3"/>
  <c r="AG75" i="6" s="1"/>
  <c r="K689" i="3"/>
  <c r="K690" i="3"/>
  <c r="K691" i="3"/>
  <c r="K692" i="3"/>
  <c r="K693" i="3"/>
  <c r="K694" i="3"/>
  <c r="K695" i="3"/>
  <c r="K696" i="3"/>
  <c r="K697" i="3"/>
  <c r="K698" i="3"/>
  <c r="K699" i="3"/>
  <c r="K700" i="3"/>
  <c r="K701" i="3"/>
  <c r="K702" i="3"/>
  <c r="K703" i="3"/>
  <c r="K704" i="3"/>
  <c r="AA57" i="6" s="1"/>
  <c r="K705" i="3"/>
  <c r="K706" i="3"/>
  <c r="K707" i="3"/>
  <c r="K708" i="3"/>
  <c r="K709" i="3"/>
  <c r="K710" i="3"/>
  <c r="K711" i="3"/>
  <c r="K712" i="3"/>
  <c r="K713" i="3"/>
  <c r="K714" i="3"/>
  <c r="AC75" i="6" s="1"/>
  <c r="K715" i="3"/>
  <c r="K716" i="3"/>
  <c r="K717" i="3"/>
  <c r="K718" i="3"/>
  <c r="K719" i="3"/>
  <c r="K720" i="3"/>
  <c r="Z64" i="6" s="1"/>
  <c r="K721" i="3"/>
  <c r="K722" i="3"/>
  <c r="K723" i="3"/>
  <c r="K724" i="3"/>
  <c r="K725" i="3"/>
  <c r="K726" i="3"/>
  <c r="K727" i="3"/>
  <c r="K728" i="3"/>
  <c r="K729" i="3"/>
  <c r="K730" i="3"/>
  <c r="K731" i="3"/>
  <c r="K732" i="3"/>
  <c r="K733" i="3"/>
  <c r="K734" i="3"/>
  <c r="K735" i="3"/>
  <c r="K736" i="3"/>
  <c r="AB51" i="6" s="1"/>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AH80" i="6" s="1"/>
  <c r="K773" i="3"/>
  <c r="K774" i="3"/>
  <c r="K775" i="3"/>
  <c r="K776" i="3"/>
  <c r="K777" i="3"/>
  <c r="K778" i="3"/>
  <c r="K779" i="3"/>
  <c r="K780" i="3"/>
  <c r="K781" i="3"/>
  <c r="K782" i="3"/>
  <c r="K783" i="3"/>
  <c r="K784" i="3"/>
  <c r="K785" i="3"/>
  <c r="AH65" i="6" s="1"/>
  <c r="K786" i="3"/>
  <c r="K787" i="3"/>
  <c r="K788" i="3"/>
  <c r="K789" i="3"/>
  <c r="K790" i="3"/>
  <c r="K791" i="3"/>
  <c r="K792" i="3"/>
  <c r="K793" i="3"/>
  <c r="K794" i="3"/>
  <c r="K795" i="3"/>
  <c r="K616" i="3"/>
  <c r="AA60" i="6" s="1"/>
  <c r="K797" i="3"/>
  <c r="K798" i="3"/>
  <c r="K799" i="3"/>
  <c r="K800" i="3"/>
  <c r="K801" i="3"/>
  <c r="K802" i="3"/>
  <c r="AG79" i="6" s="1"/>
  <c r="K803" i="3"/>
  <c r="K804" i="3"/>
  <c r="K805" i="3"/>
  <c r="K806" i="3"/>
  <c r="K807" i="3"/>
  <c r="K808" i="3"/>
  <c r="K809" i="3"/>
  <c r="K810" i="3"/>
  <c r="K811" i="3"/>
  <c r="K812" i="3"/>
  <c r="K813" i="3"/>
  <c r="K814" i="3"/>
  <c r="K815" i="3"/>
  <c r="K816" i="3"/>
  <c r="K817" i="3"/>
  <c r="K818" i="3"/>
  <c r="K819" i="3"/>
  <c r="K820" i="3"/>
  <c r="K821" i="3"/>
  <c r="K822" i="3"/>
  <c r="K823" i="3"/>
  <c r="K824" i="3"/>
  <c r="K825" i="3"/>
  <c r="AG71" i="6" s="1"/>
  <c r="K826" i="3"/>
  <c r="K827" i="3"/>
  <c r="K828" i="3"/>
  <c r="K829" i="3"/>
  <c r="K830" i="3"/>
  <c r="AA68" i="6" s="1"/>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AD68" i="6" s="1"/>
  <c r="K884" i="3"/>
  <c r="K885" i="3"/>
  <c r="K886" i="3"/>
  <c r="K887" i="3"/>
  <c r="K888" i="3"/>
  <c r="K889" i="3"/>
  <c r="AI53" i="6" s="1"/>
  <c r="K890" i="3"/>
  <c r="K891" i="3"/>
  <c r="AB54" i="6" s="1"/>
  <c r="K892" i="3"/>
  <c r="K893" i="3"/>
  <c r="Z51" i="6" s="1"/>
  <c r="K894" i="3"/>
  <c r="K895" i="3"/>
  <c r="K896" i="3"/>
  <c r="K897" i="3"/>
  <c r="K898" i="3"/>
  <c r="AF77" i="6" s="1"/>
  <c r="K899" i="3"/>
  <c r="K900" i="3"/>
  <c r="K901" i="3"/>
  <c r="K902" i="3"/>
  <c r="K903" i="3"/>
  <c r="K904" i="3"/>
  <c r="K905" i="3"/>
  <c r="K906" i="3"/>
  <c r="K907" i="3"/>
  <c r="K908" i="3"/>
  <c r="K581" i="3"/>
  <c r="K910" i="3"/>
  <c r="K911" i="3"/>
  <c r="K912" i="3"/>
  <c r="AI61" i="6" s="1"/>
  <c r="K913" i="3"/>
  <c r="K914" i="3"/>
  <c r="K915" i="3"/>
  <c r="Z74" i="6" s="1"/>
  <c r="K916" i="3"/>
  <c r="K917" i="3"/>
  <c r="K918" i="3"/>
  <c r="K919" i="3"/>
  <c r="K920" i="3"/>
  <c r="K921" i="3"/>
  <c r="K922" i="3"/>
  <c r="K923" i="3"/>
  <c r="K924" i="3"/>
  <c r="K925" i="3"/>
  <c r="K926" i="3"/>
  <c r="K927" i="3"/>
  <c r="K928" i="3"/>
  <c r="K929" i="3"/>
  <c r="K930" i="3"/>
  <c r="K931" i="3"/>
  <c r="K932" i="3"/>
  <c r="K933" i="3"/>
  <c r="K934" i="3"/>
  <c r="K935" i="3"/>
  <c r="K936" i="3"/>
  <c r="K937" i="3"/>
  <c r="AC76" i="6" s="1"/>
  <c r="K938" i="3"/>
  <c r="K939" i="3"/>
  <c r="K940" i="3"/>
  <c r="K941" i="3"/>
  <c r="K942" i="3"/>
  <c r="K943" i="3"/>
  <c r="K944" i="3"/>
  <c r="AD61" i="6" s="1"/>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AF71" i="6" s="1"/>
  <c r="K1001" i="3"/>
  <c r="F17" i="13" l="1"/>
  <c r="N71" i="13"/>
  <c r="M74" i="13"/>
  <c r="Q65" i="13"/>
  <c r="B61" i="13"/>
  <c r="G85" i="13"/>
  <c r="F85" i="13"/>
  <c r="L5" i="13"/>
  <c r="X4" i="11" a="1"/>
  <c r="K74" i="13" s="1"/>
  <c r="X10" i="11" a="1"/>
  <c r="K80" i="13" s="1"/>
  <c r="X11" i="11" a="1"/>
  <c r="K81" i="13" s="1"/>
  <c r="X12" i="11" a="1"/>
  <c r="K82" i="13" s="1"/>
  <c r="X13" i="11" a="1"/>
  <c r="K83" i="13" s="1"/>
  <c r="X3" i="11" a="1"/>
  <c r="K73" i="13" s="1"/>
  <c r="W3" i="11" a="1"/>
  <c r="K61" i="13" s="1"/>
  <c r="W7" i="11" a="1"/>
  <c r="K65" i="13" s="1"/>
  <c r="W8" i="11" a="1"/>
  <c r="K66" i="13" s="1"/>
  <c r="W9" i="11" a="1"/>
  <c r="K67" i="13" s="1"/>
  <c r="W10" i="11" a="1"/>
  <c r="K68" i="13" s="1"/>
  <c r="W11" i="11" a="1"/>
  <c r="K69" i="13" s="1"/>
  <c r="W13" i="11" a="1"/>
  <c r="K71" i="13" s="1"/>
  <c r="W14" i="11" a="1"/>
  <c r="K72" i="13" s="1"/>
  <c r="W5" i="11" a="1"/>
  <c r="K63" i="13" s="1"/>
  <c r="X14" i="11" a="1"/>
  <c r="K84" i="13" s="1"/>
  <c r="W12" i="11" a="1"/>
  <c r="K70" i="13" s="1"/>
  <c r="W4" i="11" a="1"/>
  <c r="K62" i="13" s="1"/>
  <c r="W6" i="11" a="1"/>
  <c r="K64" i="13" s="1"/>
  <c r="Q15" i="11"/>
  <c r="D16" i="13"/>
  <c r="J6" i="13"/>
  <c r="D18" i="13"/>
  <c r="F18" i="13" s="1"/>
  <c r="G15" i="13"/>
  <c r="B62" i="13"/>
  <c r="B64" i="13"/>
  <c r="F19" i="13"/>
  <c r="I18" i="13"/>
  <c r="M73" i="13"/>
  <c r="J5" i="13"/>
  <c r="E85" i="13"/>
  <c r="I85" i="13" s="1"/>
  <c r="J85" i="13"/>
  <c r="H85" i="13"/>
  <c r="Q71" i="13"/>
  <c r="T3" i="2" a="1"/>
  <c r="AD78" i="6"/>
  <c r="AC78" i="6"/>
  <c r="AD73" i="6"/>
  <c r="AC67" i="6"/>
  <c r="AD57" i="6"/>
  <c r="AF47" i="6"/>
  <c r="AH77" i="6"/>
  <c r="AD66" i="6"/>
  <c r="AH55" i="6"/>
  <c r="AB80" i="6"/>
  <c r="AD59" i="6"/>
  <c r="AC48" i="6"/>
  <c r="AE71" i="6"/>
  <c r="AE108" i="6" s="1"/>
  <c r="AE145" i="6" s="1"/>
  <c r="AF56" i="6"/>
  <c r="AH51" i="6"/>
  <c r="AE89" i="6"/>
  <c r="AE126" i="6" s="1"/>
  <c r="AA67" i="6"/>
  <c r="Z50" i="6"/>
  <c r="AA73" i="6"/>
  <c r="AF70" i="6"/>
  <c r="AB50" i="6"/>
  <c r="Z81" i="6"/>
  <c r="AB64" i="6"/>
  <c r="AA77" i="6"/>
  <c r="AI74" i="6"/>
  <c r="AA64" i="6"/>
  <c r="Z67" i="6"/>
  <c r="Z55" i="6"/>
  <c r="AI79" i="6"/>
  <c r="AC68" i="6"/>
  <c r="Z65" i="6"/>
  <c r="AC55" i="6"/>
  <c r="AH62" i="6"/>
  <c r="AI67" i="6"/>
  <c r="AH73" i="6"/>
  <c r="AD76" i="6"/>
  <c r="AA70" i="6"/>
  <c r="AA61" i="6"/>
  <c r="Z98" i="6" s="1"/>
  <c r="Z135" i="6" s="1"/>
  <c r="AI73" i="6"/>
  <c r="AA53" i="6"/>
  <c r="AB48" i="6"/>
  <c r="AI47" i="6"/>
  <c r="AE80" i="6"/>
  <c r="AD67" i="6"/>
  <c r="Z63" i="6"/>
  <c r="AI56" i="6"/>
  <c r="AF54" i="6"/>
  <c r="AI81" i="6"/>
  <c r="AC49" i="6"/>
  <c r="AD47" i="6"/>
  <c r="AE50" i="6"/>
  <c r="AI65" i="6"/>
  <c r="AH81" i="6"/>
  <c r="AF64" i="6"/>
  <c r="AE78" i="6"/>
  <c r="AF65" i="6"/>
  <c r="AE51" i="6"/>
  <c r="AI78" i="6"/>
  <c r="AB69" i="6"/>
  <c r="AE48" i="6"/>
  <c r="AA59" i="6"/>
  <c r="AD79" i="6"/>
  <c r="AF51" i="6"/>
  <c r="AE47" i="6"/>
  <c r="Z66" i="6"/>
  <c r="AD75" i="6"/>
  <c r="AD64" i="6"/>
  <c r="AD81" i="6"/>
  <c r="AD58" i="6"/>
  <c r="AD72" i="6"/>
  <c r="AI55" i="6"/>
  <c r="AA51" i="6"/>
  <c r="Z59" i="6"/>
  <c r="AE49" i="6"/>
  <c r="AB74" i="6"/>
  <c r="AB55" i="6"/>
  <c r="AD63" i="6"/>
  <c r="AA74" i="6"/>
  <c r="AF78" i="6"/>
  <c r="AC65" i="6"/>
  <c r="AB62" i="6"/>
  <c r="AB67" i="6"/>
  <c r="AF69" i="6"/>
  <c r="Z78" i="6"/>
  <c r="AA81" i="6"/>
  <c r="Z49" i="6"/>
  <c r="AA69" i="6"/>
  <c r="AF66" i="6"/>
  <c r="AF50" i="6"/>
  <c r="AB57" i="6"/>
  <c r="AF74" i="6"/>
  <c r="AE65" i="6"/>
  <c r="AC56" i="6"/>
  <c r="AI77" i="6"/>
  <c r="AH78" i="6"/>
  <c r="AH64" i="6"/>
  <c r="AD50" i="6"/>
  <c r="AF48" i="6"/>
  <c r="AF59" i="6"/>
  <c r="AB70" i="6"/>
  <c r="AG70" i="6"/>
  <c r="AA65" i="6"/>
  <c r="AB78" i="6"/>
  <c r="AI51" i="6"/>
  <c r="AE70" i="6"/>
  <c r="AF72" i="6"/>
  <c r="AA62" i="6"/>
  <c r="AC73" i="6"/>
  <c r="AB79" i="6"/>
  <c r="AC74" i="6"/>
  <c r="AC70" i="6"/>
  <c r="AF79" i="6"/>
  <c r="AE72" i="6"/>
  <c r="AB75" i="6"/>
  <c r="AF73" i="6"/>
  <c r="AC60" i="6"/>
  <c r="AD77" i="6"/>
  <c r="AF80" i="6"/>
  <c r="AI48" i="6"/>
  <c r="AD80" i="6"/>
  <c r="AD70" i="6"/>
  <c r="AE63" i="6"/>
  <c r="AF81" i="6"/>
  <c r="AE74" i="6"/>
  <c r="AA79" i="6"/>
  <c r="AE57" i="6"/>
  <c r="AB49" i="6"/>
  <c r="AC53" i="6"/>
  <c r="AE75" i="6"/>
  <c r="AA55" i="6"/>
  <c r="Z70" i="6"/>
  <c r="AG81" i="6"/>
  <c r="AE69" i="6"/>
  <c r="AD49" i="6"/>
  <c r="AC50" i="6"/>
  <c r="AI49" i="6"/>
  <c r="AE64" i="6"/>
  <c r="AG48" i="6"/>
  <c r="AC63" i="6"/>
  <c r="AA48" i="6"/>
  <c r="AF67" i="6"/>
  <c r="AB47" i="6"/>
  <c r="AF53" i="6"/>
  <c r="AI50" i="6"/>
  <c r="AD56" i="6"/>
  <c r="AH63" i="6"/>
  <c r="AF55" i="6"/>
  <c r="AF49" i="6"/>
  <c r="AA75" i="6"/>
  <c r="AI75" i="6"/>
  <c r="AI57" i="6"/>
  <c r="AI66" i="6"/>
  <c r="AF75" i="6"/>
  <c r="AB53" i="6"/>
  <c r="AI64" i="6"/>
  <c r="AE55" i="6"/>
  <c r="AE81" i="6"/>
  <c r="AC47" i="6"/>
  <c r="AC77" i="6"/>
  <c r="AC69" i="6"/>
  <c r="AA78" i="6"/>
  <c r="AI62" i="6"/>
  <c r="AB65" i="6"/>
  <c r="AD65" i="6"/>
  <c r="AB63" i="6"/>
  <c r="AC51" i="6"/>
  <c r="AA47" i="6"/>
  <c r="AD62" i="6"/>
  <c r="AC62" i="6"/>
  <c r="AD55" i="6"/>
  <c r="AD74" i="6"/>
  <c r="AF57" i="6"/>
  <c r="AC81" i="6"/>
  <c r="AB81" i="6"/>
  <c r="AC66" i="6"/>
  <c r="AH67" i="6"/>
  <c r="AF63" i="6"/>
  <c r="AA72" i="6"/>
  <c r="AB56" i="6"/>
  <c r="AE79" i="6"/>
  <c r="AD69" i="6"/>
  <c r="AE73" i="6"/>
  <c r="AI70" i="6"/>
  <c r="AE67" i="6"/>
  <c r="AI76" i="6"/>
  <c r="AF68" i="6"/>
  <c r="AG50" i="6"/>
  <c r="AA80" i="6"/>
  <c r="AH56" i="6"/>
  <c r="AB72" i="6"/>
  <c r="AH50" i="6"/>
  <c r="AE54" i="6"/>
  <c r="AF62" i="6"/>
  <c r="AA50" i="6"/>
  <c r="AD51" i="6"/>
  <c r="AI63" i="6"/>
  <c r="AE59" i="6"/>
  <c r="AE56" i="6"/>
  <c r="AB66" i="6"/>
  <c r="AE62" i="6"/>
  <c r="AB76" i="6"/>
  <c r="AD48" i="6"/>
  <c r="AA66" i="6"/>
  <c r="AH69" i="6"/>
  <c r="AA63" i="6"/>
  <c r="AG47" i="6"/>
  <c r="AG82" i="6" s="1"/>
  <c r="AC79" i="6"/>
  <c r="AH48" i="6"/>
  <c r="AA49" i="6"/>
  <c r="AE77" i="6"/>
  <c r="AI89" i="6"/>
  <c r="AI126" i="6" s="1"/>
  <c r="AH89" i="6"/>
  <c r="AH126" i="6" s="1"/>
  <c r="AG89" i="6"/>
  <c r="AG126" i="6" s="1"/>
  <c r="AD89" i="6"/>
  <c r="AD126" i="6" s="1"/>
  <c r="AC89" i="6"/>
  <c r="AC126" i="6" s="1"/>
  <c r="AB89" i="6"/>
  <c r="AB126" i="6" s="1"/>
  <c r="AA89" i="6"/>
  <c r="AA126" i="6" s="1"/>
  <c r="Z89" i="6"/>
  <c r="Z126" i="6" s="1"/>
  <c r="AF89" i="6"/>
  <c r="AF126" i="6" s="1"/>
  <c r="N2" i="3" a="1"/>
  <c r="N3" i="3" a="1"/>
  <c r="N4" i="3" a="1"/>
  <c r="N5" i="3" a="1"/>
  <c r="N6" i="3" a="1"/>
  <c r="N7" i="3" a="1"/>
  <c r="N8" i="3" a="1"/>
  <c r="N9" i="3" a="1"/>
  <c r="N10" i="3" a="1"/>
  <c r="N11" i="3" a="1"/>
  <c r="N12" i="3" a="1"/>
  <c r="N13" i="3" a="1"/>
  <c r="N14" i="3" a="1"/>
  <c r="N15" i="3" a="1"/>
  <c r="N16" i="3" a="1"/>
  <c r="N17" i="3" a="1"/>
  <c r="N18" i="3" a="1"/>
  <c r="N19" i="3" a="1"/>
  <c r="N20" i="3" a="1"/>
  <c r="N21" i="3" a="1"/>
  <c r="N22" i="3" a="1"/>
  <c r="N23" i="3" a="1"/>
  <c r="N24" i="3" a="1"/>
  <c r="N25" i="3" a="1"/>
  <c r="N26" i="3" a="1"/>
  <c r="N27" i="3" a="1"/>
  <c r="N28" i="3" a="1"/>
  <c r="N29" i="3" a="1"/>
  <c r="N30" i="3" a="1"/>
  <c r="N31" i="3" a="1"/>
  <c r="N32" i="3" a="1"/>
  <c r="N33" i="3" a="1"/>
  <c r="N34" i="3" a="1"/>
  <c r="N35" i="3" a="1"/>
  <c r="N36" i="3" a="1"/>
  <c r="N37" i="3" a="1"/>
  <c r="N38" i="3" a="1"/>
  <c r="N39" i="3" a="1"/>
  <c r="N40" i="3" a="1"/>
  <c r="N41" i="3" a="1"/>
  <c r="N42" i="3" a="1"/>
  <c r="N43" i="3" a="1"/>
  <c r="N44" i="3" a="1"/>
  <c r="N45" i="3" a="1"/>
  <c r="N46" i="3" a="1"/>
  <c r="N47" i="3" a="1"/>
  <c r="N48" i="3" a="1"/>
  <c r="N49" i="3" a="1"/>
  <c r="N50" i="3" a="1"/>
  <c r="N51" i="3" a="1"/>
  <c r="N52" i="3" a="1"/>
  <c r="N53" i="3" a="1"/>
  <c r="N54" i="3" a="1"/>
  <c r="N55" i="3" a="1"/>
  <c r="N56" i="3" a="1"/>
  <c r="N57" i="3" a="1"/>
  <c r="N58" i="3" a="1"/>
  <c r="N59" i="3" a="1"/>
  <c r="N60" i="3" a="1"/>
  <c r="N61" i="3" a="1"/>
  <c r="N62" i="3" a="1"/>
  <c r="N63" i="3" a="1"/>
  <c r="N64" i="3" a="1"/>
  <c r="N65" i="3" a="1"/>
  <c r="N66" i="3" a="1"/>
  <c r="N67" i="3" a="1"/>
  <c r="N68" i="3" a="1"/>
  <c r="N69" i="3" a="1"/>
  <c r="N70" i="3" a="1"/>
  <c r="N71" i="3" a="1"/>
  <c r="N72" i="3" a="1"/>
  <c r="N73" i="3" a="1"/>
  <c r="N74" i="3" a="1"/>
  <c r="N75" i="3" a="1"/>
  <c r="N76" i="3" a="1"/>
  <c r="N77" i="3" a="1"/>
  <c r="N78" i="3" a="1"/>
  <c r="N79" i="3" a="1"/>
  <c r="N168" i="3" a="1"/>
  <c r="N172" i="3" a="1"/>
  <c r="N174" i="3" a="1"/>
  <c r="N175" i="3" a="1"/>
  <c r="N177" i="3" a="1"/>
  <c r="N179" i="3" a="1"/>
  <c r="N181" i="3" a="1"/>
  <c r="N183" i="3" a="1"/>
  <c r="N184" i="3" a="1"/>
  <c r="N185" i="3" a="1"/>
  <c r="N186" i="3" a="1"/>
  <c r="N187" i="3" a="1"/>
  <c r="N188" i="3" a="1"/>
  <c r="N189" i="3" a="1"/>
  <c r="N190" i="3" a="1"/>
  <c r="N191" i="3" a="1"/>
  <c r="N192" i="3" a="1"/>
  <c r="N193" i="3" a="1"/>
  <c r="N194" i="3" a="1"/>
  <c r="N195" i="3" a="1"/>
  <c r="N196" i="3" a="1"/>
  <c r="N197" i="3" a="1"/>
  <c r="N198" i="3" a="1"/>
  <c r="N199" i="3" a="1"/>
  <c r="N200" i="3" a="1"/>
  <c r="N201" i="3" a="1"/>
  <c r="N202" i="3" a="1"/>
  <c r="N203" i="3" a="1"/>
  <c r="N204" i="3" a="1"/>
  <c r="N205" i="3" a="1"/>
  <c r="N206" i="3" a="1"/>
  <c r="N207" i="3" a="1"/>
  <c r="N208" i="3" a="1"/>
  <c r="N209" i="3" a="1"/>
  <c r="N210" i="3" a="1"/>
  <c r="N211" i="3" a="1"/>
  <c r="N212" i="3" a="1"/>
  <c r="N213" i="3" a="1"/>
  <c r="N214" i="3" a="1"/>
  <c r="N215" i="3" a="1"/>
  <c r="N216" i="3" a="1"/>
  <c r="N217" i="3" a="1"/>
  <c r="N218" i="3" a="1"/>
  <c r="N219" i="3" a="1"/>
  <c r="N220" i="3" a="1"/>
  <c r="N221" i="3" a="1"/>
  <c r="N222" i="3" a="1"/>
  <c r="N223" i="3" a="1"/>
  <c r="N224" i="3" a="1"/>
  <c r="N225" i="3" a="1"/>
  <c r="N226" i="3" a="1"/>
  <c r="N227" i="3" a="1"/>
  <c r="N228" i="3" a="1"/>
  <c r="N229" i="3" a="1"/>
  <c r="N230" i="3" a="1"/>
  <c r="N231" i="3" a="1"/>
  <c r="N232" i="3" a="1"/>
  <c r="N233" i="3" a="1"/>
  <c r="N234" i="3" a="1"/>
  <c r="N235" i="3" a="1"/>
  <c r="N236" i="3" a="1"/>
  <c r="N237" i="3" a="1"/>
  <c r="N238" i="3" a="1"/>
  <c r="N239" i="3" a="1"/>
  <c r="N240" i="3" a="1"/>
  <c r="N241" i="3" a="1"/>
  <c r="N242" i="3" a="1"/>
  <c r="N243" i="3" a="1"/>
  <c r="N244" i="3" a="1"/>
  <c r="N245" i="3" a="1"/>
  <c r="N246" i="3" a="1"/>
  <c r="N247" i="3" a="1"/>
  <c r="N248" i="3" a="1"/>
  <c r="N249" i="3" a="1"/>
  <c r="N250" i="3" a="1"/>
  <c r="N251" i="3" a="1"/>
  <c r="N252" i="3" a="1"/>
  <c r="N253" i="3" a="1"/>
  <c r="N254" i="3" a="1"/>
  <c r="N255" i="3" a="1"/>
  <c r="N256" i="3" a="1"/>
  <c r="N257" i="3" a="1"/>
  <c r="N258" i="3" a="1"/>
  <c r="N259" i="3" a="1"/>
  <c r="N260" i="3" a="1"/>
  <c r="N261" i="3" a="1"/>
  <c r="N262" i="3" a="1"/>
  <c r="N263" i="3" a="1"/>
  <c r="N264" i="3" a="1"/>
  <c r="N265" i="3" a="1"/>
  <c r="N266" i="3" a="1"/>
  <c r="N267" i="3" a="1"/>
  <c r="N268" i="3" a="1"/>
  <c r="N269" i="3" a="1"/>
  <c r="N270" i="3" a="1"/>
  <c r="N271" i="3" a="1"/>
  <c r="N272" i="3" a="1"/>
  <c r="N273" i="3" a="1"/>
  <c r="N274" i="3" a="1"/>
  <c r="N275" i="3" a="1"/>
  <c r="N276" i="3" a="1"/>
  <c r="N277" i="3" a="1"/>
  <c r="N278" i="3" a="1"/>
  <c r="N279" i="3" a="1"/>
  <c r="N280" i="3" a="1"/>
  <c r="N281" i="3" a="1"/>
  <c r="N282" i="3" a="1"/>
  <c r="N283" i="3" a="1"/>
  <c r="N284" i="3" a="1"/>
  <c r="N285" i="3" a="1"/>
  <c r="N286" i="3" a="1"/>
  <c r="N287" i="3" a="1"/>
  <c r="N288" i="3" a="1"/>
  <c r="N289" i="3" a="1"/>
  <c r="N290" i="3" a="1"/>
  <c r="N291" i="3" a="1"/>
  <c r="N292" i="3" a="1"/>
  <c r="N293" i="3" a="1"/>
  <c r="N294" i="3" a="1"/>
  <c r="N295" i="3" a="1"/>
  <c r="N296" i="3" a="1"/>
  <c r="N297" i="3" a="1"/>
  <c r="N298" i="3" a="1"/>
  <c r="N299" i="3" a="1"/>
  <c r="N300" i="3" a="1"/>
  <c r="N301" i="3" a="1"/>
  <c r="N302" i="3" a="1"/>
  <c r="N303" i="3" a="1"/>
  <c r="N304" i="3" a="1"/>
  <c r="N305" i="3" a="1"/>
  <c r="N306" i="3" a="1"/>
  <c r="N307" i="3" a="1"/>
  <c r="N308" i="3" a="1"/>
  <c r="N309" i="3" a="1"/>
  <c r="N310" i="3" a="1"/>
  <c r="N311" i="3" a="1"/>
  <c r="N312" i="3" a="1"/>
  <c r="N313" i="3" a="1"/>
  <c r="N314" i="3" a="1"/>
  <c r="N315" i="3" a="1"/>
  <c r="N316" i="3" a="1"/>
  <c r="N317" i="3" a="1"/>
  <c r="N318" i="3" a="1"/>
  <c r="N319" i="3" a="1"/>
  <c r="N320" i="3" a="1"/>
  <c r="N321" i="3" a="1"/>
  <c r="N322" i="3" a="1"/>
  <c r="N323" i="3" a="1"/>
  <c r="N324" i="3" a="1"/>
  <c r="N325" i="3" a="1"/>
  <c r="N326" i="3" a="1"/>
  <c r="N327" i="3" a="1"/>
  <c r="N328" i="3" a="1"/>
  <c r="N329" i="3" a="1"/>
  <c r="N330" i="3" a="1"/>
  <c r="N331" i="3" a="1"/>
  <c r="N332" i="3" a="1"/>
  <c r="N333" i="3" a="1"/>
  <c r="N334" i="3" a="1"/>
  <c r="N335" i="3" a="1"/>
  <c r="N336" i="3" a="1"/>
  <c r="N337" i="3" a="1"/>
  <c r="N338" i="3" a="1"/>
  <c r="N339" i="3" a="1"/>
  <c r="N340" i="3" a="1"/>
  <c r="N341" i="3" a="1"/>
  <c r="N342" i="3" a="1"/>
  <c r="N343" i="3" a="1"/>
  <c r="N344" i="3" a="1"/>
  <c r="N345" i="3" a="1"/>
  <c r="N346" i="3" a="1"/>
  <c r="N347" i="3" a="1"/>
  <c r="N348" i="3" a="1"/>
  <c r="N349" i="3" a="1"/>
  <c r="N350" i="3" a="1"/>
  <c r="N351" i="3" a="1"/>
  <c r="N352" i="3" a="1"/>
  <c r="N353" i="3" a="1"/>
  <c r="N354" i="3" a="1"/>
  <c r="N355" i="3" a="1"/>
  <c r="N356" i="3" a="1"/>
  <c r="N357" i="3" a="1"/>
  <c r="N358" i="3" a="1"/>
  <c r="N359" i="3" a="1"/>
  <c r="N360" i="3" a="1"/>
  <c r="N361" i="3" a="1"/>
  <c r="N362" i="3" a="1"/>
  <c r="N363" i="3" a="1"/>
  <c r="N364" i="3" a="1"/>
  <c r="N365" i="3" a="1"/>
  <c r="N366" i="3" a="1"/>
  <c r="N367" i="3" a="1"/>
  <c r="N368" i="3" a="1"/>
  <c r="N369" i="3" a="1"/>
  <c r="N370" i="3" a="1"/>
  <c r="N371" i="3" a="1"/>
  <c r="N372" i="3" a="1"/>
  <c r="N373" i="3" a="1"/>
  <c r="N374" i="3" a="1"/>
  <c r="N375" i="3" a="1"/>
  <c r="N376" i="3" a="1"/>
  <c r="N377" i="3" a="1"/>
  <c r="N378" i="3" a="1"/>
  <c r="N379" i="3" a="1"/>
  <c r="N380" i="3" a="1"/>
  <c r="N381" i="3" a="1"/>
  <c r="N382" i="3" a="1"/>
  <c r="N383" i="3" a="1"/>
  <c r="N384" i="3" a="1"/>
  <c r="N385" i="3" a="1"/>
  <c r="N386" i="3" a="1"/>
  <c r="N387" i="3" a="1"/>
  <c r="N388" i="3" a="1"/>
  <c r="N389" i="3" a="1"/>
  <c r="N390" i="3" a="1"/>
  <c r="N391" i="3" a="1"/>
  <c r="N392" i="3" a="1"/>
  <c r="N393" i="3" a="1"/>
  <c r="N394" i="3" a="1"/>
  <c r="N395" i="3" a="1"/>
  <c r="N396" i="3" a="1"/>
  <c r="N397" i="3" a="1"/>
  <c r="N398" i="3" a="1"/>
  <c r="N399" i="3" a="1"/>
  <c r="N400" i="3" a="1"/>
  <c r="N401" i="3" a="1"/>
  <c r="N402" i="3" a="1"/>
  <c r="N403" i="3" a="1"/>
  <c r="N404" i="3" a="1"/>
  <c r="N405" i="3" a="1"/>
  <c r="N406" i="3" a="1"/>
  <c r="N407" i="3" a="1"/>
  <c r="N408" i="3" a="1"/>
  <c r="N409" i="3" a="1"/>
  <c r="N410" i="3" a="1"/>
  <c r="N411" i="3" a="1"/>
  <c r="N412" i="3" a="1"/>
  <c r="N413" i="3" a="1"/>
  <c r="N414" i="3" a="1"/>
  <c r="N415" i="3" a="1"/>
  <c r="N416" i="3" a="1"/>
  <c r="N417" i="3" a="1"/>
  <c r="N418" i="3" a="1"/>
  <c r="N419" i="3" a="1"/>
  <c r="N420" i="3" a="1"/>
  <c r="N421" i="3" a="1"/>
  <c r="N422" i="3" a="1"/>
  <c r="N423" i="3" a="1"/>
  <c r="N424" i="3" a="1"/>
  <c r="N425" i="3" a="1"/>
  <c r="N426" i="3" a="1"/>
  <c r="N427" i="3" a="1"/>
  <c r="N428" i="3" a="1"/>
  <c r="N429" i="3" a="1"/>
  <c r="N430" i="3" a="1"/>
  <c r="N431" i="3" a="1"/>
  <c r="N432" i="3" a="1"/>
  <c r="N433" i="3" a="1"/>
  <c r="N434" i="3" a="1"/>
  <c r="N435" i="3" a="1"/>
  <c r="N436" i="3" a="1"/>
  <c r="N437" i="3" a="1"/>
  <c r="N438" i="3" a="1"/>
  <c r="N439" i="3" a="1"/>
  <c r="N440" i="3" a="1"/>
  <c r="N441" i="3" a="1"/>
  <c r="N442" i="3" a="1"/>
  <c r="N443" i="3" a="1"/>
  <c r="N444" i="3" a="1"/>
  <c r="N445" i="3" a="1"/>
  <c r="N446" i="3" a="1"/>
  <c r="N447" i="3" a="1"/>
  <c r="N448" i="3" a="1"/>
  <c r="N449" i="3" a="1"/>
  <c r="N450" i="3" a="1"/>
  <c r="N451" i="3" a="1"/>
  <c r="N452" i="3" a="1"/>
  <c r="N453" i="3" a="1"/>
  <c r="N454" i="3" a="1"/>
  <c r="N455" i="3" a="1"/>
  <c r="N456" i="3" a="1"/>
  <c r="N457" i="3" a="1"/>
  <c r="N458" i="3" a="1"/>
  <c r="N459" i="3" a="1"/>
  <c r="N460" i="3" a="1"/>
  <c r="N461" i="3" a="1"/>
  <c r="N462" i="3" a="1"/>
  <c r="N463" i="3" a="1"/>
  <c r="N464" i="3" a="1"/>
  <c r="N465" i="3" a="1"/>
  <c r="N466" i="3" a="1"/>
  <c r="N467" i="3" a="1"/>
  <c r="N468" i="3" a="1"/>
  <c r="N469" i="3" a="1"/>
  <c r="N470" i="3" a="1"/>
  <c r="N471" i="3" a="1"/>
  <c r="N472" i="3" a="1"/>
  <c r="N473" i="3" a="1"/>
  <c r="N474" i="3" a="1"/>
  <c r="N475" i="3" a="1"/>
  <c r="N476" i="3" a="1"/>
  <c r="N477" i="3" a="1"/>
  <c r="N478" i="3" a="1"/>
  <c r="N479" i="3" a="1"/>
  <c r="N480" i="3" a="1"/>
  <c r="N481" i="3" a="1"/>
  <c r="N482" i="3" a="1"/>
  <c r="N483" i="3" a="1"/>
  <c r="N484" i="3" a="1"/>
  <c r="N485" i="3" a="1"/>
  <c r="N486" i="3" a="1"/>
  <c r="N487" i="3" a="1"/>
  <c r="N488" i="3" a="1"/>
  <c r="N489" i="3" a="1"/>
  <c r="N490" i="3" a="1"/>
  <c r="N491" i="3" a="1"/>
  <c r="N492" i="3" a="1"/>
  <c r="N493" i="3" a="1"/>
  <c r="N494" i="3" a="1"/>
  <c r="N495" i="3" a="1"/>
  <c r="N496" i="3" a="1"/>
  <c r="N497" i="3" a="1"/>
  <c r="N498" i="3" a="1"/>
  <c r="N499" i="3" a="1"/>
  <c r="N500" i="3" a="1"/>
  <c r="N501" i="3" a="1"/>
  <c r="N502" i="3" a="1"/>
  <c r="N503" i="3" a="1"/>
  <c r="N504" i="3" a="1"/>
  <c r="N505" i="3" a="1"/>
  <c r="N506" i="3" a="1"/>
  <c r="N507" i="3" a="1"/>
  <c r="N508" i="3" a="1"/>
  <c r="N509" i="3" a="1"/>
  <c r="N510" i="3" a="1"/>
  <c r="N511" i="3" a="1"/>
  <c r="N512" i="3" a="1"/>
  <c r="N513" i="3" a="1"/>
  <c r="N514" i="3" a="1"/>
  <c r="N515" i="3" a="1"/>
  <c r="N516" i="3" a="1"/>
  <c r="N517" i="3" a="1"/>
  <c r="N518" i="3" a="1"/>
  <c r="N519" i="3" a="1"/>
  <c r="N520" i="3" a="1"/>
  <c r="N521" i="3" a="1"/>
  <c r="N522" i="3" a="1"/>
  <c r="N523" i="3" a="1"/>
  <c r="N524" i="3" a="1"/>
  <c r="N525" i="3" a="1"/>
  <c r="N526" i="3" a="1"/>
  <c r="N527" i="3" a="1"/>
  <c r="N528" i="3" a="1"/>
  <c r="N529" i="3" a="1"/>
  <c r="N530" i="3" a="1"/>
  <c r="N531" i="3" a="1"/>
  <c r="N532" i="3" a="1"/>
  <c r="N533" i="3" a="1"/>
  <c r="N534" i="3" a="1"/>
  <c r="N535" i="3" a="1"/>
  <c r="N536" i="3" a="1"/>
  <c r="N537" i="3" a="1"/>
  <c r="N538" i="3" a="1"/>
  <c r="N539" i="3" a="1"/>
  <c r="N540" i="3" a="1"/>
  <c r="N541" i="3" a="1"/>
  <c r="N542" i="3" a="1"/>
  <c r="N543" i="3" a="1"/>
  <c r="N544" i="3" a="1"/>
  <c r="N545" i="3" a="1"/>
  <c r="N546" i="3" a="1"/>
  <c r="N547" i="3" a="1"/>
  <c r="N548" i="3" a="1"/>
  <c r="N571" i="3" a="1"/>
  <c r="N573" i="3" a="1"/>
  <c r="N574" i="3" a="1"/>
  <c r="N576" i="3" a="1"/>
  <c r="N578" i="3" a="1"/>
  <c r="N579" i="3" a="1"/>
  <c r="N909" i="3" a="1"/>
  <c r="N583" i="3" a="1"/>
  <c r="N585" i="3" a="1"/>
  <c r="N587" i="3" a="1"/>
  <c r="N589" i="3" a="1"/>
  <c r="N590" i="3" a="1"/>
  <c r="N592" i="3" a="1"/>
  <c r="N594" i="3" a="1"/>
  <c r="N595" i="3" a="1"/>
  <c r="N597" i="3" a="1"/>
  <c r="N599" i="3" a="1"/>
  <c r="N601" i="3" a="1"/>
  <c r="N602" i="3" a="1"/>
  <c r="N604" i="3" a="1"/>
  <c r="N605" i="3" a="1"/>
  <c r="N607" i="3" a="1"/>
  <c r="N609" i="3" a="1"/>
  <c r="N610" i="3" a="1"/>
  <c r="N612" i="3" a="1"/>
  <c r="N613" i="3" a="1"/>
  <c r="N615" i="3" a="1"/>
  <c r="N617" i="3" a="1"/>
  <c r="N619" i="3" a="1"/>
  <c r="N621" i="3" a="1"/>
  <c r="N623" i="3" a="1"/>
  <c r="N624" i="3" a="1"/>
  <c r="N626" i="3" a="1"/>
  <c r="N627" i="3" a="1"/>
  <c r="N629" i="3" a="1"/>
  <c r="N631" i="3" a="1"/>
  <c r="N632" i="3" a="1"/>
  <c r="N633" i="3" a="1"/>
  <c r="N634" i="3" a="1"/>
  <c r="N635" i="3" a="1"/>
  <c r="N636" i="3" a="1"/>
  <c r="N637" i="3" a="1"/>
  <c r="N638" i="3" a="1"/>
  <c r="N639" i="3" a="1"/>
  <c r="N640" i="3" a="1"/>
  <c r="N641" i="3" a="1"/>
  <c r="N642" i="3" a="1"/>
  <c r="N643" i="3" a="1"/>
  <c r="N644" i="3" a="1"/>
  <c r="N645" i="3" a="1"/>
  <c r="N646" i="3" a="1"/>
  <c r="N647" i="3" a="1"/>
  <c r="N648" i="3" a="1"/>
  <c r="N649" i="3" a="1"/>
  <c r="N650" i="3" a="1"/>
  <c r="N651" i="3" a="1"/>
  <c r="N653" i="3" a="1"/>
  <c r="N654" i="3" a="1"/>
  <c r="N656" i="3" a="1"/>
  <c r="N657" i="3" a="1"/>
  <c r="N659" i="3" a="1"/>
  <c r="N661" i="3" a="1"/>
  <c r="N663" i="3" a="1"/>
  <c r="N664" i="3" a="1"/>
  <c r="N666" i="3" a="1"/>
  <c r="N667" i="3" a="1"/>
  <c r="N669" i="3" a="1"/>
  <c r="N671" i="3" a="1"/>
  <c r="N673" i="3" a="1"/>
  <c r="N675" i="3" a="1"/>
  <c r="N676" i="3" a="1"/>
  <c r="N678" i="3" a="1"/>
  <c r="N680" i="3" a="1"/>
  <c r="N682" i="3" a="1"/>
  <c r="N683" i="3" a="1"/>
  <c r="N685" i="3" a="1"/>
  <c r="N686" i="3" a="1"/>
  <c r="N688" i="3" a="1"/>
  <c r="N690" i="3" a="1"/>
  <c r="N691" i="3" a="1"/>
  <c r="N693" i="3" a="1"/>
  <c r="N695" i="3" a="1"/>
  <c r="N697" i="3" a="1"/>
  <c r="N699" i="3" a="1"/>
  <c r="N701" i="3" a="1"/>
  <c r="N703" i="3" a="1"/>
  <c r="N705" i="3" a="1"/>
  <c r="N706" i="3" a="1"/>
  <c r="N707" i="3" a="1"/>
  <c r="N709" i="3" a="1"/>
  <c r="N710" i="3" a="1"/>
  <c r="N712" i="3" a="1"/>
  <c r="N714" i="3" a="1"/>
  <c r="N715" i="3" a="1"/>
  <c r="N717" i="3" a="1"/>
  <c r="N719" i="3" a="1"/>
  <c r="N721" i="3" a="1"/>
  <c r="N723" i="3" a="1"/>
  <c r="N725" i="3" a="1"/>
  <c r="N727" i="3" a="1"/>
  <c r="N728" i="3" a="1"/>
  <c r="N730" i="3" a="1"/>
  <c r="N780" i="3" a="1"/>
  <c r="N783" i="3" a="1"/>
  <c r="N786" i="3" a="1"/>
  <c r="N788" i="3" a="1"/>
  <c r="N791" i="3" a="1"/>
  <c r="N794" i="3" a="1"/>
  <c r="N616" i="3" a="1"/>
  <c r="N798" i="3" a="1"/>
  <c r="N800" i="3" a="1"/>
  <c r="N801" i="3" a="1"/>
  <c r="N803" i="3" a="1"/>
  <c r="N804" i="3" a="1"/>
  <c r="N806" i="3" a="1"/>
  <c r="N807" i="3" a="1"/>
  <c r="N809" i="3" a="1"/>
  <c r="N812" i="3" a="1"/>
  <c r="N815" i="3" a="1"/>
  <c r="N818" i="3" a="1"/>
  <c r="N821" i="3" a="1"/>
  <c r="N824" i="3" a="1"/>
  <c r="N826" i="3" a="1"/>
  <c r="N829" i="3" a="1"/>
  <c r="N831" i="3" a="1"/>
  <c r="N834" i="3" a="1"/>
  <c r="N836" i="3" a="1"/>
  <c r="N840" i="3" a="1"/>
  <c r="N842" i="3" a="1"/>
  <c r="N845" i="3" a="1"/>
  <c r="N848" i="3" a="1"/>
  <c r="N851" i="3" a="1"/>
  <c r="N854" i="3" a="1"/>
  <c r="N857" i="3" a="1"/>
  <c r="N860" i="3" a="1"/>
  <c r="N862" i="3" a="1"/>
  <c r="N865" i="3" a="1"/>
  <c r="N868" i="3" a="1"/>
  <c r="N871" i="3" a="1"/>
  <c r="N874" i="3" a="1"/>
  <c r="N876" i="3" a="1"/>
  <c r="N878" i="3" a="1"/>
  <c r="N881" i="3" a="1"/>
  <c r="N884" i="3" a="1"/>
  <c r="N887" i="3" a="1"/>
  <c r="N889" i="3" a="1"/>
  <c r="N891" i="3" a="1"/>
  <c r="N893" i="3" a="1"/>
  <c r="N895" i="3" a="1"/>
  <c r="N898" i="3" a="1"/>
  <c r="N900" i="3" a="1"/>
  <c r="N901" i="3" a="1"/>
  <c r="N903" i="3" a="1"/>
  <c r="N905" i="3" a="1"/>
  <c r="N907" i="3" a="1"/>
  <c r="N908" i="3" a="1"/>
  <c r="N910" i="3" a="1"/>
  <c r="N911" i="3" a="1"/>
  <c r="N913" i="3" a="1"/>
  <c r="N549" i="3" a="1"/>
  <c r="N550" i="3" a="1"/>
  <c r="N551" i="3" a="1"/>
  <c r="N552" i="3" a="1"/>
  <c r="N553" i="3" a="1"/>
  <c r="N554" i="3" a="1"/>
  <c r="N555" i="3" a="1"/>
  <c r="N556" i="3" a="1"/>
  <c r="N557" i="3" a="1"/>
  <c r="N558" i="3" a="1"/>
  <c r="N559" i="3" a="1"/>
  <c r="N560" i="3" a="1"/>
  <c r="N561" i="3" a="1"/>
  <c r="N562" i="3" a="1"/>
  <c r="N563" i="3" a="1"/>
  <c r="N564" i="3" a="1"/>
  <c r="N565" i="3" a="1"/>
  <c r="N566" i="3" a="1"/>
  <c r="N567" i="3" a="1"/>
  <c r="N568" i="3" a="1"/>
  <c r="N569" i="3" a="1"/>
  <c r="N570" i="3" a="1"/>
  <c r="N572" i="3" a="1"/>
  <c r="N575" i="3" a="1"/>
  <c r="N577" i="3" a="1"/>
  <c r="N580" i="3" a="1"/>
  <c r="N582" i="3" a="1"/>
  <c r="N584" i="3" a="1"/>
  <c r="N586" i="3" a="1"/>
  <c r="N588" i="3" a="1"/>
  <c r="N591" i="3" a="1"/>
  <c r="N593" i="3" a="1"/>
  <c r="N596" i="3" a="1"/>
  <c r="N598" i="3" a="1"/>
  <c r="N600" i="3" a="1"/>
  <c r="N603" i="3" a="1"/>
  <c r="N606" i="3" a="1"/>
  <c r="N608" i="3" a="1"/>
  <c r="N611" i="3" a="1"/>
  <c r="N614" i="3" a="1"/>
  <c r="N796" i="3" a="1"/>
  <c r="N618" i="3" a="1"/>
  <c r="N620" i="3" a="1"/>
  <c r="N622" i="3" a="1"/>
  <c r="N625" i="3" a="1"/>
  <c r="N628" i="3" a="1"/>
  <c r="N630" i="3" a="1"/>
  <c r="N652" i="3" a="1"/>
  <c r="N655" i="3" a="1"/>
  <c r="N658" i="3" a="1"/>
  <c r="N660" i="3" a="1"/>
  <c r="N662" i="3" a="1"/>
  <c r="N665" i="3" a="1"/>
  <c r="N668" i="3" a="1"/>
  <c r="N670" i="3" a="1"/>
  <c r="N672" i="3" a="1"/>
  <c r="N674" i="3" a="1"/>
  <c r="N677" i="3" a="1"/>
  <c r="N679" i="3" a="1"/>
  <c r="N681" i="3" a="1"/>
  <c r="N684" i="3" a="1"/>
  <c r="N687" i="3" a="1"/>
  <c r="N689" i="3" a="1"/>
  <c r="N692" i="3" a="1"/>
  <c r="N694" i="3" a="1"/>
  <c r="N696" i="3" a="1"/>
  <c r="N698" i="3" a="1"/>
  <c r="N700" i="3" a="1"/>
  <c r="N702" i="3" a="1"/>
  <c r="N704" i="3" a="1"/>
  <c r="N708" i="3" a="1"/>
  <c r="N711" i="3" a="1"/>
  <c r="N713" i="3" a="1"/>
  <c r="N716" i="3" a="1"/>
  <c r="N718" i="3" a="1"/>
  <c r="N720" i="3" a="1"/>
  <c r="N722" i="3" a="1"/>
  <c r="N724" i="3" a="1"/>
  <c r="N726" i="3" a="1"/>
  <c r="N729" i="3" a="1"/>
  <c r="N779" i="3" a="1"/>
  <c r="N782" i="3" a="1"/>
  <c r="N785" i="3" a="1"/>
  <c r="N789" i="3" a="1"/>
  <c r="N792" i="3" a="1"/>
  <c r="N795" i="3" a="1"/>
  <c r="N811" i="3" a="1"/>
  <c r="N814" i="3" a="1"/>
  <c r="N817" i="3" a="1"/>
  <c r="N820" i="3" a="1"/>
  <c r="N823" i="3" a="1"/>
  <c r="N825" i="3" a="1"/>
  <c r="N828" i="3" a="1"/>
  <c r="N833" i="3" a="1"/>
  <c r="N835" i="3" a="1"/>
  <c r="N838" i="3" a="1"/>
  <c r="N841" i="3" a="1"/>
  <c r="N844" i="3" a="1"/>
  <c r="N847" i="3" a="1"/>
  <c r="N850" i="3" a="1"/>
  <c r="N853" i="3" a="1"/>
  <c r="N856" i="3" a="1"/>
  <c r="N859" i="3" a="1"/>
  <c r="N863" i="3" a="1"/>
  <c r="N867" i="3" a="1"/>
  <c r="N870" i="3" a="1"/>
  <c r="N872" i="3" a="1"/>
  <c r="N875" i="3" a="1"/>
  <c r="N879" i="3" a="1"/>
  <c r="N882" i="3" a="1"/>
  <c r="N885" i="3" a="1"/>
  <c r="N888" i="3" a="1"/>
  <c r="N892" i="3" a="1"/>
  <c r="N896" i="3" a="1"/>
  <c r="N899" i="3" a="1"/>
  <c r="N902" i="3" a="1"/>
  <c r="N904" i="3" a="1"/>
  <c r="N906" i="3" a="1"/>
  <c r="N581" i="3" a="1"/>
  <c r="N912" i="3" a="1"/>
  <c r="N731" i="3" a="1"/>
  <c r="N732" i="3" a="1"/>
  <c r="N733" i="3" a="1"/>
  <c r="N734" i="3" a="1"/>
  <c r="N735" i="3" a="1"/>
  <c r="N736" i="3" a="1"/>
  <c r="N737" i="3" a="1"/>
  <c r="N738" i="3" a="1"/>
  <c r="N739" i="3" a="1"/>
  <c r="N740" i="3" a="1"/>
  <c r="N741" i="3" a="1"/>
  <c r="N742" i="3" a="1"/>
  <c r="N743" i="3" a="1"/>
  <c r="N744" i="3" a="1"/>
  <c r="N745" i="3" a="1"/>
  <c r="N746" i="3" a="1"/>
  <c r="N747" i="3" a="1"/>
  <c r="N748" i="3" a="1"/>
  <c r="N749" i="3" a="1"/>
  <c r="N750" i="3" a="1"/>
  <c r="N751" i="3" a="1"/>
  <c r="N752" i="3" a="1"/>
  <c r="N753" i="3" a="1"/>
  <c r="N754" i="3" a="1"/>
  <c r="N755" i="3" a="1"/>
  <c r="N756" i="3" a="1"/>
  <c r="N757" i="3" a="1"/>
  <c r="N758" i="3" a="1"/>
  <c r="N759" i="3" a="1"/>
  <c r="N760" i="3" a="1"/>
  <c r="N761" i="3" a="1"/>
  <c r="N762" i="3" a="1"/>
  <c r="N763" i="3" a="1"/>
  <c r="N764" i="3" a="1"/>
  <c r="N765" i="3" a="1"/>
  <c r="N766" i="3" a="1"/>
  <c r="N767" i="3" a="1"/>
  <c r="N768" i="3" a="1"/>
  <c r="N769" i="3" a="1"/>
  <c r="N770" i="3" a="1"/>
  <c r="N771" i="3" a="1"/>
  <c r="N772" i="3" a="1"/>
  <c r="N773" i="3" a="1"/>
  <c r="N774" i="3" a="1"/>
  <c r="N775" i="3" a="1"/>
  <c r="N776" i="3" a="1"/>
  <c r="N777" i="3" a="1"/>
  <c r="N778" i="3" a="1"/>
  <c r="N781" i="3" a="1"/>
  <c r="N784" i="3" a="1"/>
  <c r="N787" i="3" a="1"/>
  <c r="N790" i="3" a="1"/>
  <c r="N793" i="3" a="1"/>
  <c r="N797" i="3" a="1"/>
  <c r="N799" i="3" a="1"/>
  <c r="N802" i="3" a="1"/>
  <c r="N805" i="3" a="1"/>
  <c r="N808" i="3" a="1"/>
  <c r="N810" i="3" a="1"/>
  <c r="N813" i="3" a="1"/>
  <c r="N816" i="3" a="1"/>
  <c r="N819" i="3" a="1"/>
  <c r="N822" i="3" a="1"/>
  <c r="N827" i="3" a="1"/>
  <c r="N830" i="3" a="1"/>
  <c r="N832" i="3" a="1"/>
  <c r="N837" i="3" a="1"/>
  <c r="N839" i="3" a="1"/>
  <c r="N843" i="3" a="1"/>
  <c r="N846" i="3" a="1"/>
  <c r="N849" i="3" a="1"/>
  <c r="N852" i="3" a="1"/>
  <c r="N855" i="3" a="1"/>
  <c r="N858" i="3" a="1"/>
  <c r="N861" i="3" a="1"/>
  <c r="N864" i="3" a="1"/>
  <c r="N866" i="3" a="1"/>
  <c r="N869" i="3" a="1"/>
  <c r="N873" i="3" a="1"/>
  <c r="N877" i="3" a="1"/>
  <c r="N880" i="3" a="1"/>
  <c r="N883" i="3" a="1"/>
  <c r="N886" i="3" a="1"/>
  <c r="N890" i="3" a="1"/>
  <c r="N894" i="3" a="1"/>
  <c r="N897" i="3" a="1"/>
  <c r="N914" i="3" a="1"/>
  <c r="N915" i="3" a="1"/>
  <c r="N916" i="3" a="1"/>
  <c r="N917" i="3" a="1"/>
  <c r="N918" i="3" a="1"/>
  <c r="N919" i="3" a="1"/>
  <c r="N920" i="3" a="1"/>
  <c r="N921" i="3" a="1"/>
  <c r="N922" i="3" a="1"/>
  <c r="N923" i="3" a="1"/>
  <c r="N924" i="3" a="1"/>
  <c r="N925" i="3" a="1"/>
  <c r="N926" i="3" a="1"/>
  <c r="N927" i="3" a="1"/>
  <c r="N928" i="3" a="1"/>
  <c r="N929" i="3" a="1"/>
  <c r="N930" i="3" a="1"/>
  <c r="N931" i="3" a="1"/>
  <c r="N932" i="3" a="1"/>
  <c r="N933" i="3" a="1"/>
  <c r="N934" i="3" a="1"/>
  <c r="N935" i="3" a="1"/>
  <c r="N936" i="3" a="1"/>
  <c r="N937" i="3" a="1"/>
  <c r="N938" i="3" a="1"/>
  <c r="N939" i="3" a="1"/>
  <c r="N940" i="3" a="1"/>
  <c r="N941" i="3" a="1"/>
  <c r="N942" i="3" a="1"/>
  <c r="N943" i="3" a="1"/>
  <c r="N944" i="3" a="1"/>
  <c r="N945" i="3" a="1"/>
  <c r="N946" i="3" a="1"/>
  <c r="N947" i="3" a="1"/>
  <c r="N948" i="3" a="1"/>
  <c r="N949" i="3" a="1"/>
  <c r="N950" i="3" a="1"/>
  <c r="N951" i="3" a="1"/>
  <c r="N952" i="3" a="1"/>
  <c r="N953" i="3" a="1"/>
  <c r="N954" i="3" a="1"/>
  <c r="N955" i="3" a="1"/>
  <c r="N956" i="3" a="1"/>
  <c r="N957" i="3" a="1"/>
  <c r="N958" i="3" a="1"/>
  <c r="N959" i="3" a="1"/>
  <c r="N960" i="3" a="1"/>
  <c r="N961" i="3" a="1"/>
  <c r="N962" i="3" a="1"/>
  <c r="N963" i="3" a="1"/>
  <c r="N964" i="3" a="1"/>
  <c r="N965" i="3" a="1"/>
  <c r="N966" i="3" a="1"/>
  <c r="N967" i="3" a="1"/>
  <c r="N968" i="3" a="1"/>
  <c r="N969" i="3" a="1"/>
  <c r="N970" i="3" a="1"/>
  <c r="N971" i="3" a="1"/>
  <c r="N972" i="3" a="1"/>
  <c r="N973" i="3" a="1"/>
  <c r="N974" i="3" a="1"/>
  <c r="N975" i="3" a="1"/>
  <c r="N976" i="3" a="1"/>
  <c r="N977" i="3" a="1"/>
  <c r="N978" i="3" a="1"/>
  <c r="N979" i="3" a="1"/>
  <c r="N980" i="3" a="1"/>
  <c r="N981" i="3" a="1"/>
  <c r="N982" i="3" a="1"/>
  <c r="N983" i="3" a="1"/>
  <c r="N984" i="3" a="1"/>
  <c r="N985" i="3" a="1"/>
  <c r="N986" i="3" a="1"/>
  <c r="N987" i="3" a="1"/>
  <c r="N988" i="3" a="1"/>
  <c r="N989" i="3" a="1"/>
  <c r="N990" i="3" a="1"/>
  <c r="N991" i="3" a="1"/>
  <c r="N992" i="3" a="1"/>
  <c r="N993" i="3" a="1"/>
  <c r="N994" i="3" a="1"/>
  <c r="N995" i="3" a="1"/>
  <c r="N996" i="3" a="1"/>
  <c r="N997" i="3" a="1"/>
  <c r="N998" i="3" a="1"/>
  <c r="N999" i="3" a="1"/>
  <c r="N1000" i="3" a="1"/>
  <c r="N1001" i="3" a="1"/>
  <c r="N80" i="3" a="1"/>
  <c r="N81" i="3" a="1"/>
  <c r="N82" i="3" a="1"/>
  <c r="N83" i="3" a="1"/>
  <c r="N84" i="3" a="1"/>
  <c r="N85" i="3" a="1"/>
  <c r="N86" i="3" a="1"/>
  <c r="N87" i="3" a="1"/>
  <c r="N88" i="3" a="1"/>
  <c r="N89" i="3" a="1"/>
  <c r="N90" i="3" a="1"/>
  <c r="N91" i="3" a="1"/>
  <c r="N92" i="3" a="1"/>
  <c r="N93" i="3" a="1"/>
  <c r="N94" i="3" a="1"/>
  <c r="N95" i="3" a="1"/>
  <c r="N96" i="3" a="1"/>
  <c r="N97" i="3" a="1"/>
  <c r="N98" i="3" a="1"/>
  <c r="N99" i="3" a="1"/>
  <c r="N100" i="3" a="1"/>
  <c r="N101" i="3" a="1"/>
  <c r="N102" i="3" a="1"/>
  <c r="N103" i="3" a="1"/>
  <c r="N104" i="3" a="1"/>
  <c r="N105" i="3" a="1"/>
  <c r="N106" i="3" a="1"/>
  <c r="N107" i="3" a="1"/>
  <c r="N108" i="3" a="1"/>
  <c r="N109" i="3" a="1"/>
  <c r="N110" i="3" a="1"/>
  <c r="N111" i="3" a="1"/>
  <c r="N112" i="3" a="1"/>
  <c r="N113" i="3" a="1"/>
  <c r="N114" i="3" a="1"/>
  <c r="N115" i="3" a="1"/>
  <c r="N116" i="3" a="1"/>
  <c r="N117" i="3" a="1"/>
  <c r="N118" i="3" a="1"/>
  <c r="N119" i="3" a="1"/>
  <c r="N120" i="3" a="1"/>
  <c r="N121" i="3" a="1"/>
  <c r="N122" i="3" a="1"/>
  <c r="N123" i="3" a="1"/>
  <c r="N124" i="3" a="1"/>
  <c r="N125" i="3" a="1"/>
  <c r="N126" i="3" a="1"/>
  <c r="N127" i="3" a="1"/>
  <c r="N128" i="3" a="1"/>
  <c r="N129" i="3" a="1"/>
  <c r="N130" i="3" a="1"/>
  <c r="N131" i="3" a="1"/>
  <c r="N132" i="3" a="1"/>
  <c r="N133" i="3" a="1"/>
  <c r="N134" i="3" a="1"/>
  <c r="N135" i="3" a="1"/>
  <c r="N136" i="3" a="1"/>
  <c r="N137" i="3" a="1"/>
  <c r="N138" i="3" a="1"/>
  <c r="N139" i="3" a="1"/>
  <c r="N140" i="3" a="1"/>
  <c r="N141" i="3" a="1"/>
  <c r="N142" i="3" a="1"/>
  <c r="N143" i="3" a="1"/>
  <c r="N144" i="3" a="1"/>
  <c r="N145" i="3" a="1"/>
  <c r="N146" i="3" a="1"/>
  <c r="N147" i="3" a="1"/>
  <c r="N148" i="3" a="1"/>
  <c r="N149" i="3" a="1"/>
  <c r="N150" i="3" a="1"/>
  <c r="N151" i="3" a="1"/>
  <c r="N152" i="3" a="1"/>
  <c r="N153" i="3" a="1"/>
  <c r="N154" i="3" a="1"/>
  <c r="N155" i="3" a="1"/>
  <c r="N156" i="3" a="1"/>
  <c r="N157" i="3" a="1"/>
  <c r="N158" i="3" a="1"/>
  <c r="N159" i="3" a="1"/>
  <c r="N160" i="3" a="1"/>
  <c r="N161" i="3" a="1"/>
  <c r="N162" i="3" a="1"/>
  <c r="N163" i="3" a="1"/>
  <c r="N164" i="3" a="1"/>
  <c r="N165" i="3" a="1"/>
  <c r="N166" i="3" a="1"/>
  <c r="N167" i="3" a="1"/>
  <c r="N169" i="3" a="1"/>
  <c r="N170" i="3" a="1"/>
  <c r="N171" i="3" a="1"/>
  <c r="N173" i="3" a="1"/>
  <c r="N176" i="3" a="1"/>
  <c r="N178" i="3" a="1"/>
  <c r="N180" i="3" a="1"/>
  <c r="N182" i="3" a="1"/>
  <c r="O10" i="2" a="1"/>
  <c r="O11" i="2" a="1"/>
  <c r="O12" i="2" a="1"/>
  <c r="O13" i="2" a="1"/>
  <c r="O14" i="2" a="1"/>
  <c r="O15" i="2" a="1"/>
  <c r="O16" i="2" a="1"/>
  <c r="O17" i="2" a="1"/>
  <c r="O18" i="2" a="1"/>
  <c r="O9" i="2" a="1"/>
  <c r="C5" i="2"/>
  <c r="E6" i="2" s="1"/>
  <c r="N10" i="2" a="1"/>
  <c r="N11" i="2" a="1"/>
  <c r="N12" i="2" a="1"/>
  <c r="N13" i="2" a="1"/>
  <c r="N14" i="2" a="1"/>
  <c r="N15" i="2" a="1"/>
  <c r="N16" i="2" a="1"/>
  <c r="N17" i="2" a="1"/>
  <c r="N9" i="2" a="1"/>
  <c r="N18" i="2" a="1"/>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27" i="2"/>
  <c r="G6" i="2"/>
  <c r="K13" i="2"/>
  <c r="K14" i="2"/>
  <c r="K15" i="2"/>
  <c r="K16" i="2"/>
  <c r="K17" i="2"/>
  <c r="K18" i="2"/>
  <c r="K9" i="2"/>
  <c r="L10" i="2"/>
  <c r="L11" i="2"/>
  <c r="L12" i="2"/>
  <c r="L13" i="2"/>
  <c r="L14" i="2"/>
  <c r="L15" i="2"/>
  <c r="L16" i="2"/>
  <c r="L17" i="2"/>
  <c r="L18" i="2"/>
  <c r="L9" i="2"/>
  <c r="K10" i="2"/>
  <c r="K11" i="2"/>
  <c r="K12" i="2"/>
  <c r="G3" i="2"/>
  <c r="M11" i="2"/>
  <c r="M12" i="2"/>
  <c r="M13" i="2"/>
  <c r="M15" i="2"/>
  <c r="M16" i="2"/>
  <c r="M17" i="2"/>
  <c r="M18" i="2"/>
  <c r="M9" i="2"/>
  <c r="J11" i="2"/>
  <c r="J13" i="2"/>
  <c r="J14" i="2"/>
  <c r="J15" i="2"/>
  <c r="J16" i="2"/>
  <c r="J17" i="2"/>
  <c r="J9" i="2"/>
  <c r="J18" i="2"/>
  <c r="M14" i="2"/>
  <c r="J10" i="2"/>
  <c r="J12" i="2"/>
  <c r="M10" i="2"/>
  <c r="G11" i="2"/>
  <c r="G12" i="2"/>
  <c r="G13" i="2"/>
  <c r="G14" i="2"/>
  <c r="G15" i="2"/>
  <c r="G16" i="2"/>
  <c r="G18" i="2"/>
  <c r="G20" i="2"/>
  <c r="G22" i="2"/>
  <c r="G24" i="2"/>
  <c r="G25" i="2"/>
  <c r="G26" i="2"/>
  <c r="G28" i="2"/>
  <c r="G29" i="2"/>
  <c r="G31" i="2"/>
  <c r="G32" i="2"/>
  <c r="G34" i="2"/>
  <c r="G36" i="2"/>
  <c r="G37" i="2"/>
  <c r="G39" i="2"/>
  <c r="G40" i="2"/>
  <c r="G42" i="2"/>
  <c r="G43" i="2"/>
  <c r="G10" i="2"/>
  <c r="G17" i="2"/>
  <c r="G19" i="2"/>
  <c r="G21" i="2"/>
  <c r="G23" i="2"/>
  <c r="G27" i="2"/>
  <c r="G30" i="2"/>
  <c r="G33" i="2"/>
  <c r="G38" i="2"/>
  <c r="G41" i="2"/>
  <c r="G9" i="2"/>
  <c r="G35" i="2"/>
  <c r="AH82" i="6" l="1"/>
  <c r="AF82" i="6"/>
  <c r="AI82" i="6"/>
  <c r="AD82" i="6"/>
  <c r="AE82" i="6"/>
  <c r="Z82" i="6"/>
  <c r="AB82" i="6"/>
  <c r="AA82" i="6"/>
  <c r="AC82" i="6"/>
  <c r="AD115" i="6"/>
  <c r="AD152" i="6" s="1"/>
  <c r="AC115" i="6"/>
  <c r="AC152" i="6" s="1"/>
  <c r="AD94" i="6"/>
  <c r="AD131" i="6" s="1"/>
  <c r="AD103" i="6"/>
  <c r="AD140" i="6" s="1"/>
  <c r="AB87" i="6"/>
  <c r="AB124" i="6" s="1"/>
  <c r="Z118" i="6"/>
  <c r="Z155" i="6" s="1"/>
  <c r="AI111" i="6"/>
  <c r="AI148" i="6" s="1"/>
  <c r="AI116" i="6"/>
  <c r="AI153" i="6" s="1"/>
  <c r="AA107" i="6"/>
  <c r="AA144" i="6" s="1"/>
  <c r="AI84" i="6"/>
  <c r="AI121" i="6" s="1"/>
  <c r="AB106" i="6"/>
  <c r="AB143" i="6" s="1"/>
  <c r="AD112" i="6"/>
  <c r="AD149" i="6" s="1"/>
  <c r="F16" i="13"/>
  <c r="G16" i="13"/>
  <c r="N5" i="13"/>
  <c r="I14" i="13"/>
  <c r="AI118" i="6"/>
  <c r="AI155" i="6" s="1"/>
  <c r="AC86" i="6"/>
  <c r="AC123" i="6" s="1"/>
  <c r="AE87" i="6"/>
  <c r="AE124" i="6" s="1"/>
  <c r="AI102" i="6"/>
  <c r="AI139" i="6" s="1"/>
  <c r="AH118" i="6"/>
  <c r="AH155" i="6" s="1"/>
  <c r="AF101" i="6"/>
  <c r="AF138" i="6" s="1"/>
  <c r="AE115" i="6"/>
  <c r="AE152" i="6" s="1"/>
  <c r="AF102" i="6"/>
  <c r="AF139" i="6" s="1"/>
  <c r="AE88" i="6"/>
  <c r="AE125" i="6" s="1"/>
  <c r="AI115" i="6"/>
  <c r="AI152" i="6" s="1"/>
  <c r="AE85" i="6"/>
  <c r="AE122" i="6" s="1"/>
  <c r="AA96" i="6"/>
  <c r="AA133" i="6" s="1"/>
  <c r="AE84" i="6"/>
  <c r="AE121" i="6" s="1"/>
  <c r="AB92" i="6"/>
  <c r="AB129" i="6" s="1"/>
  <c r="AC102" i="6"/>
  <c r="AC139" i="6" s="1"/>
  <c r="AF103" i="6"/>
  <c r="AF140" i="6" s="1"/>
  <c r="AF87" i="6"/>
  <c r="AF124" i="6" s="1"/>
  <c r="AF111" i="6"/>
  <c r="AF148" i="6" s="1"/>
  <c r="AE102" i="6"/>
  <c r="AE139" i="6" s="1"/>
  <c r="AI114" i="6"/>
  <c r="AI151" i="6" s="1"/>
  <c r="AH115" i="6"/>
  <c r="AH152" i="6" s="1"/>
  <c r="AH101" i="6"/>
  <c r="AH138" i="6" s="1"/>
  <c r="AD87" i="6"/>
  <c r="AD124" i="6" s="1"/>
  <c r="AF96" i="6"/>
  <c r="AF133" i="6" s="1"/>
  <c r="AB107" i="6"/>
  <c r="AB144" i="6" s="1"/>
  <c r="AG107" i="6"/>
  <c r="AG144" i="6" s="1"/>
  <c r="AB115" i="6"/>
  <c r="AB152" i="6" s="1"/>
  <c r="AI88" i="6"/>
  <c r="AI125" i="6" s="1"/>
  <c r="AB116" i="6"/>
  <c r="AB153" i="6" s="1"/>
  <c r="AF116" i="6"/>
  <c r="AF153" i="6" s="1"/>
  <c r="AE109" i="6"/>
  <c r="AE146" i="6" s="1"/>
  <c r="AF117" i="6"/>
  <c r="AF154" i="6" s="1"/>
  <c r="AI85" i="6"/>
  <c r="AI122" i="6" s="1"/>
  <c r="AD117" i="6"/>
  <c r="AD154" i="6" s="1"/>
  <c r="AD107" i="6"/>
  <c r="AD144" i="6" s="1"/>
  <c r="AE100" i="6"/>
  <c r="AE137" i="6" s="1"/>
  <c r="AF118" i="6"/>
  <c r="AF155" i="6" s="1"/>
  <c r="AE111" i="6"/>
  <c r="AE148" i="6" s="1"/>
  <c r="AE94" i="6"/>
  <c r="AE131" i="6" s="1"/>
  <c r="AB86" i="6"/>
  <c r="AB123" i="6" s="1"/>
  <c r="AC90" i="6"/>
  <c r="AC127" i="6" s="1"/>
  <c r="AE112" i="6"/>
  <c r="AE149" i="6" s="1"/>
  <c r="AE101" i="6"/>
  <c r="AE138" i="6" s="1"/>
  <c r="AG113" i="6"/>
  <c r="AG150" i="6" s="1"/>
  <c r="AH106" i="6"/>
  <c r="AH143" i="6" s="1"/>
  <c r="AD85" i="6"/>
  <c r="AD122" i="6" s="1"/>
  <c r="AH92" i="6"/>
  <c r="AH129" i="6" s="1"/>
  <c r="AF84" i="6"/>
  <c r="AF121" i="6" s="1"/>
  <c r="AC85" i="6"/>
  <c r="AC122" i="6" s="1"/>
  <c r="AC104" i="6"/>
  <c r="AC141" i="6" s="1"/>
  <c r="AB101" i="6"/>
  <c r="AB138" i="6" s="1"/>
  <c r="AH114" i="6"/>
  <c r="AH151" i="6" s="1"/>
  <c r="AG118" i="6"/>
  <c r="AG155" i="6" s="1"/>
  <c r="AE106" i="6"/>
  <c r="AE143" i="6" s="1"/>
  <c r="AA85" i="6"/>
  <c r="AA122" i="6" s="1"/>
  <c r="AF104" i="6"/>
  <c r="AF141" i="6" s="1"/>
  <c r="AB84" i="6"/>
  <c r="AB121" i="6" s="1"/>
  <c r="AF90" i="6"/>
  <c r="AF127" i="6" s="1"/>
  <c r="AA112" i="6"/>
  <c r="AA149" i="6" s="1"/>
  <c r="AI112" i="6"/>
  <c r="AI149" i="6" s="1"/>
  <c r="AI103" i="6"/>
  <c r="AI140" i="6" s="1"/>
  <c r="AI101" i="6"/>
  <c r="AI138" i="6" s="1"/>
  <c r="AE92" i="6"/>
  <c r="AE129" i="6" s="1"/>
  <c r="AE118" i="6"/>
  <c r="AE155" i="6" s="1"/>
  <c r="AC84" i="6"/>
  <c r="AC121" i="6" s="1"/>
  <c r="AB88" i="6"/>
  <c r="AB125" i="6" s="1"/>
  <c r="AD111" i="6"/>
  <c r="AD148" i="6" s="1"/>
  <c r="AF94" i="6"/>
  <c r="AF131" i="6" s="1"/>
  <c r="AC118" i="6"/>
  <c r="AC155" i="6" s="1"/>
  <c r="AB118" i="6"/>
  <c r="AB155" i="6" s="1"/>
  <c r="AH110" i="6"/>
  <c r="AH147" i="6" s="1"/>
  <c r="AI107" i="6"/>
  <c r="AI144" i="6" s="1"/>
  <c r="AH93" i="6"/>
  <c r="AH130" i="6" s="1"/>
  <c r="AB109" i="6"/>
  <c r="AB146" i="6" s="1"/>
  <c r="Z87" i="6"/>
  <c r="Z124" i="6" s="1"/>
  <c r="AE93" i="6"/>
  <c r="AE130" i="6" s="1"/>
  <c r="AB103" i="6"/>
  <c r="AB140" i="6" s="1"/>
  <c r="AA103" i="6"/>
  <c r="AA140" i="6" s="1"/>
  <c r="AG100" i="6"/>
  <c r="AG137" i="6" s="1"/>
  <c r="AH85" i="6"/>
  <c r="AH122" i="6" s="1"/>
  <c r="AD116" i="6"/>
  <c r="AD153" i="6" s="1"/>
  <c r="AD101" i="6"/>
  <c r="AD138" i="6" s="1"/>
  <c r="AI92" i="6"/>
  <c r="AI129" i="6" s="1"/>
  <c r="Z115" i="6"/>
  <c r="Z152" i="6" s="1"/>
  <c r="AE107" i="6"/>
  <c r="AE144" i="6" s="1"/>
  <c r="AB112" i="6"/>
  <c r="AB149" i="6" s="1"/>
  <c r="AH103" i="6"/>
  <c r="AH140" i="6" s="1"/>
  <c r="AE86" i="6"/>
  <c r="AE123" i="6" s="1"/>
  <c r="AF109" i="6"/>
  <c r="AF146" i="6" s="1"/>
  <c r="AD118" i="6"/>
  <c r="AD155" i="6" s="1"/>
  <c r="AD100" i="6"/>
  <c r="AD137" i="6" s="1"/>
  <c r="Z111" i="6"/>
  <c r="Z148" i="6" s="1"/>
  <c r="AF106" i="6"/>
  <c r="AF143" i="6" s="1"/>
  <c r="AF88" i="6"/>
  <c r="AF125" i="6" s="1"/>
  <c r="AB111" i="6"/>
  <c r="AB148" i="6" s="1"/>
  <c r="AB99" i="6"/>
  <c r="AB136" i="6" s="1"/>
  <c r="AF85" i="6"/>
  <c r="AF122" i="6" s="1"/>
  <c r="R3" i="2" a="1"/>
  <c r="S3" i="2" a="1"/>
  <c r="AI117" i="6"/>
  <c r="AI154" i="6" s="1"/>
  <c r="AC117" i="6"/>
  <c r="AC154" i="6" s="1"/>
  <c r="Z117" i="6"/>
  <c r="Z154" i="6" s="1"/>
  <c r="Z108" i="6"/>
  <c r="Z145" i="6" s="1"/>
  <c r="AI108" i="6"/>
  <c r="AI145" i="6" s="1"/>
  <c r="AD108" i="6"/>
  <c r="AD145" i="6" s="1"/>
  <c r="AC108" i="6"/>
  <c r="AC145" i="6" s="1"/>
  <c r="AH108" i="6"/>
  <c r="AH145" i="6" s="1"/>
  <c r="AA108" i="6"/>
  <c r="AA145" i="6" s="1"/>
  <c r="AF108" i="6"/>
  <c r="AF145" i="6" s="1"/>
  <c r="AG108" i="6"/>
  <c r="AG145" i="6" s="1"/>
  <c r="AB108" i="6"/>
  <c r="AB145" i="6" s="1"/>
  <c r="AC87" i="6"/>
  <c r="AC124" i="6" s="1"/>
  <c r="AI87" i="6"/>
  <c r="AI124" i="6" s="1"/>
  <c r="AH87" i="6"/>
  <c r="AH124" i="6" s="1"/>
  <c r="AA87" i="6"/>
  <c r="AA124" i="6" s="1"/>
  <c r="AE114" i="6"/>
  <c r="AE151" i="6" s="1"/>
  <c r="Z114" i="6"/>
  <c r="Z151" i="6" s="1"/>
  <c r="AG114" i="6"/>
  <c r="AG151" i="6" s="1"/>
  <c r="AA114" i="6"/>
  <c r="AA151" i="6" s="1"/>
  <c r="AB114" i="6"/>
  <c r="AB151" i="6" s="1"/>
  <c r="AC101" i="6"/>
  <c r="AC138" i="6" s="1"/>
  <c r="AA101" i="6"/>
  <c r="AA138" i="6" s="1"/>
  <c r="AG101" i="6"/>
  <c r="AG138" i="6" s="1"/>
  <c r="AG104" i="6"/>
  <c r="AG141" i="6" s="1"/>
  <c r="AH104" i="6"/>
  <c r="AH141" i="6" s="1"/>
  <c r="AE104" i="6"/>
  <c r="AE141" i="6" s="1"/>
  <c r="Z104" i="6"/>
  <c r="Z141" i="6" s="1"/>
  <c r="AF92" i="6"/>
  <c r="AF129" i="6" s="1"/>
  <c r="AD92" i="6"/>
  <c r="AD129" i="6" s="1"/>
  <c r="AG92" i="6"/>
  <c r="AG129" i="6" s="1"/>
  <c r="Z105" i="6"/>
  <c r="Z142" i="6" s="1"/>
  <c r="AG105" i="6"/>
  <c r="AG142" i="6" s="1"/>
  <c r="AH105" i="6"/>
  <c r="AH142" i="6" s="1"/>
  <c r="AE105" i="6"/>
  <c r="AE142" i="6" s="1"/>
  <c r="AB105" i="6"/>
  <c r="AB142" i="6" s="1"/>
  <c r="AD102" i="6"/>
  <c r="AD139" i="6" s="1"/>
  <c r="AB102" i="6"/>
  <c r="AB139" i="6" s="1"/>
  <c r="AE113" i="6"/>
  <c r="AE150" i="6" s="1"/>
  <c r="AD113" i="6"/>
  <c r="AD150" i="6" s="1"/>
  <c r="Z113" i="6"/>
  <c r="Z150" i="6" s="1"/>
  <c r="AH113" i="6"/>
  <c r="AH150" i="6" s="1"/>
  <c r="AB113" i="6"/>
  <c r="AB150" i="6" s="1"/>
  <c r="AI113" i="6"/>
  <c r="AI150" i="6" s="1"/>
  <c r="AA113" i="6"/>
  <c r="AA150" i="6" s="1"/>
  <c r="AD98" i="6"/>
  <c r="AD135" i="6" s="1"/>
  <c r="AE98" i="6"/>
  <c r="AE135" i="6" s="1"/>
  <c r="AC98" i="6"/>
  <c r="AC135" i="6" s="1"/>
  <c r="AA98" i="6"/>
  <c r="AA135" i="6" s="1"/>
  <c r="AF98" i="6"/>
  <c r="AF135" i="6" s="1"/>
  <c r="AH98" i="6"/>
  <c r="AH135" i="6" s="1"/>
  <c r="AG98" i="6"/>
  <c r="AG135" i="6" s="1"/>
  <c r="AB98" i="6"/>
  <c r="AB135" i="6" s="1"/>
  <c r="AI98" i="6"/>
  <c r="AI135" i="6" s="1"/>
  <c r="AA90" i="6"/>
  <c r="AA127" i="6" s="1"/>
  <c r="AG90" i="6"/>
  <c r="AG127" i="6" s="1"/>
  <c r="AD90" i="6"/>
  <c r="AD127" i="6" s="1"/>
  <c r="AH90" i="6"/>
  <c r="AH127" i="6" s="1"/>
  <c r="AG85" i="6"/>
  <c r="AG122" i="6" s="1"/>
  <c r="AB85" i="6"/>
  <c r="AB122" i="6" s="1"/>
  <c r="Z85" i="6"/>
  <c r="Z122" i="6" s="1"/>
  <c r="AF100" i="6"/>
  <c r="AF137" i="6" s="1"/>
  <c r="Z100" i="6"/>
  <c r="Z137" i="6" s="1"/>
  <c r="AA100" i="6"/>
  <c r="AA137" i="6" s="1"/>
  <c r="AI100" i="6"/>
  <c r="AI137" i="6" s="1"/>
  <c r="AH100" i="6"/>
  <c r="AH137" i="6" s="1"/>
  <c r="AC100" i="6"/>
  <c r="AC137" i="6" s="1"/>
  <c r="AB100" i="6"/>
  <c r="AB137" i="6" s="1"/>
  <c r="AF91" i="6"/>
  <c r="AF128" i="6" s="1"/>
  <c r="AG91" i="6"/>
  <c r="AG128" i="6" s="1"/>
  <c r="AI91" i="6"/>
  <c r="AI128" i="6" s="1"/>
  <c r="AA91" i="6"/>
  <c r="AA128" i="6" s="1"/>
  <c r="AE91" i="6"/>
  <c r="AE128" i="6" s="1"/>
  <c r="AC91" i="6"/>
  <c r="AC128" i="6" s="1"/>
  <c r="AD91" i="6"/>
  <c r="AD128" i="6" s="1"/>
  <c r="Z91" i="6"/>
  <c r="Z128" i="6" s="1"/>
  <c r="AG84" i="6"/>
  <c r="AG121" i="6" s="1"/>
  <c r="AH84" i="6"/>
  <c r="AH121" i="6" s="1"/>
  <c r="AA84" i="6"/>
  <c r="AA121" i="6" s="1"/>
  <c r="AD84" i="6"/>
  <c r="AD121" i="6" s="1"/>
  <c r="AC103" i="6"/>
  <c r="AC140" i="6" s="1"/>
  <c r="AG103" i="6"/>
  <c r="AG140" i="6" s="1"/>
  <c r="Z103" i="6"/>
  <c r="Z140" i="6" s="1"/>
  <c r="Z95" i="6"/>
  <c r="Z132" i="6" s="1"/>
  <c r="AB95" i="6"/>
  <c r="AB132" i="6" s="1"/>
  <c r="AD95" i="6"/>
  <c r="AD132" i="6" s="1"/>
  <c r="AG95" i="6"/>
  <c r="AG132" i="6" s="1"/>
  <c r="AF95" i="6"/>
  <c r="AF132" i="6" s="1"/>
  <c r="AE95" i="6"/>
  <c r="AE132" i="6" s="1"/>
  <c r="AH95" i="6"/>
  <c r="AH132" i="6" s="1"/>
  <c r="AI95" i="6"/>
  <c r="AI132" i="6" s="1"/>
  <c r="Z109" i="6"/>
  <c r="Z146" i="6" s="1"/>
  <c r="AI109" i="6"/>
  <c r="AI146" i="6" s="1"/>
  <c r="AG109" i="6"/>
  <c r="AG146" i="6" s="1"/>
  <c r="AD109" i="6"/>
  <c r="AD146" i="6" s="1"/>
  <c r="AC88" i="6"/>
  <c r="AC125" i="6" s="1"/>
  <c r="AD88" i="6"/>
  <c r="AD125" i="6" s="1"/>
  <c r="AG88" i="6"/>
  <c r="AG125" i="6" s="1"/>
  <c r="AE96" i="6"/>
  <c r="AE133" i="6" s="1"/>
  <c r="AG96" i="6"/>
  <c r="AG133" i="6" s="1"/>
  <c r="AA111" i="6"/>
  <c r="AA148" i="6" s="1"/>
  <c r="AH111" i="6"/>
  <c r="AH148" i="6" s="1"/>
  <c r="AG111" i="6"/>
  <c r="AG148" i="6" s="1"/>
  <c r="AG115" i="6"/>
  <c r="AG152" i="6" s="1"/>
  <c r="AA115" i="6"/>
  <c r="AA152" i="6" s="1"/>
  <c r="AF86" i="6"/>
  <c r="AF123" i="6" s="1"/>
  <c r="AI86" i="6"/>
  <c r="AI123" i="6" s="1"/>
  <c r="AA86" i="6"/>
  <c r="AA123" i="6" s="1"/>
  <c r="AD86" i="6"/>
  <c r="AD123" i="6" s="1"/>
  <c r="AH86" i="6"/>
  <c r="AH123" i="6" s="1"/>
  <c r="AG86" i="6"/>
  <c r="AG123" i="6" s="1"/>
  <c r="AA106" i="6"/>
  <c r="AA143" i="6" s="1"/>
  <c r="AI106" i="6"/>
  <c r="AI143" i="6" s="1"/>
  <c r="AG106" i="6"/>
  <c r="AG143" i="6" s="1"/>
  <c r="AD106" i="6"/>
  <c r="AD143" i="6" s="1"/>
  <c r="AC106" i="6"/>
  <c r="AC143" i="6" s="1"/>
  <c r="AB94" i="6"/>
  <c r="AB131" i="6" s="1"/>
  <c r="Z94" i="6"/>
  <c r="Z131" i="6" s="1"/>
  <c r="AI94" i="6"/>
  <c r="AI131" i="6" s="1"/>
  <c r="Z93" i="6"/>
  <c r="Z130" i="6" s="1"/>
  <c r="AD93" i="6"/>
  <c r="AD130" i="6" s="1"/>
  <c r="AC93" i="6"/>
  <c r="AC130" i="6" s="1"/>
  <c r="AG99" i="6"/>
  <c r="AG136" i="6" s="1"/>
  <c r="AF99" i="6"/>
  <c r="AF136" i="6" s="1"/>
  <c r="AE99" i="6"/>
  <c r="AE136" i="6" s="1"/>
  <c r="AC99" i="6"/>
  <c r="AC136" i="6" s="1"/>
  <c r="AD99" i="6"/>
  <c r="AD136" i="6" s="1"/>
  <c r="AA99" i="6"/>
  <c r="AA136" i="6" s="1"/>
  <c r="AI99" i="6"/>
  <c r="AI136" i="6" s="1"/>
  <c r="Z99" i="6"/>
  <c r="Z136" i="6" s="1"/>
  <c r="AF112" i="6"/>
  <c r="AF149" i="6" s="1"/>
  <c r="Z112" i="6"/>
  <c r="Z149" i="6" s="1"/>
  <c r="AH112" i="6"/>
  <c r="AH149" i="6" s="1"/>
  <c r="AG112" i="6"/>
  <c r="AG149" i="6" s="1"/>
  <c r="AA97" i="6"/>
  <c r="AA134" i="6" s="1"/>
  <c r="AH97" i="6"/>
  <c r="AH134" i="6" s="1"/>
  <c r="AI97" i="6"/>
  <c r="AI134" i="6" s="1"/>
  <c r="AC97" i="6"/>
  <c r="AC134" i="6" s="1"/>
  <c r="AF97" i="6"/>
  <c r="AF134" i="6" s="1"/>
  <c r="Z97" i="6"/>
  <c r="Z134" i="6" s="1"/>
  <c r="AB97" i="6"/>
  <c r="AB134" i="6" s="1"/>
  <c r="AD97" i="6"/>
  <c r="AD134" i="6" s="1"/>
  <c r="AE97" i="6"/>
  <c r="AE134" i="6" s="1"/>
  <c r="AG97" i="6"/>
  <c r="AG134" i="6" s="1"/>
  <c r="AE116" i="6"/>
  <c r="AE153" i="6" s="1"/>
  <c r="AA116" i="6"/>
  <c r="AA153" i="6" s="1"/>
  <c r="AC116" i="6"/>
  <c r="AC153" i="6" s="1"/>
  <c r="Z92" i="6"/>
  <c r="Z129" i="6" s="1"/>
  <c r="AA92" i="6"/>
  <c r="AA129" i="6" s="1"/>
  <c r="AF107" i="6"/>
  <c r="AF144" i="6" s="1"/>
  <c r="Z107" i="6"/>
  <c r="Z144" i="6" s="1"/>
  <c r="AH107" i="6"/>
  <c r="AH144" i="6" s="1"/>
  <c r="AE103" i="6"/>
  <c r="AE140" i="6" s="1"/>
  <c r="Z101" i="6"/>
  <c r="Z138" i="6" s="1"/>
  <c r="AC96" i="6"/>
  <c r="AC133" i="6" s="1"/>
  <c r="AF115" i="6"/>
  <c r="AF152" i="6" s="1"/>
  <c r="AB104" i="6"/>
  <c r="AB141" i="6" s="1"/>
  <c r="AA118" i="6"/>
  <c r="AA155" i="6" s="1"/>
  <c r="Z86" i="6"/>
  <c r="Z123" i="6" s="1"/>
  <c r="Z106" i="6"/>
  <c r="Z143" i="6" s="1"/>
  <c r="AA94" i="6"/>
  <c r="AA131" i="6" s="1"/>
  <c r="AH102" i="6"/>
  <c r="AH139" i="6" s="1"/>
  <c r="AH99" i="6"/>
  <c r="AH136" i="6" s="1"/>
  <c r="AC111" i="6"/>
  <c r="AC148" i="6" s="1"/>
  <c r="AC107" i="6"/>
  <c r="AC144" i="6" s="1"/>
  <c r="AD114" i="6"/>
  <c r="AD151" i="6" s="1"/>
  <c r="Z116" i="6"/>
  <c r="Z153" i="6" s="1"/>
  <c r="AC92" i="6"/>
  <c r="AC129" i="6" s="1"/>
  <c r="AC112" i="6"/>
  <c r="AC149" i="6" s="1"/>
  <c r="Z84" i="6"/>
  <c r="Z121" i="6" s="1"/>
  <c r="AH109" i="6"/>
  <c r="AH146" i="6" s="1"/>
  <c r="AG93" i="6"/>
  <c r="AG130" i="6" s="1"/>
  <c r="AG87" i="6"/>
  <c r="AG124" i="6" s="1"/>
  <c r="AC95" i="6"/>
  <c r="AC132" i="6" s="1"/>
  <c r="AA95" i="6"/>
  <c r="AA132" i="6" s="1"/>
  <c r="Z88" i="6"/>
  <c r="Z125" i="6" s="1"/>
  <c r="AA88" i="6"/>
  <c r="AA125" i="6" s="1"/>
  <c r="AH88" i="6"/>
  <c r="AH125" i="6" s="1"/>
  <c r="AH96" i="6"/>
  <c r="AH133" i="6" s="1"/>
  <c r="Z96" i="6"/>
  <c r="Z133" i="6" s="1"/>
  <c r="AB96" i="6"/>
  <c r="AB133" i="6" s="1"/>
  <c r="AD96" i="6"/>
  <c r="AD133" i="6" s="1"/>
  <c r="AI96" i="6"/>
  <c r="AI133" i="6" s="1"/>
  <c r="AI104" i="6"/>
  <c r="AI141" i="6" s="1"/>
  <c r="AA104" i="6"/>
  <c r="AA141" i="6" s="1"/>
  <c r="AD104" i="6"/>
  <c r="AD141" i="6" s="1"/>
  <c r="AG94" i="6"/>
  <c r="AG131" i="6" s="1"/>
  <c r="AH94" i="6"/>
  <c r="AH131" i="6" s="1"/>
  <c r="AC94" i="6"/>
  <c r="AC131" i="6" s="1"/>
  <c r="AA102" i="6"/>
  <c r="AA139" i="6" s="1"/>
  <c r="AG102" i="6"/>
  <c r="AG139" i="6" s="1"/>
  <c r="Z102" i="6"/>
  <c r="Z139" i="6" s="1"/>
  <c r="AA110" i="6"/>
  <c r="AA147" i="6" s="1"/>
  <c r="AC110" i="6"/>
  <c r="AC147" i="6" s="1"/>
  <c r="AB110" i="6"/>
  <c r="AB147" i="6" s="1"/>
  <c r="Z110" i="6"/>
  <c r="Z147" i="6" s="1"/>
  <c r="AF110" i="6"/>
  <c r="AF147" i="6" s="1"/>
  <c r="AG110" i="6"/>
  <c r="AG147" i="6" s="1"/>
  <c r="AI110" i="6"/>
  <c r="AI147" i="6" s="1"/>
  <c r="AD110" i="6"/>
  <c r="AD147" i="6" s="1"/>
  <c r="AE110" i="6"/>
  <c r="AE147" i="6" s="1"/>
  <c r="AG116" i="6"/>
  <c r="AG153" i="6" s="1"/>
  <c r="AH116" i="6"/>
  <c r="AH153" i="6" s="1"/>
  <c r="Z90" i="6"/>
  <c r="Z127" i="6" s="1"/>
  <c r="AB90" i="6"/>
  <c r="AB127" i="6" s="1"/>
  <c r="AE90" i="6"/>
  <c r="AE127" i="6" s="1"/>
  <c r="AI90" i="6"/>
  <c r="AI127" i="6" s="1"/>
  <c r="AC114" i="6"/>
  <c r="AC151" i="6" s="1"/>
  <c r="AF114" i="6"/>
  <c r="AF151" i="6" s="1"/>
  <c r="AC109" i="6"/>
  <c r="AC146" i="6" s="1"/>
  <c r="AA109" i="6"/>
  <c r="AA146" i="6" s="1"/>
  <c r="AA93" i="6"/>
  <c r="AA130" i="6" s="1"/>
  <c r="AI93" i="6"/>
  <c r="AI130" i="6" s="1"/>
  <c r="AB93" i="6"/>
  <c r="AB130" i="6" s="1"/>
  <c r="AF93" i="6"/>
  <c r="AF130" i="6" s="1"/>
  <c r="AF105" i="6"/>
  <c r="AF142" i="6" s="1"/>
  <c r="AA105" i="6"/>
  <c r="AA142" i="6" s="1"/>
  <c r="AI105" i="6"/>
  <c r="AI142" i="6" s="1"/>
  <c r="AC105" i="6"/>
  <c r="AC142" i="6" s="1"/>
  <c r="AD105" i="6"/>
  <c r="AD142" i="6" s="1"/>
  <c r="AH117" i="6"/>
  <c r="AH154" i="6" s="1"/>
  <c r="AB117" i="6"/>
  <c r="AB154" i="6" s="1"/>
  <c r="AE117" i="6"/>
  <c r="AE154" i="6" s="1"/>
  <c r="AA117" i="6"/>
  <c r="AA154" i="6" s="1"/>
  <c r="AG117" i="6"/>
  <c r="AG154" i="6" s="1"/>
  <c r="AB91" i="6"/>
  <c r="AB128" i="6" s="1"/>
  <c r="AH91" i="6"/>
  <c r="AH128" i="6" s="1"/>
  <c r="AF113" i="6"/>
  <c r="AF150" i="6" s="1"/>
  <c r="AC113" i="6"/>
  <c r="AC150" i="6" s="1"/>
  <c r="I3" i="2"/>
  <c r="C10" i="2"/>
  <c r="C13" i="2"/>
  <c r="C15" i="2"/>
  <c r="C16" i="2"/>
  <c r="C17" i="2"/>
  <c r="C18" i="2"/>
  <c r="C19" i="2"/>
  <c r="C20" i="2"/>
  <c r="C21" i="2"/>
  <c r="C22" i="2"/>
  <c r="C23" i="2"/>
  <c r="C24" i="2"/>
  <c r="C11" i="2"/>
  <c r="C12" i="2"/>
  <c r="C1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Josh Cohen</author>
  </authors>
  <commentList>
    <comment ref="S4" authorId="0" shapeId="0" xr:uid="{AB70CE4C-FBE8-4F59-B61A-8E5CD84DECC9}">
      <text>
        <r>
          <rPr>
            <b/>
            <sz val="9"/>
            <color indexed="81"/>
            <rFont val="Tahoma"/>
            <charset val="1"/>
          </rPr>
          <t>Josh Cohen:</t>
        </r>
        <r>
          <rPr>
            <sz val="9"/>
            <color indexed="81"/>
            <rFont val="Tahoma"/>
            <charset val="1"/>
          </rPr>
          <t xml:space="preserve">
This is monthly totals across the 2 years rather than each unique monthly total. Eg January rather than January 2019</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045182-4F53-4262-8127-BD3897BCD848}" name="Query - Sales-Export_2019-2020" description="Connection to the 'Sales-Export_2019-2020' query in the workbook." type="100" refreshedVersion="8" minRefreshableVersion="5">
    <extLst>
      <ext xmlns:x15="http://schemas.microsoft.com/office/spreadsheetml/2010/11/main" uri="{DE250136-89BD-433C-8126-D09CA5730AF9}">
        <x15:connection id="1215fdec-116a-408d-bc08-5f268f3e5784"/>
      </ext>
    </extLst>
  </connection>
  <connection id="2" xr16:uid="{02B65187-326D-4429-9155-1CA18A36463C}" keepAlive="1" name="Query - Sales-Export_2019-2020 (2)" description="Connection to the 'Sales-Export_2019-2020 (2)' query in the workbook." type="5" refreshedVersion="8" background="1" saveData="1">
    <dbPr connection="Provider=Microsoft.Mashup.OleDb.1;Data Source=$Workbook$;Location=&quot;Sales-Export_2019-2020 (2)&quot;;Extended Properties=&quot;&quot;" command="SELECT * FROM [Sales-Export_2019-2020 (2)]"/>
  </connection>
  <connection id="3" xr16:uid="{210D3075-7438-4708-B04D-1A146AFA3F69}" name="Query - Sales-Export_2019-2020 (3)" description="Connection to the 'Sales-Export_2019-2020 (3)' query in the workbook." type="100" refreshedVersion="8" minRefreshableVersion="5">
    <extLst>
      <ext xmlns:x15="http://schemas.microsoft.com/office/spreadsheetml/2010/11/main" uri="{DE250136-89BD-433C-8126-D09CA5730AF9}">
        <x15:connection id="90900022-758f-4423-9b14-6e93c1b27132"/>
      </ext>
    </extLst>
  </connection>
  <connection id="4" xr16:uid="{0CA5D6F5-667C-4AEC-BF76-BD8F5FE8FB2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8ECCC720-BC43-4D62-8D9D-127B1ADFA74A}" name="WorksheetConnection_DAProject.xlsx!Sales_Export_2019_2020__2" type="102" refreshedVersion="8" minRefreshableVersion="5">
    <extLst>
      <ext xmlns:x15="http://schemas.microsoft.com/office/spreadsheetml/2010/11/main" uri="{DE250136-89BD-433C-8126-D09CA5730AF9}">
        <x15:connection id="Sales_Export_2019_2020__2">
          <x15:rangePr sourceName="_xlcn.WorksheetConnection_DAProject.xlsxSales_Export_2019_2020__2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<sst xmlns="http://schemas.openxmlformats.org/spreadsheetml/2006/main" count="8130" uniqueCount="1327">
  <si>
    <t>country</t>
  </si>
  <si>
    <t>order_value_GBP</t>
  </si>
  <si>
    <t xml:space="preserve"> cost </t>
  </si>
  <si>
    <t>date</t>
  </si>
  <si>
    <t>category</t>
  </si>
  <si>
    <t>customer_name</t>
  </si>
  <si>
    <t>sales_manager</t>
  </si>
  <si>
    <t>sales_rep</t>
  </si>
  <si>
    <t>device_type</t>
  </si>
  <si>
    <t>order_id</t>
  </si>
  <si>
    <t>Sweden</t>
  </si>
  <si>
    <t>Books</t>
  </si>
  <si>
    <t>Goldner-Dibbert</t>
  </si>
  <si>
    <t>Maxie Marrow</t>
  </si>
  <si>
    <t>Madelon Bront</t>
  </si>
  <si>
    <t>Mobile</t>
  </si>
  <si>
    <t>70-0511466</t>
  </si>
  <si>
    <t>Finland</t>
  </si>
  <si>
    <t>Games</t>
  </si>
  <si>
    <t>Hilll-Vandervort</t>
  </si>
  <si>
    <t>Hube Corey</t>
  </si>
  <si>
    <t>Wat Bowkley</t>
  </si>
  <si>
    <t>28-6585323</t>
  </si>
  <si>
    <t>Portugal</t>
  </si>
  <si>
    <t>Clothing</t>
  </si>
  <si>
    <t>Larkin-Collier</t>
  </si>
  <si>
    <t>Celine Tumasian</t>
  </si>
  <si>
    <t>Smitty Culverhouse</t>
  </si>
  <si>
    <t>PC</t>
  </si>
  <si>
    <t>58-7703341</t>
  </si>
  <si>
    <t>Beauty</t>
  </si>
  <si>
    <t>Hessel-Stiedemann</t>
  </si>
  <si>
    <t>Aurelie Wren</t>
  </si>
  <si>
    <t>14-6700183</t>
  </si>
  <si>
    <t>Spain</t>
  </si>
  <si>
    <t>Johns and Sons</t>
  </si>
  <si>
    <t>Emalia Dinse</t>
  </si>
  <si>
    <t>Bertha Walbrook</t>
  </si>
  <si>
    <t>Tablet</t>
  </si>
  <si>
    <t>15-8765160</t>
  </si>
  <si>
    <t>Farrell, Swaniawski and Crist</t>
  </si>
  <si>
    <t>Perri Aldersley</t>
  </si>
  <si>
    <t>60-6998932</t>
  </si>
  <si>
    <t>Schoen-Keeling</t>
  </si>
  <si>
    <t>69-6259390</t>
  </si>
  <si>
    <t>UK</t>
  </si>
  <si>
    <t>Accessories</t>
  </si>
  <si>
    <t>Hermiston, Simonis and Wisoky</t>
  </si>
  <si>
    <t>Jessamine Apark</t>
  </si>
  <si>
    <t>Winny Agnolo</t>
  </si>
  <si>
    <t>64-5761908</t>
  </si>
  <si>
    <t>Appliances</t>
  </si>
  <si>
    <t>91-4126746</t>
  </si>
  <si>
    <t>France</t>
  </si>
  <si>
    <t>Gislason-Stanton</t>
  </si>
  <si>
    <t>Othello Bowes</t>
  </si>
  <si>
    <t>Maighdiln Upcraft</t>
  </si>
  <si>
    <t>62-3312495</t>
  </si>
  <si>
    <t>Swaniawski, Runolfsson and Green</t>
  </si>
  <si>
    <t>85-6625096</t>
  </si>
  <si>
    <t>Smartphones</t>
  </si>
  <si>
    <t>25-6368157</t>
  </si>
  <si>
    <t>Outdoors</t>
  </si>
  <si>
    <t>15-3943365</t>
  </si>
  <si>
    <t>Wisoky Inc</t>
  </si>
  <si>
    <t>32-3534634</t>
  </si>
  <si>
    <t>Genevra Charrisson</t>
  </si>
  <si>
    <t>02-3972649</t>
  </si>
  <si>
    <t>Tillman and Sons</t>
  </si>
  <si>
    <t>Anita Woakes</t>
  </si>
  <si>
    <t>08-7576451</t>
  </si>
  <si>
    <t>Rowe, Hermiston and Kessler</t>
  </si>
  <si>
    <t>Amelina Piscopiello</t>
  </si>
  <si>
    <t>68-3583935</t>
  </si>
  <si>
    <t>Jay Morefield</t>
  </si>
  <si>
    <t>53-7769693</t>
  </si>
  <si>
    <t>Corene Shirer</t>
  </si>
  <si>
    <t>85-4732103</t>
  </si>
  <si>
    <t>Stamm Inc</t>
  </si>
  <si>
    <t>27-9800293</t>
  </si>
  <si>
    <t>Electronics</t>
  </si>
  <si>
    <t>67-3929836</t>
  </si>
  <si>
    <t>Alyosha Meah</t>
  </si>
  <si>
    <t>13-0526029</t>
  </si>
  <si>
    <t>Netherlands</t>
  </si>
  <si>
    <t>Denice Amberg</t>
  </si>
  <si>
    <t>Nero Harbisher</t>
  </si>
  <si>
    <t>38-5910704</t>
  </si>
  <si>
    <t>41-6407014</t>
  </si>
  <si>
    <t>Romaguera-Dietrich</t>
  </si>
  <si>
    <t>Hortense Gerring</t>
  </si>
  <si>
    <t>22-6745595</t>
  </si>
  <si>
    <t>Franecki-White</t>
  </si>
  <si>
    <t>96-3022721</t>
  </si>
  <si>
    <t>Jacobson, Marvin and Brown</t>
  </si>
  <si>
    <t>48-0713329</t>
  </si>
  <si>
    <t>Belgium</t>
  </si>
  <si>
    <t>Armstrong-Little</t>
  </si>
  <si>
    <t>Lambert Norheny</t>
  </si>
  <si>
    <t>Collin Mackness</t>
  </si>
  <si>
    <t>50-0942872</t>
  </si>
  <si>
    <t>Bulgaria</t>
  </si>
  <si>
    <t>Murray, Reichel and Nolan</t>
  </si>
  <si>
    <t>Charil Alpe</t>
  </si>
  <si>
    <t>Shermy McGready</t>
  </si>
  <si>
    <t>78-2307905</t>
  </si>
  <si>
    <t>Luxembourg</t>
  </si>
  <si>
    <t>Ilsa Kob</t>
  </si>
  <si>
    <t>Jocelyn Laurentino</t>
  </si>
  <si>
    <t>63-0019978</t>
  </si>
  <si>
    <t>Considine-Fisher</t>
  </si>
  <si>
    <t>26-9948924</t>
  </si>
  <si>
    <t>Kirlin and Sons</t>
  </si>
  <si>
    <t>72-7630507</t>
  </si>
  <si>
    <t>Friesen-Rath</t>
  </si>
  <si>
    <t>36-3410564</t>
  </si>
  <si>
    <t>Keeling, Monahan and Pollich</t>
  </si>
  <si>
    <t>82-4653018</t>
  </si>
  <si>
    <t>Caro Morfield</t>
  </si>
  <si>
    <t>29-1001593</t>
  </si>
  <si>
    <t>59-5568557</t>
  </si>
  <si>
    <t>Dibbert Inc</t>
  </si>
  <si>
    <t>12-1249283</t>
  </si>
  <si>
    <t>Labadie and Sons</t>
  </si>
  <si>
    <t>96-0180648</t>
  </si>
  <si>
    <t>51-9029547</t>
  </si>
  <si>
    <t>Wiza and Sons</t>
  </si>
  <si>
    <t>84-2614836</t>
  </si>
  <si>
    <t>Crysta Halls</t>
  </si>
  <si>
    <t>57-6995715</t>
  </si>
  <si>
    <t>27-4115444</t>
  </si>
  <si>
    <t>34-3302340</t>
  </si>
  <si>
    <t>Schmitt, Purdy and Johnson</t>
  </si>
  <si>
    <t>Ora Grennan</t>
  </si>
  <si>
    <t>25-6638623</t>
  </si>
  <si>
    <t>Hamill, Kulas and Roob</t>
  </si>
  <si>
    <t>11-5260310</t>
  </si>
  <si>
    <t>68-5024232</t>
  </si>
  <si>
    <t>Italy</t>
  </si>
  <si>
    <t>Other</t>
  </si>
  <si>
    <t>Piggy Roscrigg</t>
  </si>
  <si>
    <t>Joshua Prevost</t>
  </si>
  <si>
    <t>90-2530115</t>
  </si>
  <si>
    <t>23-8271333</t>
  </si>
  <si>
    <t>Avrit Chanders</t>
  </si>
  <si>
    <t>99-7422044</t>
  </si>
  <si>
    <t>Fisher, Morar and Skiles</t>
  </si>
  <si>
    <t>67-6692861</t>
  </si>
  <si>
    <t>McGlynn-Bergstrom</t>
  </si>
  <si>
    <t>20-3441688</t>
  </si>
  <si>
    <t>Spencer, Rogahn and Muller</t>
  </si>
  <si>
    <t>80-8230605</t>
  </si>
  <si>
    <t>18-0704377</t>
  </si>
  <si>
    <t>Wunsch LLC</t>
  </si>
  <si>
    <t>47-5524071</t>
  </si>
  <si>
    <t>Walter LLC</t>
  </si>
  <si>
    <t>76-2572347</t>
  </si>
  <si>
    <t>74-4429133</t>
  </si>
  <si>
    <t>Christiansen, Donnelly and Bechtelar</t>
  </si>
  <si>
    <t>69-1300467</t>
  </si>
  <si>
    <t>Altenwerth-Konopelski</t>
  </si>
  <si>
    <t>99-8643527</t>
  </si>
  <si>
    <t>Bernadine Fullagar</t>
  </si>
  <si>
    <t>14-1143584</t>
  </si>
  <si>
    <t>62-4331197</t>
  </si>
  <si>
    <t>02-3333733</t>
  </si>
  <si>
    <t>Hegmann Group</t>
  </si>
  <si>
    <t>09-3959499</t>
  </si>
  <si>
    <t>Leffler, Prohaska and Streich</t>
  </si>
  <si>
    <t>55-7848276</t>
  </si>
  <si>
    <t>Tarrah Castelletti</t>
  </si>
  <si>
    <t>98-1814878</t>
  </si>
  <si>
    <t>83-9569509</t>
  </si>
  <si>
    <t>Ireland</t>
  </si>
  <si>
    <t>Smith Group</t>
  </si>
  <si>
    <t>Glenine Suttaby</t>
  </si>
  <si>
    <t>Bunnie Tonbridge</t>
  </si>
  <si>
    <t>44-1953194</t>
  </si>
  <si>
    <t>Zieme, Bailey and Herzog</t>
  </si>
  <si>
    <t>50-0376562</t>
  </si>
  <si>
    <t>Bashirian, Okuneva and Bechtelar</t>
  </si>
  <si>
    <t>06-9596696</t>
  </si>
  <si>
    <t>McGlynn-Prosacco</t>
  </si>
  <si>
    <t>46-2632808</t>
  </si>
  <si>
    <t>77-7771177</t>
  </si>
  <si>
    <t>O'Connell-Mitchell</t>
  </si>
  <si>
    <t>13-0624842</t>
  </si>
  <si>
    <t>71-4409662</t>
  </si>
  <si>
    <t>West-Cummings</t>
  </si>
  <si>
    <t>46-0270404</t>
  </si>
  <si>
    <t>70-7107956</t>
  </si>
  <si>
    <t>84-5310661</t>
  </si>
  <si>
    <t>75-6638402</t>
  </si>
  <si>
    <t>53-0615558</t>
  </si>
  <si>
    <t>00-2549549</t>
  </si>
  <si>
    <t>23-1397222</t>
  </si>
  <si>
    <t>00-4698524</t>
  </si>
  <si>
    <t>76-3837496</t>
  </si>
  <si>
    <t>61-7979087</t>
  </si>
  <si>
    <t>52-8377955</t>
  </si>
  <si>
    <t>87-6162387</t>
  </si>
  <si>
    <t>Shanahan, Schaden and Parker</t>
  </si>
  <si>
    <t>11-8965256</t>
  </si>
  <si>
    <t>Lubowitz, McLaughlin and Erdman</t>
  </si>
  <si>
    <t>16-9079414</t>
  </si>
  <si>
    <t>Rath-Schroeder</t>
  </si>
  <si>
    <t>15-9091881</t>
  </si>
  <si>
    <t>07-3222085</t>
  </si>
  <si>
    <t>20-3384992</t>
  </si>
  <si>
    <t>09-3404706</t>
  </si>
  <si>
    <t>Dickinson, Hyatt and Berge</t>
  </si>
  <si>
    <t>97-8712680</t>
  </si>
  <si>
    <t>Palm Wetherald</t>
  </si>
  <si>
    <t>43-4245267</t>
  </si>
  <si>
    <t>58-8969119</t>
  </si>
  <si>
    <t>Germany</t>
  </si>
  <si>
    <t>Rickard Doogood</t>
  </si>
  <si>
    <t>Casie MacBain</t>
  </si>
  <si>
    <t>88-8436664</t>
  </si>
  <si>
    <t>Brynn Dempster</t>
  </si>
  <si>
    <t>35-6825112</t>
  </si>
  <si>
    <t>24-4511396</t>
  </si>
  <si>
    <t>99-0564964</t>
  </si>
  <si>
    <t>47-9920494</t>
  </si>
  <si>
    <t>McClure Inc</t>
  </si>
  <si>
    <t>82-9352154</t>
  </si>
  <si>
    <t>74-6920956</t>
  </si>
  <si>
    <t>16-8778373</t>
  </si>
  <si>
    <t>85-4014655</t>
  </si>
  <si>
    <t>25-2355172</t>
  </si>
  <si>
    <t>31-7667796</t>
  </si>
  <si>
    <t>Hane Inc</t>
  </si>
  <si>
    <t>39-2536155</t>
  </si>
  <si>
    <t>30-8840089</t>
  </si>
  <si>
    <t>Kihn Inc</t>
  </si>
  <si>
    <t>93-8309926</t>
  </si>
  <si>
    <t>42-7823733</t>
  </si>
  <si>
    <t>Schowalter, Lesch and Beahan</t>
  </si>
  <si>
    <t>03-9337803</t>
  </si>
  <si>
    <t>42-1879788</t>
  </si>
  <si>
    <t>42-8394841</t>
  </si>
  <si>
    <t>84-5642889</t>
  </si>
  <si>
    <t>92-7234550</t>
  </si>
  <si>
    <t>98-5721101</t>
  </si>
  <si>
    <t>32-9344186</t>
  </si>
  <si>
    <t>40-7356336</t>
  </si>
  <si>
    <t>94-1762263</t>
  </si>
  <si>
    <t>26-5649751</t>
  </si>
  <si>
    <t>88-5343320</t>
  </si>
  <si>
    <t>09-6527060</t>
  </si>
  <si>
    <t>85-3431441</t>
  </si>
  <si>
    <t>78-3301264</t>
  </si>
  <si>
    <t>02-9523107</t>
  </si>
  <si>
    <t>19-9205287</t>
  </si>
  <si>
    <t>Corwin and Sons</t>
  </si>
  <si>
    <t>94-1199389</t>
  </si>
  <si>
    <t>88-4621939</t>
  </si>
  <si>
    <t>68-9634139</t>
  </si>
  <si>
    <t>44-5200140</t>
  </si>
  <si>
    <t>98-6247105</t>
  </si>
  <si>
    <t>24-6566439</t>
  </si>
  <si>
    <t>52-9152387</t>
  </si>
  <si>
    <t>26-9787272</t>
  </si>
  <si>
    <t>12-2202467</t>
  </si>
  <si>
    <t>82-0537890</t>
  </si>
  <si>
    <t>Lueilwitz, Kerluke and Lesch</t>
  </si>
  <si>
    <t>15-6838362</t>
  </si>
  <si>
    <t>51-0685379</t>
  </si>
  <si>
    <t>76-5919033</t>
  </si>
  <si>
    <t>34-7627348</t>
  </si>
  <si>
    <t>32-1940437</t>
  </si>
  <si>
    <t>25-9913528</t>
  </si>
  <si>
    <t>73-3464233</t>
  </si>
  <si>
    <t>04-2863062</t>
  </si>
  <si>
    <t>18-7077174</t>
  </si>
  <si>
    <t>64-8300193</t>
  </si>
  <si>
    <t>84-2858993</t>
  </si>
  <si>
    <t>72-2647440</t>
  </si>
  <si>
    <t>68-1806238</t>
  </si>
  <si>
    <t>87-0922827</t>
  </si>
  <si>
    <t>33-8547717</t>
  </si>
  <si>
    <t>15-5051694</t>
  </si>
  <si>
    <t>Morissette Group</t>
  </si>
  <si>
    <t>37-2363680</t>
  </si>
  <si>
    <t>92-4106004</t>
  </si>
  <si>
    <t>39-1671087</t>
  </si>
  <si>
    <t>77-9240051</t>
  </si>
  <si>
    <t>79-8966057</t>
  </si>
  <si>
    <t>75-0683725</t>
  </si>
  <si>
    <t>55-5032186</t>
  </si>
  <si>
    <t>31-8836719</t>
  </si>
  <si>
    <t>Tromp LLC</t>
  </si>
  <si>
    <t>64-4923214</t>
  </si>
  <si>
    <t>98-2574776</t>
  </si>
  <si>
    <t>Marquardt-Kuvalis</t>
  </si>
  <si>
    <t>33-0729966</t>
  </si>
  <si>
    <t>07-3201531</t>
  </si>
  <si>
    <t>21-3278349</t>
  </si>
  <si>
    <t>50-1695443</t>
  </si>
  <si>
    <t>52-3693331</t>
  </si>
  <si>
    <t>98-3033030</t>
  </si>
  <si>
    <t>34-5793997</t>
  </si>
  <si>
    <t>Romaguera-Haley</t>
  </si>
  <si>
    <t>52-7280101</t>
  </si>
  <si>
    <t>55-3118263</t>
  </si>
  <si>
    <t>58-9822844</t>
  </si>
  <si>
    <t>51-5324396</t>
  </si>
  <si>
    <t>99-5465830</t>
  </si>
  <si>
    <t>01-8696189</t>
  </si>
  <si>
    <t>20-7636879</t>
  </si>
  <si>
    <t>85-8092784</t>
  </si>
  <si>
    <t>Konopelski LLC</t>
  </si>
  <si>
    <t>97-5905883</t>
  </si>
  <si>
    <t>74-6473826</t>
  </si>
  <si>
    <t>91-0416047</t>
  </si>
  <si>
    <t>34-0232219</t>
  </si>
  <si>
    <t>34-0783331</t>
  </si>
  <si>
    <t>30-8215510</t>
  </si>
  <si>
    <t>95-3196761</t>
  </si>
  <si>
    <t>99-3651863</t>
  </si>
  <si>
    <t>94-8641337</t>
  </si>
  <si>
    <t>36-2694099</t>
  </si>
  <si>
    <t>40-5308505</t>
  </si>
  <si>
    <t>68-8279682</t>
  </si>
  <si>
    <t>50-2481520</t>
  </si>
  <si>
    <t>46-1054213</t>
  </si>
  <si>
    <t>40-9497268</t>
  </si>
  <si>
    <t>Stehr LLC</t>
  </si>
  <si>
    <t>54-5107115</t>
  </si>
  <si>
    <t>15-7053450</t>
  </si>
  <si>
    <t>36-2012010</t>
  </si>
  <si>
    <t>61-7521706</t>
  </si>
  <si>
    <t>17-0893784</t>
  </si>
  <si>
    <t>Parisian, Steuber and Satterfield</t>
  </si>
  <si>
    <t>23-5766200</t>
  </si>
  <si>
    <t>24-3140242</t>
  </si>
  <si>
    <t>81-0573181</t>
  </si>
  <si>
    <t>13-1936536</t>
  </si>
  <si>
    <t>94-8026718</t>
  </si>
  <si>
    <t>81-5976459</t>
  </si>
  <si>
    <t>28-6038070</t>
  </si>
  <si>
    <t>Homenick-Marvin</t>
  </si>
  <si>
    <t>81-7970957</t>
  </si>
  <si>
    <t>60-8646184</t>
  </si>
  <si>
    <t>32-2114915</t>
  </si>
  <si>
    <t>58-7865136</t>
  </si>
  <si>
    <t>Denmark</t>
  </si>
  <si>
    <t>Modestia Byfford</t>
  </si>
  <si>
    <t>Case Desorts</t>
  </si>
  <si>
    <t>98-9112505</t>
  </si>
  <si>
    <t>03-0455038</t>
  </si>
  <si>
    <t>71-0122842</t>
  </si>
  <si>
    <t>55-1395838</t>
  </si>
  <si>
    <t>Mellicent Mattys</t>
  </si>
  <si>
    <t>95-7886861</t>
  </si>
  <si>
    <t>19-3013452</t>
  </si>
  <si>
    <t>54-5082146</t>
  </si>
  <si>
    <t>69-4462108</t>
  </si>
  <si>
    <t>68-3731565</t>
  </si>
  <si>
    <t>82-2972108</t>
  </si>
  <si>
    <t>15-2503493</t>
  </si>
  <si>
    <t>37-0857161</t>
  </si>
  <si>
    <t>71-2709641</t>
  </si>
  <si>
    <t>10-5899580</t>
  </si>
  <si>
    <t>10-9241948</t>
  </si>
  <si>
    <t>68-0080728</t>
  </si>
  <si>
    <t>47-0640313</t>
  </si>
  <si>
    <t>37-6597365</t>
  </si>
  <si>
    <t>Friesen and Sons</t>
  </si>
  <si>
    <t>13-0833129</t>
  </si>
  <si>
    <t>15-2994585</t>
  </si>
  <si>
    <t>85-7784608</t>
  </si>
  <si>
    <t>22-3969127</t>
  </si>
  <si>
    <t>80-2242820</t>
  </si>
  <si>
    <t>35-1705563</t>
  </si>
  <si>
    <t>93-9941140</t>
  </si>
  <si>
    <t>36-2366573</t>
  </si>
  <si>
    <t>10-9932801</t>
  </si>
  <si>
    <t>70-8991739</t>
  </si>
  <si>
    <t>97-4830372</t>
  </si>
  <si>
    <t>Stehr-Bogan</t>
  </si>
  <si>
    <t>95-8015610</t>
  </si>
  <si>
    <t>84-1062113</t>
  </si>
  <si>
    <t>05-5082715</t>
  </si>
  <si>
    <t>35-6942653</t>
  </si>
  <si>
    <t>79-6623911</t>
  </si>
  <si>
    <t>48-7662634</t>
  </si>
  <si>
    <t>46-5888587</t>
  </si>
  <si>
    <t>17-3178991</t>
  </si>
  <si>
    <t>18-8528486</t>
  </si>
  <si>
    <t>55-4588115</t>
  </si>
  <si>
    <t>19-9073616</t>
  </si>
  <si>
    <t>96-0020600</t>
  </si>
  <si>
    <t>88-7664123</t>
  </si>
  <si>
    <t>17-8884817</t>
  </si>
  <si>
    <t>Connelly-Mohr</t>
  </si>
  <si>
    <t>45-5509135</t>
  </si>
  <si>
    <t>81-4176165</t>
  </si>
  <si>
    <t>24-9702599</t>
  </si>
  <si>
    <t>24-4272786</t>
  </si>
  <si>
    <t>77-3656041</t>
  </si>
  <si>
    <t>47-7207206</t>
  </si>
  <si>
    <t>65-2022928</t>
  </si>
  <si>
    <t>16-5837761</t>
  </si>
  <si>
    <t>80-7090422</t>
  </si>
  <si>
    <t>66-8222460</t>
  </si>
  <si>
    <t>44-0527427</t>
  </si>
  <si>
    <t>75-9517276</t>
  </si>
  <si>
    <t>Austria</t>
  </si>
  <si>
    <t>Orsa Geekin</t>
  </si>
  <si>
    <t>Bank Coumbe</t>
  </si>
  <si>
    <t>24-2403756</t>
  </si>
  <si>
    <t>50-1986322</t>
  </si>
  <si>
    <t>75-9585763</t>
  </si>
  <si>
    <t>86-6760202</t>
  </si>
  <si>
    <t>66-7717800</t>
  </si>
  <si>
    <t>89-8942175</t>
  </si>
  <si>
    <t>38-0584273</t>
  </si>
  <si>
    <t>38-8840357</t>
  </si>
  <si>
    <t>82-4495901</t>
  </si>
  <si>
    <t>81-2373308</t>
  </si>
  <si>
    <t>15-0224516</t>
  </si>
  <si>
    <t>95-6935153</t>
  </si>
  <si>
    <t>60-8661261</t>
  </si>
  <si>
    <t>56-2783503</t>
  </si>
  <si>
    <t>Manuel Goudie</t>
  </si>
  <si>
    <t>95-1516475</t>
  </si>
  <si>
    <t>32-5562588</t>
  </si>
  <si>
    <t>70-7769332</t>
  </si>
  <si>
    <t>07-6200800</t>
  </si>
  <si>
    <t>11-2988171</t>
  </si>
  <si>
    <t>38-3894304</t>
  </si>
  <si>
    <t>33-6126082</t>
  </si>
  <si>
    <t>25-4970452</t>
  </si>
  <si>
    <t>Hartmann, Hane and Pfannerstill</t>
  </si>
  <si>
    <t>34-8903845</t>
  </si>
  <si>
    <t>32-2110689</t>
  </si>
  <si>
    <t>37-8204282</t>
  </si>
  <si>
    <t>46-1318487</t>
  </si>
  <si>
    <t>99-3971751</t>
  </si>
  <si>
    <t>24-7985425</t>
  </si>
  <si>
    <t>30-9690927</t>
  </si>
  <si>
    <t>37-5025811</t>
  </si>
  <si>
    <t>21-6670877</t>
  </si>
  <si>
    <t>34-3119010</t>
  </si>
  <si>
    <t>54-7503816</t>
  </si>
  <si>
    <t>Gleichner-Green</t>
  </si>
  <si>
    <t>96-1698894</t>
  </si>
  <si>
    <t>92-0523700</t>
  </si>
  <si>
    <t>15-3657248</t>
  </si>
  <si>
    <t>16-3423161</t>
  </si>
  <si>
    <t>67-2684209</t>
  </si>
  <si>
    <t>21-7344983</t>
  </si>
  <si>
    <t>47-9701762</t>
  </si>
  <si>
    <t>86-3876359</t>
  </si>
  <si>
    <t>34-4313860</t>
  </si>
  <si>
    <t>71-4782689</t>
  </si>
  <si>
    <t>85-3690127</t>
  </si>
  <si>
    <t>66-5810051</t>
  </si>
  <si>
    <t>81-9170157</t>
  </si>
  <si>
    <t>24-7300640</t>
  </si>
  <si>
    <t>97-1288901</t>
  </si>
  <si>
    <t>81-9757849</t>
  </si>
  <si>
    <t>44-9179070</t>
  </si>
  <si>
    <t>55-2137809</t>
  </si>
  <si>
    <t>56-1063618</t>
  </si>
  <si>
    <t>01-8080546</t>
  </si>
  <si>
    <t>Baumbach Group</t>
  </si>
  <si>
    <t>29-5632797</t>
  </si>
  <si>
    <t>20-1191256</t>
  </si>
  <si>
    <t>33-4022317</t>
  </si>
  <si>
    <t>59-5892824</t>
  </si>
  <si>
    <t>52-3394023</t>
  </si>
  <si>
    <t>89-5350599</t>
  </si>
  <si>
    <t>92-6298656</t>
  </si>
  <si>
    <t>91-7317758</t>
  </si>
  <si>
    <t>60-6055725</t>
  </si>
  <si>
    <t>33-2816759</t>
  </si>
  <si>
    <t>05-2359767</t>
  </si>
  <si>
    <t>73-9492768</t>
  </si>
  <si>
    <t>31-6770318</t>
  </si>
  <si>
    <t>52-0695511</t>
  </si>
  <si>
    <t>45-8314773</t>
  </si>
  <si>
    <t>53-0205940</t>
  </si>
  <si>
    <t>53-1660551</t>
  </si>
  <si>
    <t>70-5394452</t>
  </si>
  <si>
    <t>10-0386535</t>
  </si>
  <si>
    <t>56-8476539</t>
  </si>
  <si>
    <t>04-7976277</t>
  </si>
  <si>
    <t>21-2965409</t>
  </si>
  <si>
    <t>04-2788693</t>
  </si>
  <si>
    <t>20-6477396</t>
  </si>
  <si>
    <t>22-7259031</t>
  </si>
  <si>
    <t>44-9239029</t>
  </si>
  <si>
    <t>77-4566105</t>
  </si>
  <si>
    <t>29-3662564</t>
  </si>
  <si>
    <t>73-8057834</t>
  </si>
  <si>
    <t>87-9980890</t>
  </si>
  <si>
    <t>98-8250897</t>
  </si>
  <si>
    <t>98-3051699</t>
  </si>
  <si>
    <t>75-7291972</t>
  </si>
  <si>
    <t>67-3672347</t>
  </si>
  <si>
    <t>75-1785229</t>
  </si>
  <si>
    <t>53-1426071</t>
  </si>
  <si>
    <t>49-7167664</t>
  </si>
  <si>
    <t>07-7047482</t>
  </si>
  <si>
    <t>57-1931933</t>
  </si>
  <si>
    <t>15-5167065</t>
  </si>
  <si>
    <t>98-9382686</t>
  </si>
  <si>
    <t>47-5733147</t>
  </si>
  <si>
    <t>98-2104934</t>
  </si>
  <si>
    <t>30-6005742</t>
  </si>
  <si>
    <t>21-7461655</t>
  </si>
  <si>
    <t>96-7625873</t>
  </si>
  <si>
    <t>53-2132479</t>
  </si>
  <si>
    <t>70-4650708</t>
  </si>
  <si>
    <t>53-3037652</t>
  </si>
  <si>
    <t>76-0774122</t>
  </si>
  <si>
    <t>72-3928347</t>
  </si>
  <si>
    <t>87-1399932</t>
  </si>
  <si>
    <t>25-1045028</t>
  </si>
  <si>
    <t>70-0364033</t>
  </si>
  <si>
    <t>35-9372764</t>
  </si>
  <si>
    <t>36-1142710</t>
  </si>
  <si>
    <t>75-6291395</t>
  </si>
  <si>
    <t>00-3338378</t>
  </si>
  <si>
    <t>55-1904761</t>
  </si>
  <si>
    <t>70-9736399</t>
  </si>
  <si>
    <t>20-3125420</t>
  </si>
  <si>
    <t>57-2968987</t>
  </si>
  <si>
    <t>76-2146784</t>
  </si>
  <si>
    <t>19-3129154</t>
  </si>
  <si>
    <t>79-0973971</t>
  </si>
  <si>
    <t>65-5376517</t>
  </si>
  <si>
    <t>80-5258827</t>
  </si>
  <si>
    <t>98-5257166</t>
  </si>
  <si>
    <t>19-5610175</t>
  </si>
  <si>
    <t>94-3509391</t>
  </si>
  <si>
    <t>43-5417299</t>
  </si>
  <si>
    <t>68-6141868</t>
  </si>
  <si>
    <t>29-8979189</t>
  </si>
  <si>
    <t>58-9821508</t>
  </si>
  <si>
    <t>49-1493117</t>
  </si>
  <si>
    <t>51-5334556</t>
  </si>
  <si>
    <t>79-3154360</t>
  </si>
  <si>
    <t>11-6024248</t>
  </si>
  <si>
    <t>61-4610981</t>
  </si>
  <si>
    <t>12-4509008</t>
  </si>
  <si>
    <t>46-5576111</t>
  </si>
  <si>
    <t>44-6718687</t>
  </si>
  <si>
    <t>67-7432229</t>
  </si>
  <si>
    <t>17-4401585</t>
  </si>
  <si>
    <t>56-9241023</t>
  </si>
  <si>
    <t>90-2194359</t>
  </si>
  <si>
    <t>89-2424262</t>
  </si>
  <si>
    <t>30-2982340</t>
  </si>
  <si>
    <t>10-4704941</t>
  </si>
  <si>
    <t>48-3484986</t>
  </si>
  <si>
    <t>84-4478396</t>
  </si>
  <si>
    <t>28-0849652</t>
  </si>
  <si>
    <t>74-0214938</t>
  </si>
  <si>
    <t>89-0187996</t>
  </si>
  <si>
    <t>65-8218141</t>
  </si>
  <si>
    <t>49-8489293</t>
  </si>
  <si>
    <t>91-8142232</t>
  </si>
  <si>
    <t>75-5380350</t>
  </si>
  <si>
    <t>35-4551515</t>
  </si>
  <si>
    <t>73-2763209</t>
  </si>
  <si>
    <t>56-0800364</t>
  </si>
  <si>
    <t>42-7027181</t>
  </si>
  <si>
    <t>29-0601002</t>
  </si>
  <si>
    <t>90-2797129</t>
  </si>
  <si>
    <t>27-3437546</t>
  </si>
  <si>
    <t>78-3726363</t>
  </si>
  <si>
    <t>78-8990131</t>
  </si>
  <si>
    <t>85-2223377</t>
  </si>
  <si>
    <t>73-9246627</t>
  </si>
  <si>
    <t>56-7910696</t>
  </si>
  <si>
    <t>91-4296427</t>
  </si>
  <si>
    <t>70-8181545</t>
  </si>
  <si>
    <t>94-0775004</t>
  </si>
  <si>
    <t>89-3466746</t>
  </si>
  <si>
    <t>11-5257937</t>
  </si>
  <si>
    <t>22-7587128</t>
  </si>
  <si>
    <t>36-7597839</t>
  </si>
  <si>
    <t>16-2824654</t>
  </si>
  <si>
    <t>49-1743669</t>
  </si>
  <si>
    <t>48-7252604</t>
  </si>
  <si>
    <t>07-1769568</t>
  </si>
  <si>
    <t>57-5645459</t>
  </si>
  <si>
    <t>13-0740797</t>
  </si>
  <si>
    <t>34-9966345</t>
  </si>
  <si>
    <t>91-6738094</t>
  </si>
  <si>
    <t>32-9007470</t>
  </si>
  <si>
    <t>68-6382353</t>
  </si>
  <si>
    <t>88-5406813</t>
  </si>
  <si>
    <t>42-2765593</t>
  </si>
  <si>
    <t>76-0724533</t>
  </si>
  <si>
    <t>45-3965395</t>
  </si>
  <si>
    <t>46-6126203</t>
  </si>
  <si>
    <t>27-7554919</t>
  </si>
  <si>
    <t>59-1230573</t>
  </si>
  <si>
    <t>45-2229786</t>
  </si>
  <si>
    <t>62-7218897</t>
  </si>
  <si>
    <t>55-4161787</t>
  </si>
  <si>
    <t>56-2537757</t>
  </si>
  <si>
    <t>Wyman Group</t>
  </si>
  <si>
    <t>20-0021649</t>
  </si>
  <si>
    <t>93-2627296</t>
  </si>
  <si>
    <t>56-2408571</t>
  </si>
  <si>
    <t>80-3206606</t>
  </si>
  <si>
    <t>48-3190394</t>
  </si>
  <si>
    <t>38-6130023</t>
  </si>
  <si>
    <t>38-2969743</t>
  </si>
  <si>
    <t>48-8166416</t>
  </si>
  <si>
    <t>33-4102367</t>
  </si>
  <si>
    <t>44-5240815</t>
  </si>
  <si>
    <t>70-9378988</t>
  </si>
  <si>
    <t>84-9385946</t>
  </si>
  <si>
    <t>00-1210718</t>
  </si>
  <si>
    <t>92-7917751</t>
  </si>
  <si>
    <t>91-3344544</t>
  </si>
  <si>
    <t>28-1840061</t>
  </si>
  <si>
    <t>20-7532198</t>
  </si>
  <si>
    <t>96-7618409</t>
  </si>
  <si>
    <t>47-8186791</t>
  </si>
  <si>
    <t>61-8262308</t>
  </si>
  <si>
    <t>39-1945268</t>
  </si>
  <si>
    <t>70-1769929</t>
  </si>
  <si>
    <t>65-0414599</t>
  </si>
  <si>
    <t>44-0517932</t>
  </si>
  <si>
    <t>74-1131921</t>
  </si>
  <si>
    <t>74-8625042</t>
  </si>
  <si>
    <t>36-0185776</t>
  </si>
  <si>
    <t>98-4157323</t>
  </si>
  <si>
    <t>36-8783637</t>
  </si>
  <si>
    <t>34-0286364</t>
  </si>
  <si>
    <t>82-0533747</t>
  </si>
  <si>
    <t>59-9184649</t>
  </si>
  <si>
    <t>03-3136289</t>
  </si>
  <si>
    <t>79-6676714</t>
  </si>
  <si>
    <t>82-1082124</t>
  </si>
  <si>
    <t>79-1331359</t>
  </si>
  <si>
    <t>84-7042200</t>
  </si>
  <si>
    <t>42-5303223</t>
  </si>
  <si>
    <t>04-6732680</t>
  </si>
  <si>
    <t>84-9167618</t>
  </si>
  <si>
    <t>47-5319780</t>
  </si>
  <si>
    <t>Stamm-Zulauf</t>
  </si>
  <si>
    <t>20-1013432</t>
  </si>
  <si>
    <t>87-5540520</t>
  </si>
  <si>
    <t>59-3526945</t>
  </si>
  <si>
    <t>33-4706706</t>
  </si>
  <si>
    <t>51-9052860</t>
  </si>
  <si>
    <t>99-9021526</t>
  </si>
  <si>
    <t>87-0122224</t>
  </si>
  <si>
    <t>88-1711226</t>
  </si>
  <si>
    <t>59-5711012</t>
  </si>
  <si>
    <t>65-0792739</t>
  </si>
  <si>
    <t>75-7245546</t>
  </si>
  <si>
    <t>05-0243828</t>
  </si>
  <si>
    <t>14-9919657</t>
  </si>
  <si>
    <t>47-9191500</t>
  </si>
  <si>
    <t>51-3543971</t>
  </si>
  <si>
    <t>14-4225824</t>
  </si>
  <si>
    <t>88-1349718</t>
  </si>
  <si>
    <t>62-5120016</t>
  </si>
  <si>
    <t>19-4538571</t>
  </si>
  <si>
    <t>01-1212783</t>
  </si>
  <si>
    <t>58-8728288</t>
  </si>
  <si>
    <t>95-2190016</t>
  </si>
  <si>
    <t>95-4388709</t>
  </si>
  <si>
    <t>Gorczany-Lehner</t>
  </si>
  <si>
    <t>57-8678621</t>
  </si>
  <si>
    <t>22-4278602</t>
  </si>
  <si>
    <t>98-3280428</t>
  </si>
  <si>
    <t>61-4366487</t>
  </si>
  <si>
    <t>55-2128150</t>
  </si>
  <si>
    <t>60-0610487</t>
  </si>
  <si>
    <t>02-9253490</t>
  </si>
  <si>
    <t>65-2343846</t>
  </si>
  <si>
    <t>20-0499139</t>
  </si>
  <si>
    <t>32-3994860</t>
  </si>
  <si>
    <t>72-7973717</t>
  </si>
  <si>
    <t>77-0650807</t>
  </si>
  <si>
    <t>34-5150360</t>
  </si>
  <si>
    <t>73-4726386</t>
  </si>
  <si>
    <t>78-6165949</t>
  </si>
  <si>
    <t>74-0191565</t>
  </si>
  <si>
    <t>02-3364199</t>
  </si>
  <si>
    <t>39-8642490</t>
  </si>
  <si>
    <t>50-8357453</t>
  </si>
  <si>
    <t>68-6900528</t>
  </si>
  <si>
    <t>92-5154775</t>
  </si>
  <si>
    <t>60-7777080</t>
  </si>
  <si>
    <t>54-1473475</t>
  </si>
  <si>
    <t>51-4531731</t>
  </si>
  <si>
    <t>20-6735303</t>
  </si>
  <si>
    <t>97-5858605</t>
  </si>
  <si>
    <t>02-2183787</t>
  </si>
  <si>
    <t>65-5818172</t>
  </si>
  <si>
    <t>Cobby Andersen</t>
  </si>
  <si>
    <t>03-8586261</t>
  </si>
  <si>
    <t>86-0928074</t>
  </si>
  <si>
    <t>77-1100434</t>
  </si>
  <si>
    <t>70-7426559</t>
  </si>
  <si>
    <t>45-5963143</t>
  </si>
  <si>
    <t>Schuster Inc</t>
  </si>
  <si>
    <t>94-3590580</t>
  </si>
  <si>
    <t>52-5981325</t>
  </si>
  <si>
    <t>74-7472724</t>
  </si>
  <si>
    <t>03-3965480</t>
  </si>
  <si>
    <t>64-4188827</t>
  </si>
  <si>
    <t>66-5572109</t>
  </si>
  <si>
    <t>44-2994974</t>
  </si>
  <si>
    <t>30-7981953</t>
  </si>
  <si>
    <t>82-9740062</t>
  </si>
  <si>
    <t>28-7069317</t>
  </si>
  <si>
    <t>65-0441590</t>
  </si>
  <si>
    <t>60-1991659</t>
  </si>
  <si>
    <t>15-2948501</t>
  </si>
  <si>
    <t>02-6830973</t>
  </si>
  <si>
    <t>70-0112393</t>
  </si>
  <si>
    <t>04-6161825</t>
  </si>
  <si>
    <t>57-4142025</t>
  </si>
  <si>
    <t>84-9254695</t>
  </si>
  <si>
    <t>17-1884075</t>
  </si>
  <si>
    <t>49-6263811</t>
  </si>
  <si>
    <t>78-6287811</t>
  </si>
  <si>
    <t>75-1807214</t>
  </si>
  <si>
    <t>72-1300449</t>
  </si>
  <si>
    <t>22-4332301</t>
  </si>
  <si>
    <t>42-2477150</t>
  </si>
  <si>
    <t>18-5234470</t>
  </si>
  <si>
    <t>Heaney, Gulgowski and Kshlerin</t>
  </si>
  <si>
    <t>74-4541594</t>
  </si>
  <si>
    <t>16-6855831</t>
  </si>
  <si>
    <t>46-5327740</t>
  </si>
  <si>
    <t>06-4416964</t>
  </si>
  <si>
    <t>46-6076582</t>
  </si>
  <si>
    <t>38-1449694</t>
  </si>
  <si>
    <t>39-3557596</t>
  </si>
  <si>
    <t>26-9990483</t>
  </si>
  <si>
    <t>31-7075495</t>
  </si>
  <si>
    <t>98-5774102</t>
  </si>
  <si>
    <t>46-5580805</t>
  </si>
  <si>
    <t>39-6568658</t>
  </si>
  <si>
    <t>85-1464621</t>
  </si>
  <si>
    <t>86-6763776</t>
  </si>
  <si>
    <t>03-7559332</t>
  </si>
  <si>
    <t>36-7939842</t>
  </si>
  <si>
    <t>38-7603760</t>
  </si>
  <si>
    <t>11-5630090</t>
  </si>
  <si>
    <t>97-6414953</t>
  </si>
  <si>
    <t>64-9816105</t>
  </si>
  <si>
    <t>59-0893568</t>
  </si>
  <si>
    <t>18-0945763</t>
  </si>
  <si>
    <t>26-1771681</t>
  </si>
  <si>
    <t>57-6427586</t>
  </si>
  <si>
    <t>73-3910940</t>
  </si>
  <si>
    <t>34-8728117</t>
  </si>
  <si>
    <t>53-7680732</t>
  </si>
  <si>
    <t>86-6380587</t>
  </si>
  <si>
    <t>95-1862126</t>
  </si>
  <si>
    <t>41-6241712</t>
  </si>
  <si>
    <t>32-3418936</t>
  </si>
  <si>
    <t>10-1511807</t>
  </si>
  <si>
    <t>66-6360568</t>
  </si>
  <si>
    <t>63-4386955</t>
  </si>
  <si>
    <t>77-3226391</t>
  </si>
  <si>
    <t>74-9554997</t>
  </si>
  <si>
    <t>37-0756560</t>
  </si>
  <si>
    <t>19-9649739</t>
  </si>
  <si>
    <t>91-4735064</t>
  </si>
  <si>
    <t>82-1337530</t>
  </si>
  <si>
    <t>39-3209780</t>
  </si>
  <si>
    <t>18-0483044</t>
  </si>
  <si>
    <t>70-0044622</t>
  </si>
  <si>
    <t>43-1236055</t>
  </si>
  <si>
    <t>25-6133000</t>
  </si>
  <si>
    <t>78-7666796</t>
  </si>
  <si>
    <t>45-1867999</t>
  </si>
  <si>
    <t>97-5797169</t>
  </si>
  <si>
    <t>31-6585710</t>
  </si>
  <si>
    <t>84-0460695</t>
  </si>
  <si>
    <t>20-4568650</t>
  </si>
  <si>
    <t>29-9208067</t>
  </si>
  <si>
    <t>21-2357660</t>
  </si>
  <si>
    <t>16-3842379</t>
  </si>
  <si>
    <t>58-5376153</t>
  </si>
  <si>
    <t>04-1808253</t>
  </si>
  <si>
    <t>44-9036885</t>
  </si>
  <si>
    <t>35-0548738</t>
  </si>
  <si>
    <t>64-0103144</t>
  </si>
  <si>
    <t>48-7080069</t>
  </si>
  <si>
    <t>05-2772504</t>
  </si>
  <si>
    <t>42-2439801</t>
  </si>
  <si>
    <t>82-8353642</t>
  </si>
  <si>
    <t>16-5450021</t>
  </si>
  <si>
    <t>80-1021367</t>
  </si>
  <si>
    <t>03-3076058</t>
  </si>
  <si>
    <t>92-4440351</t>
  </si>
  <si>
    <t>15-3268783</t>
  </si>
  <si>
    <t>44-7664180</t>
  </si>
  <si>
    <t>92-7042708</t>
  </si>
  <si>
    <t>21-8595718</t>
  </si>
  <si>
    <t>06-4611284</t>
  </si>
  <si>
    <t>04-4730440</t>
  </si>
  <si>
    <t>89-7467187</t>
  </si>
  <si>
    <t>37-7100862</t>
  </si>
  <si>
    <t>20-9472915</t>
  </si>
  <si>
    <t>82-8836162</t>
  </si>
  <si>
    <t>38-8230515</t>
  </si>
  <si>
    <t>46-8792953</t>
  </si>
  <si>
    <t>93-0380487</t>
  </si>
  <si>
    <t>44-2650716</t>
  </si>
  <si>
    <t>78-7812852</t>
  </si>
  <si>
    <t>11-2653878</t>
  </si>
  <si>
    <t>74-9856135</t>
  </si>
  <si>
    <t>22-8551804</t>
  </si>
  <si>
    <t>76-2368068</t>
  </si>
  <si>
    <t>83-0606533</t>
  </si>
  <si>
    <t>84-1745028</t>
  </si>
  <si>
    <t>63-2957047</t>
  </si>
  <si>
    <t>90-3993986</t>
  </si>
  <si>
    <t>00-1398218</t>
  </si>
  <si>
    <t>09-9618844</t>
  </si>
  <si>
    <t>96-5143420</t>
  </si>
  <si>
    <t>99-0862667</t>
  </si>
  <si>
    <t>79-6118087</t>
  </si>
  <si>
    <t>07-5296371</t>
  </si>
  <si>
    <t>93-9111830</t>
  </si>
  <si>
    <t>47-0713476</t>
  </si>
  <si>
    <t>92-2645259</t>
  </si>
  <si>
    <t>93-4118211</t>
  </si>
  <si>
    <t>90-7039701</t>
  </si>
  <si>
    <t>64-1003834</t>
  </si>
  <si>
    <t>24-2679038</t>
  </si>
  <si>
    <t>06-4986886</t>
  </si>
  <si>
    <t>63-5897834</t>
  </si>
  <si>
    <t>45-6860897</t>
  </si>
  <si>
    <t>40-9830607</t>
  </si>
  <si>
    <t>09-8360520</t>
  </si>
  <si>
    <t>55-6785409</t>
  </si>
  <si>
    <t>12-4881666</t>
  </si>
  <si>
    <t>86-7866497</t>
  </si>
  <si>
    <t>12-2375671</t>
  </si>
  <si>
    <t>56-6310976</t>
  </si>
  <si>
    <t>08-4398900</t>
  </si>
  <si>
    <t>23-3084772</t>
  </si>
  <si>
    <t>33-8484080</t>
  </si>
  <si>
    <t>28-0362135</t>
  </si>
  <si>
    <t>53-4511393</t>
  </si>
  <si>
    <t>50-0521963</t>
  </si>
  <si>
    <t>75-6127722</t>
  </si>
  <si>
    <t>99-3994854</t>
  </si>
  <si>
    <t>45-5157875</t>
  </si>
  <si>
    <t>97-8921759</t>
  </si>
  <si>
    <t>43-6672888</t>
  </si>
  <si>
    <t>28-6152726</t>
  </si>
  <si>
    <t>26-1201622</t>
  </si>
  <si>
    <t>18-3315246</t>
  </si>
  <si>
    <t>40-9114557</t>
  </si>
  <si>
    <t>34-8443139</t>
  </si>
  <si>
    <t>79-0393736</t>
  </si>
  <si>
    <t>58-2923511</t>
  </si>
  <si>
    <t>84-1343954</t>
  </si>
  <si>
    <t>43-9259516</t>
  </si>
  <si>
    <t>53-0009701</t>
  </si>
  <si>
    <t>50-2002828</t>
  </si>
  <si>
    <t>90-6933957</t>
  </si>
  <si>
    <t>98-4201877</t>
  </si>
  <si>
    <t>86-2962836</t>
  </si>
  <si>
    <t>76-5324325</t>
  </si>
  <si>
    <t>36-3226083</t>
  </si>
  <si>
    <t>00-8086430</t>
  </si>
  <si>
    <t>98-0946281</t>
  </si>
  <si>
    <t>82-4770311</t>
  </si>
  <si>
    <t>34-0265266</t>
  </si>
  <si>
    <t>47-9858688</t>
  </si>
  <si>
    <t>24-9178520</t>
  </si>
  <si>
    <t>17-5553034</t>
  </si>
  <si>
    <t>03-5073152</t>
  </si>
  <si>
    <t>19-8109416</t>
  </si>
  <si>
    <t>16-5710075</t>
  </si>
  <si>
    <t>78-5541691</t>
  </si>
  <si>
    <t>69-8016438</t>
  </si>
  <si>
    <t>43-7205800</t>
  </si>
  <si>
    <t>84-2496865</t>
  </si>
  <si>
    <t>13-4700827</t>
  </si>
  <si>
    <t>10-5202864</t>
  </si>
  <si>
    <t>29-6521179</t>
  </si>
  <si>
    <t>30-9137723</t>
  </si>
  <si>
    <t>55-4422832</t>
  </si>
  <si>
    <t>12-1257338</t>
  </si>
  <si>
    <t>66-6777720</t>
  </si>
  <si>
    <t>53-3568171</t>
  </si>
  <si>
    <t>77-6124790</t>
  </si>
  <si>
    <t>09-3668672</t>
  </si>
  <si>
    <t>00-5823706</t>
  </si>
  <si>
    <t>67-8646070</t>
  </si>
  <si>
    <t>58-1975365</t>
  </si>
  <si>
    <t>99-7842298</t>
  </si>
  <si>
    <t>80-8019337</t>
  </si>
  <si>
    <t>76-8416893</t>
  </si>
  <si>
    <t>19-3893110</t>
  </si>
  <si>
    <t>17-3994138</t>
  </si>
  <si>
    <t>29-8090560</t>
  </si>
  <si>
    <t>75-5652593</t>
  </si>
  <si>
    <t>84-5276032</t>
  </si>
  <si>
    <t>01-4729172</t>
  </si>
  <si>
    <t>70-3373325</t>
  </si>
  <si>
    <t>73-6329299</t>
  </si>
  <si>
    <t>74-6221213</t>
  </si>
  <si>
    <t>53-1326953</t>
  </si>
  <si>
    <t>56-7081196</t>
  </si>
  <si>
    <t>85-9560144</t>
  </si>
  <si>
    <t>35-9605742</t>
  </si>
  <si>
    <t>30-0037690</t>
  </si>
  <si>
    <t>75-6038587</t>
  </si>
  <si>
    <t>45-8966277</t>
  </si>
  <si>
    <t>23-0941629</t>
  </si>
  <si>
    <t>44-2757396</t>
  </si>
  <si>
    <t>21-4464304</t>
  </si>
  <si>
    <t>02-8721192</t>
  </si>
  <si>
    <t>46-9710750</t>
  </si>
  <si>
    <t>26-1781486</t>
  </si>
  <si>
    <t>57-7927520</t>
  </si>
  <si>
    <t>95-4271285</t>
  </si>
  <si>
    <t>66-4296261</t>
  </si>
  <si>
    <t>24-8477374</t>
  </si>
  <si>
    <t>96-1991854</t>
  </si>
  <si>
    <t>54-3353166</t>
  </si>
  <si>
    <t>44-6408586</t>
  </si>
  <si>
    <t>86-6107692</t>
  </si>
  <si>
    <t>89-7513050</t>
  </si>
  <si>
    <t>54-2767741</t>
  </si>
  <si>
    <t>24-6905998</t>
  </si>
  <si>
    <t>35-0173281</t>
  </si>
  <si>
    <t>93-5465623</t>
  </si>
  <si>
    <t>67-2823354</t>
  </si>
  <si>
    <t>28-0622425</t>
  </si>
  <si>
    <t>84-0679518</t>
  </si>
  <si>
    <t>95-1195568</t>
  </si>
  <si>
    <t>57-2495984</t>
  </si>
  <si>
    <t>77-5229094</t>
  </si>
  <si>
    <t>09-3747816</t>
  </si>
  <si>
    <t>62-9738356</t>
  </si>
  <si>
    <t>22-6938537</t>
  </si>
  <si>
    <t>11-0955383</t>
  </si>
  <si>
    <t>80-1374023</t>
  </si>
  <si>
    <t>66-7112079</t>
  </si>
  <si>
    <t>31-2600204</t>
  </si>
  <si>
    <t>00-7031798</t>
  </si>
  <si>
    <t>20-1827241</t>
  </si>
  <si>
    <t>80-5941460</t>
  </si>
  <si>
    <t>17-3240628</t>
  </si>
  <si>
    <t>22-5929243</t>
  </si>
  <si>
    <t>35-7483371</t>
  </si>
  <si>
    <t>71-1921602</t>
  </si>
  <si>
    <t>22-9949979</t>
  </si>
  <si>
    <t>06-8466490</t>
  </si>
  <si>
    <t>34-6603897</t>
  </si>
  <si>
    <t>92-3462655</t>
  </si>
  <si>
    <t>26-9826298</t>
  </si>
  <si>
    <t>39-5542863</t>
  </si>
  <si>
    <t>18-1809309</t>
  </si>
  <si>
    <t>51-0837613</t>
  </si>
  <si>
    <t>46-0117523</t>
  </si>
  <si>
    <t>58-1079558</t>
  </si>
  <si>
    <t>49-9010863</t>
  </si>
  <si>
    <t>58-2028009</t>
  </si>
  <si>
    <t>03-4045721</t>
  </si>
  <si>
    <t>80-3039005</t>
  </si>
  <si>
    <t>Littel-Blick</t>
  </si>
  <si>
    <t>90-4449856</t>
  </si>
  <si>
    <t>82-2837449</t>
  </si>
  <si>
    <t>21-4033151</t>
  </si>
  <si>
    <t>98-6563368</t>
  </si>
  <si>
    <t>21-2589548</t>
  </si>
  <si>
    <t>52-7049356</t>
  </si>
  <si>
    <t>35-1708827</t>
  </si>
  <si>
    <t>22-1266257</t>
  </si>
  <si>
    <t>44-9978904</t>
  </si>
  <si>
    <t>63-1220717</t>
  </si>
  <si>
    <t>40-0265810</t>
  </si>
  <si>
    <t>56-6094665</t>
  </si>
  <si>
    <t>75-3776704</t>
  </si>
  <si>
    <t>55-1050582</t>
  </si>
  <si>
    <t>78-8602908</t>
  </si>
  <si>
    <t>30-3460885</t>
  </si>
  <si>
    <t>59-0348389</t>
  </si>
  <si>
    <t>91-7447818</t>
  </si>
  <si>
    <t>37-6449638</t>
  </si>
  <si>
    <t>38-2806168</t>
  </si>
  <si>
    <t>09-7737652</t>
  </si>
  <si>
    <t>29-1727395</t>
  </si>
  <si>
    <t>92-4695001</t>
  </si>
  <si>
    <t>51-2167412</t>
  </si>
  <si>
    <t>Abbott, Roberts and Torp</t>
  </si>
  <si>
    <t>27-7169008</t>
  </si>
  <si>
    <t>96-5231814</t>
  </si>
  <si>
    <t>03-2027170</t>
  </si>
  <si>
    <t>99-9599677</t>
  </si>
  <si>
    <t>22-0725785</t>
  </si>
  <si>
    <t>37-6033123</t>
  </si>
  <si>
    <t>29-5158368</t>
  </si>
  <si>
    <t>95-4281933</t>
  </si>
  <si>
    <t>61-0532585</t>
  </si>
  <si>
    <t>99-9093075</t>
  </si>
  <si>
    <t>65-2631885</t>
  </si>
  <si>
    <t>03-4651559</t>
  </si>
  <si>
    <t>91-6673445</t>
  </si>
  <si>
    <t>62-1501210</t>
  </si>
  <si>
    <t>29-0072186</t>
  </si>
  <si>
    <t>06-5115020</t>
  </si>
  <si>
    <t>22-6046651</t>
  </si>
  <si>
    <t>71-6499815</t>
  </si>
  <si>
    <t>81-1454737</t>
  </si>
  <si>
    <t>26-0092767</t>
  </si>
  <si>
    <t>74-6211038</t>
  </si>
  <si>
    <t>85-5544928</t>
  </si>
  <si>
    <t>00-6227453</t>
  </si>
  <si>
    <t>70-5224180</t>
  </si>
  <si>
    <t>40-8287610</t>
  </si>
  <si>
    <t>49-7876403</t>
  </si>
  <si>
    <t>01-6107437</t>
  </si>
  <si>
    <t>13-6163562</t>
  </si>
  <si>
    <t>41-0722740</t>
  </si>
  <si>
    <t>65-4008552</t>
  </si>
  <si>
    <t>72-4825752</t>
  </si>
  <si>
    <t>18-2580592</t>
  </si>
  <si>
    <t>14-1283254</t>
  </si>
  <si>
    <t>79-4826735</t>
  </si>
  <si>
    <t>82-2840501</t>
  </si>
  <si>
    <t>19-0320558</t>
  </si>
  <si>
    <t>57-0945292</t>
  </si>
  <si>
    <t>01-6573793</t>
  </si>
  <si>
    <t>63-0694419</t>
  </si>
  <si>
    <t>24-2442637</t>
  </si>
  <si>
    <t>04-8899739</t>
  </si>
  <si>
    <t>48-2932903</t>
  </si>
  <si>
    <t>66-0265458</t>
  </si>
  <si>
    <t>57-6602854</t>
  </si>
  <si>
    <t>47-6702070</t>
  </si>
  <si>
    <t>99-9215178</t>
  </si>
  <si>
    <t>39-5953116</t>
  </si>
  <si>
    <t>71-3278650</t>
  </si>
  <si>
    <t>38-6891011</t>
  </si>
  <si>
    <t>06-5566367</t>
  </si>
  <si>
    <t>30-9025281</t>
  </si>
  <si>
    <t>80-4161102</t>
  </si>
  <si>
    <t>96-1388247</t>
  </si>
  <si>
    <t>21-2097342</t>
  </si>
  <si>
    <t>30-4045249</t>
  </si>
  <si>
    <t>31-9806848</t>
  </si>
  <si>
    <t>09-7835975</t>
  </si>
  <si>
    <t>16-9758497</t>
  </si>
  <si>
    <t>54-1058965</t>
  </si>
  <si>
    <t>84-0565956</t>
  </si>
  <si>
    <t>85-6263705</t>
  </si>
  <si>
    <t>46-4560578</t>
  </si>
  <si>
    <t>08-5093310</t>
  </si>
  <si>
    <t>21-8525376</t>
  </si>
  <si>
    <t>60-0406937</t>
  </si>
  <si>
    <t>61-4937643</t>
  </si>
  <si>
    <t>94-3251589</t>
  </si>
  <si>
    <t>48-2124998</t>
  </si>
  <si>
    <t>19-1017922</t>
  </si>
  <si>
    <t>51-1141675</t>
  </si>
  <si>
    <t>94-2134593</t>
  </si>
  <si>
    <t>82-0616982</t>
  </si>
  <si>
    <t>22-5761330</t>
  </si>
  <si>
    <t>62-1694462</t>
  </si>
  <si>
    <t>66-2612057</t>
  </si>
  <si>
    <t>01-7655863</t>
  </si>
  <si>
    <t>06-2196763</t>
  </si>
  <si>
    <t>84-4465649</t>
  </si>
  <si>
    <t>63-6767584</t>
  </si>
  <si>
    <t>75-7443241</t>
  </si>
  <si>
    <t>34-8182639</t>
  </si>
  <si>
    <t>Lind, Mueller and Stoltenberg</t>
  </si>
  <si>
    <t>53-3803984</t>
  </si>
  <si>
    <t>68-0176456</t>
  </si>
  <si>
    <t>63-7370049</t>
  </si>
  <si>
    <t>03-3461826</t>
  </si>
  <si>
    <t>76-5888381</t>
  </si>
  <si>
    <t>43-7357498</t>
  </si>
  <si>
    <t>88-8981595</t>
  </si>
  <si>
    <t>95-6123269</t>
  </si>
  <si>
    <t>60-6986682</t>
  </si>
  <si>
    <t>29-5478106</t>
  </si>
  <si>
    <t>49-2256360</t>
  </si>
  <si>
    <t>59-2480731</t>
  </si>
  <si>
    <t>63-6848448</t>
  </si>
  <si>
    <t>14-5110197</t>
  </si>
  <si>
    <t>42-2646312</t>
  </si>
  <si>
    <t>60-8083173</t>
  </si>
  <si>
    <t>76-1827989</t>
  </si>
  <si>
    <t>36-4321653</t>
  </si>
  <si>
    <t>18-7046062</t>
  </si>
  <si>
    <t>73-4380400</t>
  </si>
  <si>
    <t>47-5051773</t>
  </si>
  <si>
    <t>92-3687989</t>
  </si>
  <si>
    <t>60-9753536</t>
  </si>
  <si>
    <t>39-5658730</t>
  </si>
  <si>
    <t>73-8632957</t>
  </si>
  <si>
    <t>16-0987104</t>
  </si>
  <si>
    <t>76-0164425</t>
  </si>
  <si>
    <t>87-7908481</t>
  </si>
  <si>
    <t>30-7149594</t>
  </si>
  <si>
    <t>75-7848944</t>
  </si>
  <si>
    <t>72-2796883</t>
  </si>
  <si>
    <t>32-3124563</t>
  </si>
  <si>
    <t>83-7592334</t>
  </si>
  <si>
    <t>61-3721294</t>
  </si>
  <si>
    <t>43-8355995</t>
  </si>
  <si>
    <t>49-2458036</t>
  </si>
  <si>
    <t>13-9607758</t>
  </si>
  <si>
    <t>61-0888460</t>
  </si>
  <si>
    <t>25-2616039</t>
  </si>
  <si>
    <t>46-2962443</t>
  </si>
  <si>
    <t>44-9908550</t>
  </si>
  <si>
    <t>52-3150154</t>
  </si>
  <si>
    <t>37-9761957</t>
  </si>
  <si>
    <t>67-6072579</t>
  </si>
  <si>
    <t>89-0300778</t>
  </si>
  <si>
    <t>80-1894360</t>
  </si>
  <si>
    <t>58-2235320</t>
  </si>
  <si>
    <t>68-9875936</t>
  </si>
  <si>
    <t>75-8968627</t>
  </si>
  <si>
    <t>86-9456489</t>
  </si>
  <si>
    <t>02-1124101</t>
  </si>
  <si>
    <t>85-9787047</t>
  </si>
  <si>
    <t>60-7663173</t>
  </si>
  <si>
    <t>34-1570975</t>
  </si>
  <si>
    <t>57-9765345</t>
  </si>
  <si>
    <t>31-8846200</t>
  </si>
  <si>
    <t>48-6452102</t>
  </si>
  <si>
    <t>85-9541179</t>
  </si>
  <si>
    <t>93-2085046</t>
  </si>
  <si>
    <t>03-6962760</t>
  </si>
  <si>
    <t>15-3241183</t>
  </si>
  <si>
    <t>54-5705354</t>
  </si>
  <si>
    <t>29-1888759</t>
  </si>
  <si>
    <t>12-3815754</t>
  </si>
  <si>
    <t>30-4823900</t>
  </si>
  <si>
    <t>72-9074281</t>
  </si>
  <si>
    <t>52-0213558</t>
  </si>
  <si>
    <t>19-6334792</t>
  </si>
  <si>
    <t>35-4712641</t>
  </si>
  <si>
    <t>03-3542738</t>
  </si>
  <si>
    <t>81-9457605</t>
  </si>
  <si>
    <t>63-0813030</t>
  </si>
  <si>
    <t>00-7326184</t>
  </si>
  <si>
    <t>22-0156233</t>
  </si>
  <si>
    <t>94-0623186</t>
  </si>
  <si>
    <t>08-0446109</t>
  </si>
  <si>
    <t>77-3489084</t>
  </si>
  <si>
    <t>59-2117058</t>
  </si>
  <si>
    <t>31-1849120</t>
  </si>
  <si>
    <t>45-3085595</t>
  </si>
  <si>
    <t>61-3294149</t>
  </si>
  <si>
    <t>profit</t>
  </si>
  <si>
    <t>Grand Total</t>
  </si>
  <si>
    <t>Total Profit</t>
  </si>
  <si>
    <t>Total Sales</t>
  </si>
  <si>
    <t>Difference in share of profits and sales</t>
  </si>
  <si>
    <t>Avg Profit per Sale</t>
  </si>
  <si>
    <t>Total Cost</t>
  </si>
  <si>
    <t>Sales Rep</t>
  </si>
  <si>
    <t>2019</t>
  </si>
  <si>
    <t>2020</t>
  </si>
  <si>
    <t>Jan</t>
  </si>
  <si>
    <t>Feb</t>
  </si>
  <si>
    <t>Mar</t>
  </si>
  <si>
    <t>Apr</t>
  </si>
  <si>
    <t>May</t>
  </si>
  <si>
    <t>Jun</t>
  </si>
  <si>
    <t>Jul</t>
  </si>
  <si>
    <t>Aug</t>
  </si>
  <si>
    <t>Sep</t>
  </si>
  <si>
    <t>Oct</t>
  </si>
  <si>
    <t>Nov</t>
  </si>
  <si>
    <t>Dec</t>
  </si>
  <si>
    <t>Total Revenue</t>
  </si>
  <si>
    <t>Share of Revenue</t>
  </si>
  <si>
    <t>Summary Table</t>
  </si>
  <si>
    <t>Number of Sales</t>
  </si>
  <si>
    <t>Unique</t>
  </si>
  <si>
    <t>Avg Order Size</t>
  </si>
  <si>
    <t>Largest Order</t>
  </si>
  <si>
    <t>Smallest Order</t>
  </si>
  <si>
    <t>Categories</t>
  </si>
  <si>
    <t>Associated Sales Manager</t>
  </si>
  <si>
    <t>Sales Managers</t>
  </si>
  <si>
    <t>Number of Sales Reps</t>
  </si>
  <si>
    <t>Orders of each category</t>
  </si>
  <si>
    <t>Avg Profit per Order</t>
  </si>
  <si>
    <t>Average Profit per Order</t>
  </si>
  <si>
    <t>Cost per Order</t>
  </si>
  <si>
    <t>Revenue per Order</t>
  </si>
  <si>
    <t>Customers</t>
  </si>
  <si>
    <t>Number of Categories</t>
  </si>
  <si>
    <t>Number of Sales Managers</t>
  </si>
  <si>
    <t>Number of Customers</t>
  </si>
  <si>
    <t>Number of Orders</t>
  </si>
  <si>
    <t>Customer with the most orders</t>
  </si>
  <si>
    <t xml:space="preserve"> </t>
  </si>
  <si>
    <t xml:space="preserve"> 2</t>
  </si>
  <si>
    <t xml:space="preserve"> 3</t>
  </si>
  <si>
    <t xml:space="preserve"> 4</t>
  </si>
  <si>
    <t xml:space="preserve"> 5</t>
  </si>
  <si>
    <t xml:space="preserve"> 6</t>
  </si>
  <si>
    <t xml:space="preserve"> 7</t>
  </si>
  <si>
    <t xml:space="preserve"> 8</t>
  </si>
  <si>
    <t>Sales Rep Performance</t>
  </si>
  <si>
    <t>Year</t>
  </si>
  <si>
    <t>Month</t>
  </si>
  <si>
    <t>STD of order size</t>
  </si>
  <si>
    <t>Correlation between profit and order size</t>
  </si>
  <si>
    <t>Order Size Bin</t>
  </si>
  <si>
    <t>Order Size Classification</t>
  </si>
  <si>
    <t>Column Labels</t>
  </si>
  <si>
    <t>Bin Floor</t>
  </si>
  <si>
    <t>Row Labels</t>
  </si>
  <si>
    <t>Count</t>
  </si>
  <si>
    <t>Bin Floor (sort key)</t>
  </si>
  <si>
    <t>Median Order Value</t>
  </si>
  <si>
    <t>Average Order Value</t>
  </si>
  <si>
    <t>Total Orders</t>
  </si>
  <si>
    <t>Customer</t>
  </si>
  <si>
    <t>Profit</t>
  </si>
  <si>
    <t>Total Average of Profit</t>
  </si>
  <si>
    <t>Average of Profit</t>
  </si>
  <si>
    <t>Total Average Cost</t>
  </si>
  <si>
    <t>Average Cost</t>
  </si>
  <si>
    <t>Total Average Order Value</t>
  </si>
  <si>
    <t>Total Total Number of Sales</t>
  </si>
  <si>
    <t>Total Number of Sales</t>
  </si>
  <si>
    <t>Profit Margin</t>
  </si>
  <si>
    <t>More Orders = More Profit?</t>
  </si>
  <si>
    <t>This dashboard aims to look assess whether more orders drives profits or if there is something else in play. Orders placed between the start of 2019 and end of 2020 are included</t>
  </si>
  <si>
    <t>Revenue</t>
  </si>
  <si>
    <t>Orders</t>
  </si>
  <si>
    <t>Cost</t>
  </si>
  <si>
    <t>Monthly Summary</t>
  </si>
  <si>
    <t>Monthly Revenue</t>
  </si>
  <si>
    <t>Sales by Month</t>
  </si>
  <si>
    <t>Average Order Value by Month</t>
  </si>
  <si>
    <t>Profit Margin by Month</t>
  </si>
  <si>
    <t>Profit per Month</t>
  </si>
  <si>
    <t>Customer Analysis</t>
  </si>
  <si>
    <t>Product Summary</t>
  </si>
  <si>
    <t>Correlation between orders and profits</t>
  </si>
  <si>
    <t>Yearly Supporting Statistics</t>
  </si>
  <si>
    <t>Standard Deviation of Orders</t>
  </si>
  <si>
    <t>Total</t>
  </si>
  <si>
    <t>Avg in Difference between profit and sales share</t>
  </si>
  <si>
    <t>STD of profit share - sales share</t>
  </si>
  <si>
    <t>Correlation between avg order val and avg profit per sale</t>
  </si>
  <si>
    <t>Standard Deviation of Profit Margin (Percentage Points)</t>
  </si>
  <si>
    <t>Avg Monthly Profit</t>
  </si>
  <si>
    <t>STD of monthly profit</t>
  </si>
  <si>
    <t>Average</t>
  </si>
  <si>
    <t>Below Average</t>
  </si>
  <si>
    <t>Above Average</t>
  </si>
  <si>
    <t>Category</t>
  </si>
  <si>
    <t>Sales per Category</t>
  </si>
  <si>
    <t>% of Profits</t>
  </si>
  <si>
    <t>% of Sales</t>
  </si>
  <si>
    <t>Monthly Ratings</t>
  </si>
  <si>
    <t>Average Profit</t>
  </si>
  <si>
    <t>Category Breakdown</t>
  </si>
  <si>
    <t>Makeup of Monthly Orders</t>
  </si>
  <si>
    <t>Categories by Month</t>
  </si>
  <si>
    <t>Total Makeup of Monthly Orders</t>
  </si>
  <si>
    <t>Customers average order val in each cat</t>
  </si>
  <si>
    <t>Orders and avg profit</t>
  </si>
  <si>
    <t>Order val and avg profit</t>
  </si>
  <si>
    <t>Avg Profit per Sales Rep</t>
  </si>
  <si>
    <t>Avg Revenue per Sales Rep</t>
  </si>
  <si>
    <t>Sum of order_value_GBP</t>
  </si>
  <si>
    <t>STD of revenue per sales rep</t>
  </si>
  <si>
    <t>STD of profit per sales rep</t>
  </si>
  <si>
    <t>Avg Profit per Sales Rep per sale</t>
  </si>
  <si>
    <t>Corr between total sales and avg profit per sale</t>
  </si>
  <si>
    <t>Sales</t>
  </si>
  <si>
    <t>Avg Profit Per Sale</t>
  </si>
  <si>
    <t>Outlier removed</t>
  </si>
  <si>
    <t>Do More Sales Mean More Profit?  |  Sales Dashboard 2019–2020</t>
  </si>
  <si>
    <t>Combines the MOMP Tables and MOMP analysis to test whether a higher number of orders drives higher profit. All figures link live to 'MOMP Tables' (orders placed Jan 2019 – Dec 2020, GBP).</t>
  </si>
  <si>
    <t>Monthly Detail (chart data) – linked to 'MOMP Tables'</t>
  </si>
  <si>
    <t>Period</t>
  </si>
  <si>
    <t>Revenue (£)</t>
  </si>
  <si>
    <t>Profit (£)</t>
  </si>
  <si>
    <t>Avg Order Value (£)</t>
  </si>
  <si>
    <t>Avg Profit / Sale (£)</t>
  </si>
  <si>
    <t>Profit Rating</t>
  </si>
  <si>
    <t>Total / Avg</t>
  </si>
  <si>
    <t>Category View – volume vs profitability</t>
  </si>
  <si>
    <t>No. of Sales</t>
  </si>
  <si>
    <t>Total Profit (£)</t>
  </si>
  <si>
    <t>Avg Profit Margin</t>
  </si>
  <si>
    <t>Orders ↔ Profit (r)</t>
  </si>
  <si>
    <t>Order Value ↔ Profit/Sale (r)</t>
  </si>
  <si>
    <t>VERDICT</t>
  </si>
  <si>
    <t>2019 vs 2020 – Year-on-Year Comparison</t>
  </si>
  <si>
    <t>Key Findings</t>
  </si>
  <si>
    <t>Metric</t>
  </si>
  <si>
    <t>Change</t>
  </si>
  <si>
    <t>Change %</t>
  </si>
  <si>
    <t>Avg Monthly Profit (£)</t>
  </si>
  <si>
    <t>Std Dev of Monthly Orders</t>
  </si>
  <si>
    <t>Corr: Orders ↔ Profit</t>
  </si>
  <si>
    <t>Corr: Order Value ↔ Profit/Sale</t>
  </si>
  <si>
    <t>What the data says about orders vs profit</t>
  </si>
  <si>
    <t>Source: 'MOMP Tables' pivot tables &amp; supporting statistics. Change % omitted for ratios/correlations.</t>
  </si>
  <si>
    <t>Visual Evidence</t>
  </si>
  <si>
    <t>overall</t>
  </si>
  <si>
    <t>Avg Order Val</t>
  </si>
  <si>
    <t>Avg Profit</t>
  </si>
  <si>
    <t>Orders and avg profit &gt; 20 orders</t>
  </si>
  <si>
    <t>Orders and avg order val &gt; 20 orders</t>
  </si>
  <si>
    <t>Avg Order Val and Avg Profit</t>
  </si>
  <si>
    <t>Orders and order val</t>
  </si>
  <si>
    <t>Corr between total sales and prof per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</si>
</sst>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7" formatCode="&quot;£&quot;#,##0.00;\-&quot;£&quot;#,##0.00"/>
    <numFmt numFmtId="44" formatCode="_-&quot;£&quot;* #,##0.00_-;\-&quot;£&quot;* #,##0.00_-;_-&quot;£&quot;* &quot;-&quot;??_-;_-@_-"/>
    <numFmt numFmtId="164" formatCode="0.00%;\-0.00%;0.00%"/>
    <numFmt numFmtId="165" formatCode="\£#,##0"/>
    <numFmt numFmtId="166" formatCode="&quot;£&quot;#,##0.00"/>
    <numFmt numFmtId="167" formatCode="#,##0.000_ ;\-#,##0.000\ "/>
    <numFmt numFmtId="168" formatCode="\£#,##0;\(\£#,##0\);\-"/>
    <numFmt numFmtId="169" formatCode="0.0%"/>
    <numFmt numFmtId="170" formatCode="\£#,##0.00,,&quot;m&quot;"/>
    <numFmt numFmtId="171" formatCode="#,##0;\(#,##0\);\-"/>
    <numFmt numFmtId="172" formatCode="0.0%;\(0.0%\);\-"/>
    <numFmt numFmtId="173" formatCode="0.0;\(0.0\);\-"/>
    <numFmt numFmtId="174" formatCode="0.00;\(0.00\);\-"/>
  </numFmts>
  <fonts count="26"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FF"/>
      <name val="Aptos Narrow"/>
      <family val="2"/>
      <scheme val="minor"/>
    </font>
    <font>
      <b/>
      <sz val="18"/>
      <color theme="1"/>
      <name val="Aptos Narrow"/>
      <family val="2"/>
      <scheme val="minor"/>
    </font>
    <font>
      <b/>
      <sz val="14"/>
      <color theme="1"/>
      <name val="Aptos Narrow"/>
      <family val="2"/>
      <scheme val="minor"/>
    </font>
    <font>
      <sz val="8"/>
      <name val="Aptos Narrow"/>
      <family val="2"/>
      <scheme val="minor"/>
    </font>
    <font>
      <sz val="11"/>
      <color theme="1"/>
      <name val="Calibri"/>
    </font>
    <font>
      <sz val="11"/>
      <color rgb="FFFFFFFF"/>
      <name val="Aptos Narrow"/>
      <family val="2"/>
      <scheme val="minor"/>
    </font>
    <font>
      <b/>
      <sz val="20"/>
      <color rgb="FFFFFFFF"/>
      <name val="Aptos Narrow"/>
      <family val="2"/>
      <scheme val="minor"/>
    </font>
    <font>
      <i/>
      <sz val="11"/>
      <color rgb="FF1F3864"/>
      <name val="Aptos Narrow"/>
      <family val="2"/>
      <scheme val="minor"/>
    </font>
    <font>
      <i/>
      <sz val="10"/>
      <color rgb="FF1F3864"/>
      <name val="Aptos Narrow"/>
      <family val="2"/>
      <scheme val="minor"/>
    </font>
    <font>
      <b/>
      <sz val="12"/>
      <color rgb="FFFFFFFF"/>
      <name val="Aptos Narrow"/>
      <family val="2"/>
      <scheme val="minor"/>
    </font>
    <font>
      <b/>
      <sz val="11"/>
      <color theme="1"/>
      <name val="Calibri"/>
    </font>
    <font>
      <b/>
      <sz val="11"/>
      <color rgb="FF1F3864"/>
      <name val="Calibri"/>
    </font>
    <font>
      <b/>
      <sz val="10"/>
      <color rgb="FF595959"/>
      <name val="Aptos Narrow"/>
      <family val="2"/>
      <scheme val="minor"/>
    </font>
    <font>
      <b/>
      <sz val="22"/>
      <color rgb="FF1F3864"/>
      <name val="Aptos Narrow"/>
      <family val="2"/>
      <scheme val="minor"/>
    </font>
    <font>
      <sz val="8"/>
      <color rgb="FF7F7F7F"/>
      <name val="Aptos Narrow"/>
      <family val="2"/>
      <scheme val="minor"/>
    </font>
    <font>
      <b/>
      <sz val="10"/>
      <color rgb="FFFFC000"/>
      <name val="Aptos Narrow"/>
      <family val="2"/>
      <scheme val="minor"/>
    </font>
    <font>
      <b/>
      <sz val="11"/>
      <color rgb="FF1F3864"/>
      <name val="Aptos Narrow"/>
      <family val="2"/>
      <scheme val="minor"/>
    </font>
    <font>
      <sz val="10"/>
      <color rgb="FF262626"/>
      <name val="Aptos Narrow"/>
      <family val="2"/>
      <scheme val="minor"/>
    </font>
    <font>
      <b/>
      <sz val="10"/>
      <color rgb="FF1F3864"/>
      <name val="Aptos Narrow"/>
      <family val="2"/>
      <scheme val="minor"/>
    </font>
    <font>
      <i/>
      <sz val="11"/>
      <color rgb="FF595959"/>
      <name val="Aptos Narrow"/>
      <family val="2"/>
      <scheme val="minor"/>
    </font>
    <font>
      <i/>
      <sz val="8"/>
      <color rgb="FF7F7F7F"/>
      <name val="Aptos Narrow"/>
      <family val="2"/>
      <scheme val="minor"/>
    </font>
    <font>
      <sz val="9"/>
      <color indexed="81"/>
      <name val="Tahoma"/>
      <charset val="1"/>
    </font>
    <font>
      <b/>
      <sz val="9"/>
      <color indexed="81"/>
      <name val="Tahoma"/>
      <charset val="1"/>
    </font>
  </fonts>
  <fills count="10">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rgb="FF1F3864"/>
        <bgColor indexed="64"/>
      </patternFill>
    </fill>
    <fill>
      <patternFill patternType="solid">
        <fgColor rgb="FFD9E1F2"/>
        <bgColor indexed="64"/>
      </patternFill>
    </fill>
    <fill>
      <patternFill patternType="solid">
        <fgColor rgb="FFF2F2F2"/>
        <bgColor indexed="64"/>
      </patternFill>
    </fill>
    <fill>
      <patternFill patternType="solid">
        <fgColor rgb="FFFFFFFF"/>
        <bgColor indexed="64"/>
      </patternFill>
    </fill>
    <fill>
      <patternFill patternType="solid">
        <fgColor rgb="FFFFF2CC"/>
        <bgColor indexed="64"/>
      </patternFill>
    </fill>
    <fill>
      <patternFill patternType="solid">
        <fgColor rgb="FFFFFF00"/>
        <bgColor indexed="64"/>
      </patternFill>
    </fill>
  </fills>
  <borders count="16">
    <border>
      <left/>
      <right/>
      <top/>
      <bottom/>
      <diagonal/>
    </border>
    <border>
      <left/>
      <right/>
      <top style="thin">
        <color theme="4" tint="0.39997558519241921"/>
      </top>
      <bottom/>
      <diagonal/>
    </border>
    <border>
      <left/>
      <right/>
      <top/>
      <bottom style="thin">
        <color theme="4" tint="0.39997558519241921"/>
      </bottom>
      <diagonal/>
    </border>
    <border>
      <left/>
      <right/>
      <top/>
      <bottom style="double">
        <color auto="1"/>
      </bottom>
      <diagonal/>
    </border>
    <border>
      <left/>
      <right/>
      <top/>
      <bottom style="thin">
        <color rgb="FFD9D9D9"/>
      </bottom>
      <diagonal/>
    </border>
    <border>
      <left/>
      <right/>
      <top style="thin">
        <color rgb="FFD9D9D9"/>
      </top>
      <bottom style="thin">
        <color rgb="FFD9D9D9"/>
      </bottom>
      <diagonal/>
    </border>
    <border>
      <left/>
      <right/>
      <top/>
      <bottom style="thick">
        <color rgb="FFFFFFFF"/>
      </bottom>
      <diagonal/>
    </border>
    <border>
      <left style="thick">
        <color rgb="FFFFFFFF"/>
      </left>
      <right/>
      <top/>
      <bottom/>
      <diagonal/>
    </border>
    <border>
      <left style="thick">
        <color rgb="FFFFFFFF"/>
      </left>
      <right/>
      <top/>
      <bottom style="thick">
        <color rgb="FFFFFFFF"/>
      </bottom>
      <diagonal/>
    </border>
    <border>
      <left/>
      <right style="thick">
        <color rgb="FFFFFFFF"/>
      </right>
      <top/>
      <bottom/>
      <diagonal/>
    </border>
    <border>
      <left/>
      <right style="thick">
        <color rgb="FFFFFFFF"/>
      </right>
      <top/>
      <bottom style="thick">
        <color rgb="FFFFFFFF"/>
      </bottom>
      <diagonal/>
    </border>
    <border>
      <left style="thick">
        <color rgb="FFFFFFFF"/>
      </left>
      <right/>
      <top style="thick">
        <color rgb="FF2F75B5"/>
      </top>
      <bottom/>
      <diagonal/>
    </border>
    <border>
      <left/>
      <right style="thick">
        <color rgb="FFFFFFFF"/>
      </right>
      <top style="thick">
        <color rgb="FF2F75B5"/>
      </top>
      <bottom/>
      <diagonal/>
    </border>
    <border>
      <left/>
      <right/>
      <top style="thick">
        <color rgb="FF2F75B5"/>
      </top>
      <bottom/>
      <diagonal/>
    </border>
    <border>
      <left/>
      <right/>
      <top style="thin">
        <color rgb="FFD9D9D9"/>
      </top>
      <bottom/>
      <diagonal/>
    </border>
    <border>
      <left style="thick">
        <color rgb="FFFFC000"/>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79">
    <xf numFmtId="0" fontId="0" fillId="0" borderId="0" xfId="0"/>
    <xf numFmtId="14" fontId="0" fillId="0" borderId="0" xfId="0" applyNumberFormat="1"/>
    <xf numFmtId="44" fontId="0" fillId="0" borderId="0" xfId="1" applyFont="1"/>
    <xf numFmtId="0" fontId="0" fillId="0" borderId="0" xfId="0" pivotButton="1"/>
    <xf numFmtId="0" fontId="0" fillId="0" borderId="0" xfId="0" applyAlignment="1">
      <alignment horizontal="left"/>
    </xf>
    <xf numFmtId="44" fontId="0" fillId="0" borderId="0" xfId="0" applyNumberFormat="1"/>
    <xf numFmtId="1" fontId="0" fillId="0" borderId="0" xfId="0" applyNumberFormat="1"/>
    <xf numFmtId="164" fontId="0" fillId="0" borderId="0" xfId="0" applyNumberFormat="1"/>
    <xf numFmtId="0" fontId="0" fillId="0" borderId="0" xfId="0" applyAlignment="1">
      <alignment horizontal="left" indent="1"/>
    </xf>
    <xf numFmtId="0" fontId="2" fillId="0" borderId="0" xfId="0" applyFont="1"/>
    <xf numFmtId="49" fontId="0" fillId="0" borderId="0" xfId="1" applyNumberFormat="1" applyFont="1"/>
    <xf numFmtId="165" fontId="0" fillId="0" borderId="0" xfId="0" applyNumberFormat="1"/>
    <xf numFmtId="165" fontId="3" fillId="0" borderId="0" xfId="0" applyNumberFormat="1" applyFont="1"/>
    <xf numFmtId="165" fontId="3" fillId="2" borderId="0" xfId="0" applyNumberFormat="1" applyFont="1" applyFill="1"/>
    <xf numFmtId="7" fontId="0" fillId="0" borderId="0" xfId="0" applyNumberFormat="1"/>
    <xf numFmtId="0" fontId="4" fillId="0" borderId="0" xfId="0" applyFont="1"/>
    <xf numFmtId="9" fontId="0" fillId="0" borderId="0" xfId="0" applyNumberFormat="1"/>
    <xf numFmtId="0" fontId="5" fillId="0" borderId="0" xfId="0" applyFont="1"/>
    <xf numFmtId="166" fontId="0" fillId="0" borderId="0" xfId="1" applyNumberFormat="1" applyFont="1"/>
    <xf numFmtId="166" fontId="0" fillId="0" borderId="0" xfId="0" applyNumberFormat="1"/>
    <xf numFmtId="0" fontId="2" fillId="3" borderId="2" xfId="0" applyFont="1" applyFill="1" applyBorder="1"/>
    <xf numFmtId="0" fontId="2" fillId="3" borderId="1" xfId="0" applyFont="1" applyFill="1" applyBorder="1" applyAlignment="1">
      <alignment horizontal="left"/>
    </xf>
    <xf numFmtId="0" fontId="0" fillId="0" borderId="0" xfId="2" applyNumberFormat="1" applyFont="1"/>
    <xf numFmtId="167" fontId="0" fillId="0" borderId="0" xfId="0" applyNumberFormat="1"/>
    <xf numFmtId="0" fontId="7" fillId="0" borderId="0" xfId="0" applyFont="1"/>
    <xf numFmtId="0" fontId="14" fillId="5" borderId="0" xfId="0" applyFont="1" applyFill="1" applyAlignment="1">
      <alignment horizontal="center" vertical="center" wrapText="1"/>
    </xf>
    <xf numFmtId="0" fontId="13" fillId="0" borderId="3" xfId="0" applyFont="1" applyBorder="1"/>
    <xf numFmtId="3" fontId="13" fillId="0" borderId="3" xfId="0" applyNumberFormat="1" applyFont="1" applyBorder="1"/>
    <xf numFmtId="168" fontId="13" fillId="0" borderId="3" xfId="0" applyNumberFormat="1" applyFont="1" applyBorder="1"/>
    <xf numFmtId="169" fontId="13" fillId="0" borderId="3" xfId="0" applyNumberFormat="1" applyFont="1" applyBorder="1"/>
    <xf numFmtId="0" fontId="7" fillId="0" borderId="4" xfId="0" applyFont="1" applyBorder="1"/>
    <xf numFmtId="3" fontId="7" fillId="0" borderId="4" xfId="0" applyNumberFormat="1" applyFont="1" applyBorder="1"/>
    <xf numFmtId="168" fontId="7" fillId="0" borderId="4" xfId="0" applyNumberFormat="1" applyFont="1" applyBorder="1"/>
    <xf numFmtId="169" fontId="7" fillId="0" borderId="4" xfId="0" applyNumberFormat="1" applyFont="1" applyBorder="1"/>
    <xf numFmtId="0" fontId="7" fillId="0" borderId="5" xfId="0" applyFont="1" applyBorder="1"/>
    <xf numFmtId="3" fontId="7" fillId="0" borderId="5" xfId="0" applyNumberFormat="1" applyFont="1" applyBorder="1"/>
    <xf numFmtId="168" fontId="7" fillId="0" borderId="5" xfId="0" applyNumberFormat="1" applyFont="1" applyBorder="1"/>
    <xf numFmtId="169" fontId="7" fillId="0" borderId="5" xfId="0" applyNumberFormat="1" applyFont="1" applyBorder="1"/>
    <xf numFmtId="0" fontId="7" fillId="0" borderId="4" xfId="0" applyFont="1" applyBorder="1" applyAlignment="1">
      <alignment horizontal="center"/>
    </xf>
    <xf numFmtId="0" fontId="7" fillId="0" borderId="5" xfId="0" applyFont="1" applyBorder="1" applyAlignment="1">
      <alignment horizontal="center"/>
    </xf>
    <xf numFmtId="0" fontId="14" fillId="5" borderId="0" xfId="0" applyFont="1" applyFill="1" applyAlignment="1">
      <alignment horizontal="center"/>
    </xf>
    <xf numFmtId="171" fontId="7" fillId="0" borderId="4" xfId="0" applyNumberFormat="1" applyFont="1" applyBorder="1"/>
    <xf numFmtId="172" fontId="7" fillId="0" borderId="4" xfId="0" applyNumberFormat="1" applyFont="1" applyBorder="1"/>
    <xf numFmtId="172" fontId="7" fillId="0" borderId="5" xfId="0" applyNumberFormat="1" applyFont="1" applyBorder="1"/>
    <xf numFmtId="173" fontId="7" fillId="0" borderId="5" xfId="0" applyNumberFormat="1" applyFont="1" applyBorder="1"/>
    <xf numFmtId="174" fontId="7" fillId="0" borderId="5" xfId="0" applyNumberFormat="1" applyFont="1" applyBorder="1"/>
    <xf numFmtId="0" fontId="10" fillId="0" borderId="0" xfId="0" applyFont="1"/>
    <xf numFmtId="0" fontId="0" fillId="0" borderId="0" xfId="0"/>
    <xf numFmtId="0" fontId="15" fillId="6" borderId="11" xfId="0" applyFont="1" applyFill="1" applyBorder="1" applyAlignment="1">
      <alignment horizontal="center" vertical="center"/>
    </xf>
    <xf numFmtId="0" fontId="0" fillId="6" borderId="13" xfId="0" applyFill="1" applyBorder="1" applyAlignment="1">
      <alignment horizontal="center" vertical="center"/>
    </xf>
    <xf numFmtId="3" fontId="16" fillId="6" borderId="7" xfId="0" applyNumberFormat="1" applyFont="1" applyFill="1" applyBorder="1" applyAlignment="1">
      <alignment horizontal="center" vertical="center"/>
    </xf>
    <xf numFmtId="0" fontId="0" fillId="6" borderId="0" xfId="0" applyFill="1" applyAlignment="1">
      <alignment horizontal="center" vertical="center"/>
    </xf>
    <xf numFmtId="0" fontId="17" fillId="6" borderId="8" xfId="0" applyFont="1" applyFill="1" applyBorder="1" applyAlignment="1">
      <alignment horizontal="center" vertical="center"/>
    </xf>
    <xf numFmtId="0" fontId="0" fillId="6" borderId="6" xfId="0" applyFill="1" applyBorder="1" applyAlignment="1">
      <alignment horizontal="center" vertical="center"/>
    </xf>
    <xf numFmtId="0" fontId="9" fillId="4" borderId="0" xfId="0" applyFont="1" applyFill="1" applyAlignment="1">
      <alignment horizontal="left" vertical="center" indent="1"/>
    </xf>
    <xf numFmtId="0" fontId="11" fillId="5" borderId="0" xfId="0" applyFont="1" applyFill="1" applyAlignment="1">
      <alignment vertical="center" indent="1"/>
    </xf>
    <xf numFmtId="0" fontId="12" fillId="4" borderId="0" xfId="0" applyFont="1" applyFill="1"/>
    <xf numFmtId="170" fontId="16" fillId="6" borderId="7" xfId="0" applyNumberFormat="1" applyFont="1" applyFill="1" applyBorder="1" applyAlignment="1">
      <alignment horizontal="center" vertical="center"/>
    </xf>
    <xf numFmtId="169" fontId="16" fillId="6" borderId="7" xfId="0" applyNumberFormat="1" applyFont="1" applyFill="1" applyBorder="1" applyAlignment="1">
      <alignment horizontal="center" vertical="center"/>
    </xf>
    <xf numFmtId="0" fontId="0" fillId="0" borderId="5" xfId="0" applyBorder="1" applyAlignment="1">
      <alignment indent="1"/>
    </xf>
    <xf numFmtId="0" fontId="18" fillId="4" borderId="7" xfId="0" applyFont="1" applyFill="1" applyBorder="1" applyAlignment="1">
      <alignment horizontal="center" vertical="center"/>
    </xf>
    <xf numFmtId="0" fontId="8" fillId="4" borderId="0" xfId="0" applyFont="1" applyFill="1" applyAlignment="1">
      <alignment horizontal="center" vertical="center"/>
    </xf>
    <xf numFmtId="0" fontId="12" fillId="4" borderId="7" xfId="0" applyFont="1" applyFill="1" applyBorder="1" applyAlignment="1">
      <alignment horizontal="center" vertical="center" wrapText="1"/>
    </xf>
    <xf numFmtId="0" fontId="8" fillId="4" borderId="7" xfId="0" applyFont="1" applyFill="1" applyBorder="1" applyAlignment="1">
      <alignment horizontal="center" vertical="center"/>
    </xf>
    <xf numFmtId="0" fontId="12" fillId="4" borderId="0" xfId="0" applyFont="1" applyFill="1" applyAlignment="1">
      <alignment indent="1"/>
    </xf>
    <xf numFmtId="0" fontId="19" fillId="5" borderId="0" xfId="0" applyFont="1" applyFill="1"/>
    <xf numFmtId="0" fontId="0" fillId="0" borderId="4" xfId="0" applyBorder="1" applyAlignment="1">
      <alignment indent="1"/>
    </xf>
    <xf numFmtId="2" fontId="16" fillId="6" borderId="7" xfId="0" applyNumberFormat="1" applyFont="1" applyFill="1" applyBorder="1" applyAlignment="1">
      <alignment horizontal="center" vertical="center"/>
    </xf>
    <xf numFmtId="0" fontId="0" fillId="6" borderId="12" xfId="0" applyFill="1" applyBorder="1" applyAlignment="1">
      <alignment horizontal="center" vertical="center"/>
    </xf>
    <xf numFmtId="0" fontId="0" fillId="6" borderId="9" xfId="0" applyFill="1" applyBorder="1" applyAlignment="1">
      <alignment horizontal="center" vertical="center"/>
    </xf>
    <xf numFmtId="0" fontId="0" fillId="6" borderId="10" xfId="0" applyFill="1" applyBorder="1" applyAlignment="1">
      <alignment horizontal="center" vertical="center"/>
    </xf>
    <xf numFmtId="0" fontId="21" fillId="8" borderId="15" xfId="0" applyFont="1" applyFill="1" applyBorder="1" applyAlignment="1">
      <alignment vertical="center" wrapText="1" indent="1"/>
    </xf>
    <xf numFmtId="0" fontId="21" fillId="8" borderId="0" xfId="0" applyFont="1" applyFill="1" applyAlignment="1">
      <alignment vertical="center" wrapText="1" indent="1"/>
    </xf>
    <xf numFmtId="0" fontId="22" fillId="0" borderId="0" xfId="0" applyFont="1" applyAlignment="1">
      <alignment indent="1"/>
    </xf>
    <xf numFmtId="0" fontId="23" fillId="0" borderId="14" xfId="0" applyFont="1" applyBorder="1" applyAlignment="1">
      <alignment vertical="top" wrapText="1"/>
    </xf>
    <xf numFmtId="0" fontId="0" fillId="0" borderId="14" xfId="0" applyBorder="1"/>
    <xf numFmtId="0" fontId="20" fillId="6" borderId="0" xfId="0" applyFont="1" applyFill="1" applyAlignment="1">
      <alignment vertical="center" wrapText="1" indent="1"/>
    </xf>
    <xf numFmtId="0" fontId="20" fillId="7" borderId="0" xfId="0" applyFont="1" applyFill="1" applyAlignment="1">
      <alignment vertical="center" wrapText="1" indent="1"/>
    </xf>
    <xf numFmtId="0" fontId="0" fillId="9" borderId="0" xfId="0" applyFill="1" applyAlignment="1">
      <alignment horizontal="left"/>
    </xf>
  </cellXfs>
  <cellStyles count="3">
    <cellStyle name="Currency" xfId="1" builtinId="4"/>
    <cellStyle name="Normal" xfId="0" builtinId="0"/>
    <cellStyle name="Percent" xfId="2" builtinId="5"/>
  </cellStyles>
  <dxfs count="27">
    <dxf>
      <fill>
        <patternFill patternType="solid">
          <bgColor rgb="FFFFFF00"/>
        </patternFill>
      </fill>
    </dxf>
    <dxf>
      <fill>
        <patternFill patternType="solid">
          <bgColor rgb="FFFFFF00"/>
        </patternFill>
      </fill>
    </dxf>
    <dxf>
      <fill>
        <patternFill patternType="solid">
          <bgColor rgb="FFFFFF00"/>
        </patternFill>
      </fill>
    </dxf>
    <dxf>
      <font>
        <color rgb="FF9C0006"/>
      </font>
      <fill>
        <patternFill patternType="solid">
          <fgColor indexed="64"/>
          <bgColor rgb="FFFFC7CE"/>
        </patternFill>
      </fill>
    </dxf>
    <dxf>
      <font>
        <color rgb="FF375623"/>
      </font>
      <fill>
        <patternFill patternType="solid">
          <fgColor indexed="64"/>
          <bgColor rgb="FFC6EFCE"/>
        </patternFill>
      </fill>
    </dxf>
    <dxf>
      <fill>
        <patternFill>
          <bgColor rgb="FFFF0000"/>
        </patternFill>
      </fill>
    </dxf>
    <dxf>
      <fill>
        <patternFill>
          <bgColor rgb="FFFF0000"/>
        </patternFill>
      </fill>
    </dxf>
    <dxf>
      <fill>
        <patternFill>
          <bgColor rgb="FF46EB35"/>
        </patternFill>
      </fill>
    </dxf>
    <dxf>
      <font>
        <b/>
      </font>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numFmt numFmtId="34" formatCode="_-&quot;£&quot;* #,##0.00_-;\-&quot;£&quot;* #,##0.00_-;_-&quot;£&quot;* &quot;-&quot;??_-;_-@_-"/>
    </dxf>
    <dxf>
      <font>
        <b/>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ill>
        <patternFill>
          <bgColor theme="0"/>
        </patternFill>
      </fill>
    </dxf>
  </dxfs>
  <tableStyles count="1" defaultTableStyle="TableStyleMedium2" defaultPivotStyle="PivotStyleLight16">
    <tableStyle name="Default" pivot="0" table="0" count="9" xr9:uid="{71BC5230-26BE-48F5-9D87-3237CA94C12E}">
      <tableStyleElement type="wholeTable" dxfId="26"/>
    </tableStyle>
  </tableStyles>
  <colors>
    <mruColors>
      <color rgb="FF46EB35"/>
    </mruColors>
  </colors>
  <extLst>
    <ext xmlns:x14="http://schemas.microsoft.com/office/spreadsheetml/2009/9/main" uri="{46F421CA-312F-682f-3DD2-61675219B42D}">
      <x14:dxfs count="8">
        <dxf>
          <border>
            <left style="hair">
              <color auto="1"/>
            </left>
            <right style="hair">
              <color auto="1"/>
            </right>
            <top style="hair">
              <color auto="1"/>
            </top>
            <bottom style="hair">
              <color auto="1"/>
            </bottom>
          </border>
        </dxf>
        <dxf>
          <border>
            <left style="thin">
              <color auto="1"/>
            </left>
            <right style="thin">
              <color auto="1"/>
            </right>
            <top style="thin">
              <color auto="1"/>
            </top>
            <bottom style="thin">
              <color auto="1"/>
            </bottom>
          </border>
        </dxf>
        <dxf>
          <border>
            <left style="hair">
              <color auto="1"/>
            </left>
            <right style="hair">
              <color auto="1"/>
            </right>
            <top style="hair">
              <color auto="1"/>
            </top>
            <bottom style="hair">
              <color auto="1"/>
            </bottom>
          </border>
        </dxf>
        <dxf>
          <border>
            <left style="thin">
              <color auto="1"/>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Defaul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84" Type="http://schemas.openxmlformats.org/officeDocument/2006/relationships/customXml" Target="../customXml/item46.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openxmlformats.org/officeDocument/2006/relationships/connections" Target="connections.xml"/><Relationship Id="rId37" Type="http://schemas.microsoft.com/office/2017/10/relationships/person" Target="persons/person.xml"/><Relationship Id="rId53" Type="http://schemas.openxmlformats.org/officeDocument/2006/relationships/customXml" Target="../customXml/item15.xml"/><Relationship Id="rId58" Type="http://schemas.openxmlformats.org/officeDocument/2006/relationships/customXml" Target="../customXml/item20.xml"/><Relationship Id="rId74" Type="http://schemas.openxmlformats.org/officeDocument/2006/relationships/customXml" Target="../customXml/item36.xml"/><Relationship Id="rId79" Type="http://schemas.openxmlformats.org/officeDocument/2006/relationships/customXml" Target="../customXml/item41.xml"/><Relationship Id="rId5" Type="http://schemas.openxmlformats.org/officeDocument/2006/relationships/worksheet" Target="worksheets/sheet5.xml"/><Relationship Id="rId61" Type="http://schemas.openxmlformats.org/officeDocument/2006/relationships/customXml" Target="../customXml/item23.xml"/><Relationship Id="rId82" Type="http://schemas.openxmlformats.org/officeDocument/2006/relationships/customXml" Target="../customXml/item44.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openxmlformats.org/officeDocument/2006/relationships/sheetMetadata" Target="metadata.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77" Type="http://schemas.openxmlformats.org/officeDocument/2006/relationships/customXml" Target="../customXml/item39.xml"/><Relationship Id="rId8" Type="http://schemas.openxmlformats.org/officeDocument/2006/relationships/pivotCacheDefinition" Target="pivotCache/pivotCacheDefinition1.xml"/><Relationship Id="rId51" Type="http://schemas.openxmlformats.org/officeDocument/2006/relationships/customXml" Target="../customXml/item13.xml"/><Relationship Id="rId72" Type="http://schemas.openxmlformats.org/officeDocument/2006/relationships/customXml" Target="../customXml/item34.xml"/><Relationship Id="rId80" Type="http://schemas.openxmlformats.org/officeDocument/2006/relationships/customXml" Target="../customXml/item42.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styles" Target="styles.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13.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75" Type="http://schemas.openxmlformats.org/officeDocument/2006/relationships/customXml" Target="../customXml/item37.xml"/><Relationship Id="rId83" Type="http://schemas.openxmlformats.org/officeDocument/2006/relationships/customXml" Target="../customXml/item4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powerPivotData" Target="model/item.data"/><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3.xml"/><Relationship Id="rId31" Type="http://schemas.openxmlformats.org/officeDocument/2006/relationships/theme" Target="theme/theme1.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78" Type="http://schemas.openxmlformats.org/officeDocument/2006/relationships/customXml" Target="../customXml/item40.xml"/><Relationship Id="rId81" Type="http://schemas.openxmlformats.org/officeDocument/2006/relationships/customXml" Target="../customXml/item4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1.xml"/><Relationship Id="rId34" Type="http://schemas.openxmlformats.org/officeDocument/2006/relationships/sharedStrings" Target="sharedStrings.xml"/><Relationship Id="rId50" Type="http://schemas.openxmlformats.org/officeDocument/2006/relationships/customXml" Target="../customXml/item12.xml"/><Relationship Id="rId55" Type="http://schemas.openxmlformats.org/officeDocument/2006/relationships/customXml" Target="../customXml/item17.xml"/><Relationship Id="rId76" Type="http://schemas.openxmlformats.org/officeDocument/2006/relationships/customXml" Target="../customXml/item38.xml"/><Relationship Id="rId7" Type="http://schemas.openxmlformats.org/officeDocument/2006/relationships/worksheet" Target="worksheets/sheet7.xml"/><Relationship Id="rId71" Type="http://schemas.openxmlformats.org/officeDocument/2006/relationships/customXml" Target="../customXml/item33.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openxmlformats.org/officeDocument/2006/relationships/customXml" Target="../customXml/item2.xml"/><Relationship Id="rId45" Type="http://schemas.openxmlformats.org/officeDocument/2006/relationships/customXml" Target="../customXml/item7.xml"/><Relationship Id="rId66"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orders per bin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Summary!$S$2</c:f>
              <c:strCache>
                <c:ptCount val="1"/>
                <c:pt idx="0">
                  <c:v>Count</c:v>
                </c:pt>
              </c:strCache>
            </c:strRef>
          </c:tx>
          <c:spPr>
            <a:solidFill>
              <a:schemeClr val="accent1"/>
            </a:solidFill>
            <a:ln>
              <a:noFill/>
            </a:ln>
            <a:effectLst/>
          </c:spPr>
          <c:invertIfNegative val="0"/>
          <c:dPt>
            <c:idx val="18"/>
            <c:invertIfNegative val="0"/>
            <c:bubble3D val="0"/>
            <c:spPr>
              <a:solidFill>
                <a:schemeClr val="accent6"/>
              </a:solidFill>
              <a:ln>
                <a:noFill/>
              </a:ln>
              <a:effectLst/>
            </c:spPr>
            <c:extLst>
              <c:ext xmlns:c16="http://schemas.microsoft.com/office/drawing/2014/chart" uri="{C3380CC4-5D6E-409C-BE32-E72D297353CC}">
                <c16:uniqueId val="{00000005-76F8-4824-A2A3-56811641526F}"/>
              </c:ext>
            </c:extLst>
          </c:dPt>
          <c:dPt>
            <c:idx val="19"/>
            <c:invertIfNegative val="0"/>
            <c:bubble3D val="0"/>
            <c:spPr>
              <a:solidFill>
                <a:schemeClr val="accent2"/>
              </a:solidFill>
              <a:ln>
                <a:noFill/>
              </a:ln>
              <a:effectLst/>
            </c:spPr>
            <c:extLst>
              <c:ext xmlns:c16="http://schemas.microsoft.com/office/drawing/2014/chart" uri="{C3380CC4-5D6E-409C-BE32-E72D297353CC}">
                <c16:uniqueId val="{00000004-76F8-4824-A2A3-56811641526F}"/>
              </c:ext>
            </c:extLst>
          </c:dPt>
          <c:cat>
            <c:strRef>
              <c:f>Summary!$R$3:$R$65</c:f>
              <c:strCache>
                <c:ptCount val="63"/>
                <c:pt idx="0">
                  <c:v>£15,000 - £19,999</c:v>
                </c:pt>
                <c:pt idx="1">
                  <c:v>£20,000 - £24,999</c:v>
                </c:pt>
                <c:pt idx="2">
                  <c:v>£25,000 - £29,999</c:v>
                </c:pt>
                <c:pt idx="3">
                  <c:v>£30,000 - £34,999</c:v>
                </c:pt>
                <c:pt idx="4">
                  <c:v>£35,000 - £39,999</c:v>
                </c:pt>
                <c:pt idx="5">
                  <c:v>£40,000 - £44,999</c:v>
                </c:pt>
                <c:pt idx="6">
                  <c:v>£45,000 - £49,999</c:v>
                </c:pt>
                <c:pt idx="7">
                  <c:v>£50,000 - £54,999</c:v>
                </c:pt>
                <c:pt idx="8">
                  <c:v>£55,000 - £59,999</c:v>
                </c:pt>
                <c:pt idx="9">
                  <c:v>£60,000 - £64,999</c:v>
                </c:pt>
                <c:pt idx="10">
                  <c:v>£65,000 - £69,999</c:v>
                </c:pt>
                <c:pt idx="11">
                  <c:v>£70,000 - £74,999</c:v>
                </c:pt>
                <c:pt idx="12">
                  <c:v>£75,000 - £79,999</c:v>
                </c:pt>
                <c:pt idx="13">
                  <c:v>£80,000 - £84,999</c:v>
                </c:pt>
                <c:pt idx="14">
                  <c:v>£85,000 - £89,999</c:v>
                </c:pt>
                <c:pt idx="15">
                  <c:v>£90,000 - £94,999</c:v>
                </c:pt>
                <c:pt idx="16">
                  <c:v>£95,000 - £99,999</c:v>
                </c:pt>
                <c:pt idx="17">
                  <c:v>£100,000 - £104,999</c:v>
                </c:pt>
                <c:pt idx="18">
                  <c:v>£105,000 - £109,999</c:v>
                </c:pt>
                <c:pt idx="19">
                  <c:v>£110,000 - £114,999</c:v>
                </c:pt>
                <c:pt idx="20">
                  <c:v>£115,000 - £119,999</c:v>
                </c:pt>
                <c:pt idx="21">
                  <c:v>£120,000 - £124,999</c:v>
                </c:pt>
                <c:pt idx="22">
                  <c:v>£125,000 - £129,999</c:v>
                </c:pt>
                <c:pt idx="23">
                  <c:v>£130,000 - £134,999</c:v>
                </c:pt>
                <c:pt idx="24">
                  <c:v>£135,000 - £139,999</c:v>
                </c:pt>
                <c:pt idx="25">
                  <c:v>£140,000 - £144,999</c:v>
                </c:pt>
                <c:pt idx="26">
                  <c:v>£145,000 - £149,999</c:v>
                </c:pt>
                <c:pt idx="27">
                  <c:v>£150,000 - £154,999</c:v>
                </c:pt>
                <c:pt idx="28">
                  <c:v>£155,000 - £159,999</c:v>
                </c:pt>
                <c:pt idx="29">
                  <c:v>£160,000 - £164,999</c:v>
                </c:pt>
                <c:pt idx="30">
                  <c:v>£165,000 - £169,999</c:v>
                </c:pt>
                <c:pt idx="31">
                  <c:v>£170,000 - £174,999</c:v>
                </c:pt>
                <c:pt idx="32">
                  <c:v>£175,000 - £179,999</c:v>
                </c:pt>
                <c:pt idx="33">
                  <c:v>£180,000 - £184,999</c:v>
                </c:pt>
                <c:pt idx="34">
                  <c:v>£185,000 - £189,999</c:v>
                </c:pt>
                <c:pt idx="35">
                  <c:v>£190,000 - £194,999</c:v>
                </c:pt>
                <c:pt idx="36">
                  <c:v>£195,000 - £199,999</c:v>
                </c:pt>
                <c:pt idx="37">
                  <c:v>£200,000 - £204,999</c:v>
                </c:pt>
                <c:pt idx="38">
                  <c:v>£205,000 - £209,999</c:v>
                </c:pt>
                <c:pt idx="39">
                  <c:v>£210,000 - £214,999</c:v>
                </c:pt>
                <c:pt idx="40">
                  <c:v>£215,000 - £219,999</c:v>
                </c:pt>
                <c:pt idx="41">
                  <c:v>£220,000 - £224,999</c:v>
                </c:pt>
                <c:pt idx="42">
                  <c:v>£225,000 - £229,999</c:v>
                </c:pt>
                <c:pt idx="43">
                  <c:v>£230,000 - £234,999</c:v>
                </c:pt>
                <c:pt idx="44">
                  <c:v>£235,000 - £239,999</c:v>
                </c:pt>
                <c:pt idx="45">
                  <c:v>£240,000 - £244,999</c:v>
                </c:pt>
                <c:pt idx="46">
                  <c:v>£245,000 - £249,999</c:v>
                </c:pt>
                <c:pt idx="47">
                  <c:v>£250,000 - £254,999</c:v>
                </c:pt>
                <c:pt idx="48">
                  <c:v>£255,000 - £259,999</c:v>
                </c:pt>
                <c:pt idx="49">
                  <c:v>£260,000 - £264,999</c:v>
                </c:pt>
                <c:pt idx="50">
                  <c:v>£265,000 - £269,999</c:v>
                </c:pt>
                <c:pt idx="51">
                  <c:v>£270,000 - £274,999</c:v>
                </c:pt>
                <c:pt idx="52">
                  <c:v>£275,000 - £279,999</c:v>
                </c:pt>
                <c:pt idx="53">
                  <c:v>£280,000 - £284,999</c:v>
                </c:pt>
                <c:pt idx="54">
                  <c:v>£290,000 - £294,999</c:v>
                </c:pt>
                <c:pt idx="55">
                  <c:v>£295,000 - £299,999</c:v>
                </c:pt>
                <c:pt idx="56">
                  <c:v>£300,000 - £304,999</c:v>
                </c:pt>
                <c:pt idx="57">
                  <c:v>£305,000 - £309,999</c:v>
                </c:pt>
                <c:pt idx="58">
                  <c:v>£310,000 - £314,999</c:v>
                </c:pt>
                <c:pt idx="59">
                  <c:v>£325,000 - £329,999</c:v>
                </c:pt>
                <c:pt idx="60">
                  <c:v>£350,000 - £354,999</c:v>
                </c:pt>
                <c:pt idx="61">
                  <c:v>£360,000 - £364,999</c:v>
                </c:pt>
                <c:pt idx="62">
                  <c:v>£380,000 - £384,999</c:v>
                </c:pt>
              </c:strCache>
            </c:strRef>
          </c:cat>
          <c:val>
            <c:numRef>
              <c:f>Summary!$S$3:$S$65</c:f>
              <c:numCache>
                <c:formatCode>General</c:formatCode>
                <c:ptCount val="63"/>
                <c:pt idx="0">
                  <c:v>12</c:v>
                </c:pt>
                <c:pt idx="1">
                  <c:v>7</c:v>
                </c:pt>
                <c:pt idx="2">
                  <c:v>20</c:v>
                </c:pt>
                <c:pt idx="3">
                  <c:v>19</c:v>
                </c:pt>
                <c:pt idx="4">
                  <c:v>34</c:v>
                </c:pt>
                <c:pt idx="5">
                  <c:v>30</c:v>
                </c:pt>
                <c:pt idx="6">
                  <c:v>26</c:v>
                </c:pt>
                <c:pt idx="7">
                  <c:v>31</c:v>
                </c:pt>
                <c:pt idx="8">
                  <c:v>41</c:v>
                </c:pt>
                <c:pt idx="9">
                  <c:v>25</c:v>
                </c:pt>
                <c:pt idx="10">
                  <c:v>35</c:v>
                </c:pt>
                <c:pt idx="11">
                  <c:v>29</c:v>
                </c:pt>
                <c:pt idx="12">
                  <c:v>35</c:v>
                </c:pt>
                <c:pt idx="13">
                  <c:v>38</c:v>
                </c:pt>
                <c:pt idx="14">
                  <c:v>37</c:v>
                </c:pt>
                <c:pt idx="15">
                  <c:v>21</c:v>
                </c:pt>
                <c:pt idx="16">
                  <c:v>33</c:v>
                </c:pt>
                <c:pt idx="17">
                  <c:v>24</c:v>
                </c:pt>
                <c:pt idx="18">
                  <c:v>32</c:v>
                </c:pt>
                <c:pt idx="19">
                  <c:v>21</c:v>
                </c:pt>
                <c:pt idx="20">
                  <c:v>34</c:v>
                </c:pt>
                <c:pt idx="21">
                  <c:v>35</c:v>
                </c:pt>
                <c:pt idx="22">
                  <c:v>32</c:v>
                </c:pt>
                <c:pt idx="23">
                  <c:v>24</c:v>
                </c:pt>
                <c:pt idx="24">
                  <c:v>21</c:v>
                </c:pt>
                <c:pt idx="25">
                  <c:v>22</c:v>
                </c:pt>
                <c:pt idx="26">
                  <c:v>27</c:v>
                </c:pt>
                <c:pt idx="27">
                  <c:v>25</c:v>
                </c:pt>
                <c:pt idx="28">
                  <c:v>24</c:v>
                </c:pt>
                <c:pt idx="29">
                  <c:v>25</c:v>
                </c:pt>
                <c:pt idx="30">
                  <c:v>26</c:v>
                </c:pt>
                <c:pt idx="31">
                  <c:v>25</c:v>
                </c:pt>
                <c:pt idx="32">
                  <c:v>22</c:v>
                </c:pt>
                <c:pt idx="33">
                  <c:v>8</c:v>
                </c:pt>
                <c:pt idx="34">
                  <c:v>4</c:v>
                </c:pt>
                <c:pt idx="35">
                  <c:v>4</c:v>
                </c:pt>
                <c:pt idx="36">
                  <c:v>3</c:v>
                </c:pt>
                <c:pt idx="37">
                  <c:v>10</c:v>
                </c:pt>
                <c:pt idx="38">
                  <c:v>4</c:v>
                </c:pt>
                <c:pt idx="39">
                  <c:v>4</c:v>
                </c:pt>
                <c:pt idx="40">
                  <c:v>2</c:v>
                </c:pt>
                <c:pt idx="41">
                  <c:v>5</c:v>
                </c:pt>
                <c:pt idx="42">
                  <c:v>4</c:v>
                </c:pt>
                <c:pt idx="43">
                  <c:v>6</c:v>
                </c:pt>
                <c:pt idx="44">
                  <c:v>7</c:v>
                </c:pt>
                <c:pt idx="45">
                  <c:v>6</c:v>
                </c:pt>
                <c:pt idx="46">
                  <c:v>4</c:v>
                </c:pt>
                <c:pt idx="47">
                  <c:v>9</c:v>
                </c:pt>
                <c:pt idx="48">
                  <c:v>3</c:v>
                </c:pt>
                <c:pt idx="49">
                  <c:v>3</c:v>
                </c:pt>
                <c:pt idx="50">
                  <c:v>1</c:v>
                </c:pt>
                <c:pt idx="51">
                  <c:v>3</c:v>
                </c:pt>
                <c:pt idx="52">
                  <c:v>1</c:v>
                </c:pt>
                <c:pt idx="53">
                  <c:v>1</c:v>
                </c:pt>
                <c:pt idx="54">
                  <c:v>6</c:v>
                </c:pt>
                <c:pt idx="55">
                  <c:v>2</c:v>
                </c:pt>
                <c:pt idx="56">
                  <c:v>1</c:v>
                </c:pt>
                <c:pt idx="57">
                  <c:v>1</c:v>
                </c:pt>
                <c:pt idx="58">
                  <c:v>2</c:v>
                </c:pt>
                <c:pt idx="59">
                  <c:v>1</c:v>
                </c:pt>
                <c:pt idx="60">
                  <c:v>1</c:v>
                </c:pt>
                <c:pt idx="61">
                  <c:v>1</c:v>
                </c:pt>
                <c:pt idx="62">
                  <c:v>1</c:v>
                </c:pt>
              </c:numCache>
            </c:numRef>
          </c:val>
          <c:extLst>
            <c:ext xmlns:c16="http://schemas.microsoft.com/office/drawing/2014/chart" uri="{C3380CC4-5D6E-409C-BE32-E72D297353CC}">
              <c16:uniqueId val="{00000000-76F8-4824-A2A3-56811641526F}"/>
            </c:ext>
          </c:extLst>
        </c:ser>
        <c:dLbls>
          <c:showLegendKey val="0"/>
          <c:showVal val="0"/>
          <c:showCatName val="0"/>
          <c:showSerName val="0"/>
          <c:showPercent val="0"/>
          <c:showBubbleSize val="0"/>
        </c:dLbls>
        <c:gapWidth val="10"/>
        <c:axId val="1934324416"/>
        <c:axId val="1457005360"/>
      </c:barChart>
      <c:lineChart>
        <c:grouping val="standard"/>
        <c:varyColors val="0"/>
        <c:ser>
          <c:idx val="1"/>
          <c:order val="1"/>
          <c:tx>
            <c:v>Marker</c:v>
          </c:tx>
          <c:spPr>
            <a:ln w="28575" cap="rnd">
              <a:solidFill>
                <a:schemeClr val="accent2"/>
              </a:solidFill>
              <a:round/>
            </a:ln>
            <a:effectLst/>
          </c:spPr>
          <c:marker>
            <c:symbol val="none"/>
          </c:marker>
          <c:cat>
            <c:strRef>
              <c:f>Summary!$R$3:$R$65</c:f>
              <c:strCache>
                <c:ptCount val="63"/>
                <c:pt idx="0">
                  <c:v>£15,000 - £19,999</c:v>
                </c:pt>
                <c:pt idx="1">
                  <c:v>£20,000 - £24,999</c:v>
                </c:pt>
                <c:pt idx="2">
                  <c:v>£25,000 - £29,999</c:v>
                </c:pt>
                <c:pt idx="3">
                  <c:v>£30,000 - £34,999</c:v>
                </c:pt>
                <c:pt idx="4">
                  <c:v>£35,000 - £39,999</c:v>
                </c:pt>
                <c:pt idx="5">
                  <c:v>£40,000 - £44,999</c:v>
                </c:pt>
                <c:pt idx="6">
                  <c:v>£45,000 - £49,999</c:v>
                </c:pt>
                <c:pt idx="7">
                  <c:v>£50,000 - £54,999</c:v>
                </c:pt>
                <c:pt idx="8">
                  <c:v>£55,000 - £59,999</c:v>
                </c:pt>
                <c:pt idx="9">
                  <c:v>£60,000 - £64,999</c:v>
                </c:pt>
                <c:pt idx="10">
                  <c:v>£65,000 - £69,999</c:v>
                </c:pt>
                <c:pt idx="11">
                  <c:v>£70,000 - £74,999</c:v>
                </c:pt>
                <c:pt idx="12">
                  <c:v>£75,000 - £79,999</c:v>
                </c:pt>
                <c:pt idx="13">
                  <c:v>£80,000 - £84,999</c:v>
                </c:pt>
                <c:pt idx="14">
                  <c:v>£85,000 - £89,999</c:v>
                </c:pt>
                <c:pt idx="15">
                  <c:v>£90,000 - £94,999</c:v>
                </c:pt>
                <c:pt idx="16">
                  <c:v>£95,000 - £99,999</c:v>
                </c:pt>
                <c:pt idx="17">
                  <c:v>£100,000 - £104,999</c:v>
                </c:pt>
                <c:pt idx="18">
                  <c:v>£105,000 - £109,999</c:v>
                </c:pt>
                <c:pt idx="19">
                  <c:v>£110,000 - £114,999</c:v>
                </c:pt>
                <c:pt idx="20">
                  <c:v>£115,000 - £119,999</c:v>
                </c:pt>
                <c:pt idx="21">
                  <c:v>£120,000 - £124,999</c:v>
                </c:pt>
                <c:pt idx="22">
                  <c:v>£125,000 - £129,999</c:v>
                </c:pt>
                <c:pt idx="23">
                  <c:v>£130,000 - £134,999</c:v>
                </c:pt>
                <c:pt idx="24">
                  <c:v>£135,000 - £139,999</c:v>
                </c:pt>
                <c:pt idx="25">
                  <c:v>£140,000 - £144,999</c:v>
                </c:pt>
                <c:pt idx="26">
                  <c:v>£145,000 - £149,999</c:v>
                </c:pt>
                <c:pt idx="27">
                  <c:v>£150,000 - £154,999</c:v>
                </c:pt>
                <c:pt idx="28">
                  <c:v>£155,000 - £159,999</c:v>
                </c:pt>
                <c:pt idx="29">
                  <c:v>£160,000 - £164,999</c:v>
                </c:pt>
                <c:pt idx="30">
                  <c:v>£165,000 - £169,999</c:v>
                </c:pt>
                <c:pt idx="31">
                  <c:v>£170,000 - £174,999</c:v>
                </c:pt>
                <c:pt idx="32">
                  <c:v>£175,000 - £179,999</c:v>
                </c:pt>
                <c:pt idx="33">
                  <c:v>£180,000 - £184,999</c:v>
                </c:pt>
                <c:pt idx="34">
                  <c:v>£185,000 - £189,999</c:v>
                </c:pt>
                <c:pt idx="35">
                  <c:v>£190,000 - £194,999</c:v>
                </c:pt>
                <c:pt idx="36">
                  <c:v>£195,000 - £199,999</c:v>
                </c:pt>
                <c:pt idx="37">
                  <c:v>£200,000 - £204,999</c:v>
                </c:pt>
                <c:pt idx="38">
                  <c:v>£205,000 - £209,999</c:v>
                </c:pt>
                <c:pt idx="39">
                  <c:v>£210,000 - £214,999</c:v>
                </c:pt>
                <c:pt idx="40">
                  <c:v>£215,000 - £219,999</c:v>
                </c:pt>
                <c:pt idx="41">
                  <c:v>£220,000 - £224,999</c:v>
                </c:pt>
                <c:pt idx="42">
                  <c:v>£225,000 - £229,999</c:v>
                </c:pt>
                <c:pt idx="43">
                  <c:v>£230,000 - £234,999</c:v>
                </c:pt>
                <c:pt idx="44">
                  <c:v>£235,000 - £239,999</c:v>
                </c:pt>
                <c:pt idx="45">
                  <c:v>£240,000 - £244,999</c:v>
                </c:pt>
                <c:pt idx="46">
                  <c:v>£245,000 - £249,999</c:v>
                </c:pt>
                <c:pt idx="47">
                  <c:v>£250,000 - £254,999</c:v>
                </c:pt>
                <c:pt idx="48">
                  <c:v>£255,000 - £259,999</c:v>
                </c:pt>
                <c:pt idx="49">
                  <c:v>£260,000 - £264,999</c:v>
                </c:pt>
                <c:pt idx="50">
                  <c:v>£265,000 - £269,999</c:v>
                </c:pt>
                <c:pt idx="51">
                  <c:v>£270,000 - £274,999</c:v>
                </c:pt>
                <c:pt idx="52">
                  <c:v>£275,000 - £279,999</c:v>
                </c:pt>
                <c:pt idx="53">
                  <c:v>£280,000 - £284,999</c:v>
                </c:pt>
                <c:pt idx="54">
                  <c:v>£290,000 - £294,999</c:v>
                </c:pt>
                <c:pt idx="55">
                  <c:v>£295,000 - £299,999</c:v>
                </c:pt>
                <c:pt idx="56">
                  <c:v>£300,000 - £304,999</c:v>
                </c:pt>
                <c:pt idx="57">
                  <c:v>£305,000 - £309,999</c:v>
                </c:pt>
                <c:pt idx="58">
                  <c:v>£310,000 - £314,999</c:v>
                </c:pt>
                <c:pt idx="59">
                  <c:v>£325,000 - £329,999</c:v>
                </c:pt>
                <c:pt idx="60">
                  <c:v>£350,000 - £354,999</c:v>
                </c:pt>
                <c:pt idx="61">
                  <c:v>£360,000 - £364,999</c:v>
                </c:pt>
                <c:pt idx="62">
                  <c:v>£380,000 - £384,999</c:v>
                </c:pt>
              </c:strCache>
            </c:strRef>
          </c:cat>
          <c:val>
            <c:numRef>
              <c:f>Summary!$U$3:$U$65</c:f>
              <c:numCache>
                <c:formatCode>General</c:formatCode>
                <c:ptCount val="63"/>
              </c:numCache>
            </c:numRef>
          </c:val>
          <c:smooth val="0"/>
          <c:extLst>
            <c:ext xmlns:c16="http://schemas.microsoft.com/office/drawing/2014/chart" uri="{C3380CC4-5D6E-409C-BE32-E72D297353CC}">
              <c16:uniqueId val="{00000001-76F8-4824-A2A3-56811641526F}"/>
            </c:ext>
          </c:extLst>
        </c:ser>
        <c:dLbls>
          <c:showLegendKey val="0"/>
          <c:showVal val="0"/>
          <c:showCatName val="0"/>
          <c:showSerName val="0"/>
          <c:showPercent val="0"/>
          <c:showBubbleSize val="0"/>
        </c:dLbls>
        <c:marker val="1"/>
        <c:smooth val="0"/>
        <c:axId val="1934324416"/>
        <c:axId val="1457005360"/>
      </c:lineChart>
      <c:catAx>
        <c:axId val="1934324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Order Size Bin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005360"/>
        <c:crosses val="autoZero"/>
        <c:auto val="1"/>
        <c:lblAlgn val="ctr"/>
        <c:lblOffset val="100"/>
        <c:noMultiLvlLbl val="0"/>
      </c:catAx>
      <c:valAx>
        <c:axId val="145700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Count of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32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[DAProject.xlsx]MOMP Tables!Revenue by Month per 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'MOMP Tables'!$C$19:$C$20</c:f>
              <c:strCache>
                <c:ptCount val="1"/>
                <c:pt idx="0">
                  <c:v>2019</c:v>
                </c:pt>
              </c:strCache>
            </c:strRef>
          </c:tx>
          <c:spPr>
            <a:ln w="28575" cap="rnd">
              <a:solidFill>
                <a:schemeClr val="accent1"/>
              </a:solidFill>
              <a:round/>
            </a:ln>
            <a:effectLst/>
          </c:spPr>
          <c:marker>
            <c:symbol val="none"/>
          </c:marker>
          <c:cat>
            <c:strRef>
              <c:f>'MOMP Tables'!$B$21:$B$33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'MOMP Tables'!$C$21:$C$33</c:f>
              <c:numCache>
                <c:formatCode>"£"#,##0.00_);\("£"#,##0.00\)</c:formatCode>
                <c:ptCount val="12"/>
                <c:pt idx="0">
                  <c:v>4516614.82</c:v>
                </c:pt>
                <c:pt idx="1">
                  <c:v>2895563.9</c:v>
                </c:pt>
                <c:pt idx="2">
                  <c:v>2521827.9900000002</c:v>
                </c:pt>
                <c:pt idx="3">
                  <c:v>4172236.77</c:v>
                </c:pt>
                <c:pt idx="4">
                  <c:v>3825681.97</c:v>
                </c:pt>
                <c:pt idx="5">
                  <c:v>7692234.9000000004</c:v>
                </c:pt>
                <c:pt idx="6">
                  <c:v>6638609.21</c:v>
                </c:pt>
                <c:pt idx="7">
                  <c:v>3437450.14</c:v>
                </c:pt>
                <c:pt idx="8">
                  <c:v>4870060.55</c:v>
                </c:pt>
                <c:pt idx="9">
                  <c:v>4372149.55</c:v>
                </c:pt>
                <c:pt idx="10">
                  <c:v>2961318.57</c:v>
                </c:pt>
                <c:pt idx="11">
                  <c:v>8713776.0299999993</c:v>
                </c:pt>
              </c:numCache>
            </c:numRef>
          </c:val>
          <c:smooth val="0"/>
          <c:extLst>
            <c:ext xmlns:c16="http://schemas.microsoft.com/office/drawing/2014/chart" uri="{C3380CC4-5D6E-409C-BE32-E72D297353CC}">
              <c16:uniqueId val="{00000000-381A-4998-8F50-56F5A701F1AB}"/>
            </c:ext>
          </c:extLst>
        </c:ser>
        <c:ser>
          <c:idx val="1"/>
          <c:order val="1"/>
          <c:tx>
            <c:strRef>
              <c:f>'MOMP Tables'!$D$19:$D$20</c:f>
              <c:strCache>
                <c:ptCount val="1"/>
                <c:pt idx="0">
                  <c:v>2020</c:v>
                </c:pt>
              </c:strCache>
            </c:strRef>
          </c:tx>
          <c:spPr>
            <a:ln w="28575" cap="rnd">
              <a:solidFill>
                <a:schemeClr val="accent2"/>
              </a:solidFill>
              <a:round/>
            </a:ln>
            <a:effectLst/>
          </c:spPr>
          <c:marker>
            <c:symbol val="none"/>
          </c:marker>
          <c:cat>
            <c:strRef>
              <c:f>'MOMP Tables'!$B$21:$B$33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'MOMP Tables'!$D$21:$D$33</c:f>
              <c:numCache>
                <c:formatCode>"£"#,##0.00_);\("£"#,##0.00\)</c:formatCode>
                <c:ptCount val="12"/>
                <c:pt idx="0">
                  <c:v>5215699.83</c:v>
                </c:pt>
                <c:pt idx="1">
                  <c:v>1959413</c:v>
                </c:pt>
                <c:pt idx="2">
                  <c:v>3579943.84</c:v>
                </c:pt>
                <c:pt idx="3">
                  <c:v>4069097.78</c:v>
                </c:pt>
                <c:pt idx="4">
                  <c:v>5537943.7699999996</c:v>
                </c:pt>
                <c:pt idx="5">
                  <c:v>7158137.8600000003</c:v>
                </c:pt>
                <c:pt idx="6">
                  <c:v>5242556.46</c:v>
                </c:pt>
                <c:pt idx="7">
                  <c:v>4714525.21</c:v>
                </c:pt>
                <c:pt idx="8">
                  <c:v>3778141.37</c:v>
                </c:pt>
                <c:pt idx="9">
                  <c:v>4869726.8499999996</c:v>
                </c:pt>
                <c:pt idx="10">
                  <c:v>4734730.08</c:v>
                </c:pt>
                <c:pt idx="11">
                  <c:v>5884298.2599999998</c:v>
                </c:pt>
              </c:numCache>
            </c:numRef>
          </c:val>
          <c:smooth val="0"/>
          <c:extLst>
            <c:ext xmlns:c16="http://schemas.microsoft.com/office/drawing/2014/chart" uri="{C3380CC4-5D6E-409C-BE32-E72D297353CC}">
              <c16:uniqueId val="{00000009-381A-4998-8F50-56F5A701F1AB}"/>
            </c:ext>
          </c:extLst>
        </c:ser>
        <c:dLbls>
          <c:showLegendKey val="0"/>
          <c:showVal val="0"/>
          <c:showCatName val="0"/>
          <c:showSerName val="0"/>
          <c:showPercent val="0"/>
          <c:showBubbleSize val="0"/>
        </c:dLbls>
        <c:smooth val="0"/>
        <c:axId val="1934120720"/>
        <c:axId val="822474672"/>
      </c:lineChart>
      <c:catAx>
        <c:axId val="193412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74672"/>
        <c:crosses val="autoZero"/>
        <c:auto val="1"/>
        <c:lblAlgn val="ctr"/>
        <c:lblOffset val="100"/>
        <c:noMultiLvlLbl val="0"/>
      </c:catAx>
      <c:valAx>
        <c:axId val="82247467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12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[DAProject.xlsx]MOMP Tables!Total Sales by Month per 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'MOMP Tables'!$AB$19:$AB$20</c:f>
              <c:strCache>
                <c:ptCount val="1"/>
                <c:pt idx="0">
                  <c:v>2019</c:v>
                </c:pt>
              </c:strCache>
            </c:strRef>
          </c:tx>
          <c:spPr>
            <a:solidFill>
              <a:schemeClr val="accent1"/>
            </a:solidFill>
            <a:ln>
              <a:noFill/>
            </a:ln>
            <a:effectLst/>
          </c:spPr>
          <c:invertIfNegative val="0"/>
          <c:cat>
            <c:strRef>
              <c:f>'MOMP Tables'!$AA$21:$AA$33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'MOMP Tables'!$AB$21:$AB$33</c:f>
              <c:numCache>
                <c:formatCode>General</c:formatCode>
                <c:ptCount val="12"/>
                <c:pt idx="0">
                  <c:v>44</c:v>
                </c:pt>
                <c:pt idx="1">
                  <c:v>44</c:v>
                </c:pt>
                <c:pt idx="2">
                  <c:v>41</c:v>
                </c:pt>
                <c:pt idx="3">
                  <c:v>36</c:v>
                </c:pt>
                <c:pt idx="4">
                  <c:v>38</c:v>
                </c:pt>
                <c:pt idx="5">
                  <c:v>47</c:v>
                </c:pt>
                <c:pt idx="6">
                  <c:v>40</c:v>
                </c:pt>
                <c:pt idx="7">
                  <c:v>31</c:v>
                </c:pt>
                <c:pt idx="8">
                  <c:v>49</c:v>
                </c:pt>
                <c:pt idx="9">
                  <c:v>43</c:v>
                </c:pt>
                <c:pt idx="10">
                  <c:v>33</c:v>
                </c:pt>
                <c:pt idx="11">
                  <c:v>44</c:v>
                </c:pt>
              </c:numCache>
            </c:numRef>
          </c:val>
          <c:extLst>
            <c:ext xmlns:c16="http://schemas.microsoft.com/office/drawing/2014/chart" uri="{C3380CC4-5D6E-409C-BE32-E72D297353CC}">
              <c16:uniqueId val="{00000000-5B32-4653-BD6A-0AC9A5308799}"/>
            </c:ext>
          </c:extLst>
        </c:ser>
        <c:ser>
          <c:idx val="1"/>
          <c:order val="1"/>
          <c:tx>
            <c:strRef>
              <c:f>'MOMP Tables'!$AC$19:$AC$20</c:f>
              <c:strCache>
                <c:ptCount val="1"/>
                <c:pt idx="0">
                  <c:v>2020</c:v>
                </c:pt>
              </c:strCache>
            </c:strRef>
          </c:tx>
          <c:spPr>
            <a:solidFill>
              <a:schemeClr val="accent2"/>
            </a:solidFill>
            <a:ln>
              <a:noFill/>
            </a:ln>
            <a:effectLst/>
          </c:spPr>
          <c:invertIfNegative val="0"/>
          <c:cat>
            <c:strRef>
              <c:f>'MOMP Tables'!$AA$21:$AA$33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'MOMP Tables'!$AC$21:$AC$33</c:f>
              <c:numCache>
                <c:formatCode>General</c:formatCode>
                <c:ptCount val="12"/>
                <c:pt idx="0">
                  <c:v>51</c:v>
                </c:pt>
                <c:pt idx="1">
                  <c:v>28</c:v>
                </c:pt>
                <c:pt idx="2">
                  <c:v>52</c:v>
                </c:pt>
                <c:pt idx="3">
                  <c:v>38</c:v>
                </c:pt>
                <c:pt idx="4">
                  <c:v>55</c:v>
                </c:pt>
                <c:pt idx="5">
                  <c:v>43</c:v>
                </c:pt>
                <c:pt idx="6">
                  <c:v>36</c:v>
                </c:pt>
                <c:pt idx="7">
                  <c:v>45</c:v>
                </c:pt>
                <c:pt idx="8">
                  <c:v>34</c:v>
                </c:pt>
                <c:pt idx="9">
                  <c:v>50</c:v>
                </c:pt>
                <c:pt idx="10">
                  <c:v>45</c:v>
                </c:pt>
                <c:pt idx="11">
                  <c:v>33</c:v>
                </c:pt>
              </c:numCache>
            </c:numRef>
          </c:val>
          <c:extLst>
            <c:ext xmlns:c16="http://schemas.microsoft.com/office/drawing/2014/chart" uri="{C3380CC4-5D6E-409C-BE32-E72D297353CC}">
              <c16:uniqueId val="{00000001-5B32-4653-BD6A-0AC9A5308799}"/>
            </c:ext>
          </c:extLst>
        </c:ser>
        <c:dLbls>
          <c:showLegendKey val="0"/>
          <c:showVal val="0"/>
          <c:showCatName val="0"/>
          <c:showSerName val="0"/>
          <c:showPercent val="0"/>
          <c:showBubbleSize val="0"/>
        </c:dLbls>
        <c:gapWidth val="150"/>
        <c:axId val="58941759"/>
        <c:axId val="1456986640"/>
      </c:barChart>
      <c:catAx>
        <c:axId val="5894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986640"/>
        <c:crosses val="autoZero"/>
        <c:auto val="1"/>
        <c:lblAlgn val="ctr"/>
        <c:lblOffset val="100"/>
        <c:noMultiLvlLbl val="0"/>
      </c:catAx>
      <c:valAx>
        <c:axId val="145698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4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[DAProject.xlsx]MOMP Tables!Average Order Value by Month per 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Order Value per</a:t>
            </a:r>
            <a:r>
              <a:rPr lang="en-GB" baseline="0"/>
              <a:t> Month</a:t>
            </a:r>
          </a:p>
        </c:rich>
      </c:tx>
      <c:layout>
        <c:manualLayout>
          <c:xMode val="edge"/>
          <c:yMode val="edge"/>
          <c:x val="0.26563591824460209"/>
          <c:y val="9.63120770167142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4830013132749"/>
          <c:y val="0.20936776554525433"/>
          <c:w val="0.62947884775778973"/>
          <c:h val="0.6327020400401433"/>
        </c:manualLayout>
      </c:layout>
      <c:barChart>
        <c:barDir val="col"/>
        <c:grouping val="clustered"/>
        <c:varyColors val="0"/>
        <c:ser>
          <c:idx val="0"/>
          <c:order val="0"/>
          <c:tx>
            <c:strRef>
              <c:f>'MOMP Tables'!$M$19:$M$20</c:f>
              <c:strCache>
                <c:ptCount val="1"/>
                <c:pt idx="0">
                  <c:v>2019</c:v>
                </c:pt>
              </c:strCache>
            </c:strRef>
          </c:tx>
          <c:spPr>
            <a:solidFill>
              <a:schemeClr val="accent1"/>
            </a:solidFill>
            <a:ln>
              <a:noFill/>
            </a:ln>
            <a:effectLst/>
          </c:spPr>
          <c:invertIfNegative val="0"/>
          <c:cat>
            <c:strRef>
              <c:f>'MOMP Tables'!$L$21:$L$33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'MOMP Tables'!$M$21:$M$33</c:f>
              <c:numCache>
                <c:formatCode>"£"#,##0.00_);\("£"#,##0.00\)</c:formatCode>
                <c:ptCount val="12"/>
                <c:pt idx="0">
                  <c:v>102650.33681818182</c:v>
                </c:pt>
                <c:pt idx="1">
                  <c:v>65808.270454545447</c:v>
                </c:pt>
                <c:pt idx="2">
                  <c:v>61507.999756097568</c:v>
                </c:pt>
                <c:pt idx="3">
                  <c:v>115895.46583333334</c:v>
                </c:pt>
                <c:pt idx="4">
                  <c:v>100675.84131578948</c:v>
                </c:pt>
                <c:pt idx="5">
                  <c:v>163664.57234042554</c:v>
                </c:pt>
                <c:pt idx="6">
                  <c:v>165965.23024999999</c:v>
                </c:pt>
                <c:pt idx="7">
                  <c:v>110885.48838709678</c:v>
                </c:pt>
                <c:pt idx="8">
                  <c:v>99388.990816326521</c:v>
                </c:pt>
                <c:pt idx="9">
                  <c:v>101677.8965116279</c:v>
                </c:pt>
                <c:pt idx="10">
                  <c:v>89736.926363636361</c:v>
                </c:pt>
                <c:pt idx="11">
                  <c:v>198040.36431818179</c:v>
                </c:pt>
              </c:numCache>
            </c:numRef>
          </c:val>
          <c:extLst>
            <c:ext xmlns:c16="http://schemas.microsoft.com/office/drawing/2014/chart" uri="{C3380CC4-5D6E-409C-BE32-E72D297353CC}">
              <c16:uniqueId val="{00000000-0099-4DA0-A9F6-6BA1FC31771B}"/>
            </c:ext>
          </c:extLst>
        </c:ser>
        <c:ser>
          <c:idx val="1"/>
          <c:order val="1"/>
          <c:tx>
            <c:strRef>
              <c:f>'MOMP Tables'!$N$19:$N$20</c:f>
              <c:strCache>
                <c:ptCount val="1"/>
                <c:pt idx="0">
                  <c:v>2020</c:v>
                </c:pt>
              </c:strCache>
            </c:strRef>
          </c:tx>
          <c:spPr>
            <a:solidFill>
              <a:schemeClr val="accent2"/>
            </a:solidFill>
            <a:ln>
              <a:noFill/>
            </a:ln>
            <a:effectLst/>
          </c:spPr>
          <c:invertIfNegative val="0"/>
          <c:cat>
            <c:strRef>
              <c:f>'MOMP Tables'!$L$21:$L$33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'MOMP Tables'!$N$21:$N$33</c:f>
              <c:numCache>
                <c:formatCode>"£"#,##0.00_);\("£"#,##0.00\)</c:formatCode>
                <c:ptCount val="12"/>
                <c:pt idx="0">
                  <c:v>102268.62411764706</c:v>
                </c:pt>
                <c:pt idx="1">
                  <c:v>69979.03571428571</c:v>
                </c:pt>
                <c:pt idx="2">
                  <c:v>68845.073846153842</c:v>
                </c:pt>
                <c:pt idx="3">
                  <c:v>107081.52052631578</c:v>
                </c:pt>
                <c:pt idx="4">
                  <c:v>100689.88672727272</c:v>
                </c:pt>
                <c:pt idx="5">
                  <c:v>166468.32232558139</c:v>
                </c:pt>
                <c:pt idx="6">
                  <c:v>145626.56833333333</c:v>
                </c:pt>
                <c:pt idx="7">
                  <c:v>104767.22688888889</c:v>
                </c:pt>
                <c:pt idx="8">
                  <c:v>111121.80500000001</c:v>
                </c:pt>
                <c:pt idx="9">
                  <c:v>97394.536999999997</c:v>
                </c:pt>
                <c:pt idx="10">
                  <c:v>105216.224</c:v>
                </c:pt>
                <c:pt idx="11">
                  <c:v>178312.06848484848</c:v>
                </c:pt>
              </c:numCache>
            </c:numRef>
          </c:val>
          <c:extLst>
            <c:ext xmlns:c16="http://schemas.microsoft.com/office/drawing/2014/chart" uri="{C3380CC4-5D6E-409C-BE32-E72D297353CC}">
              <c16:uniqueId val="{00000001-0099-4DA0-A9F6-6BA1FC31771B}"/>
            </c:ext>
          </c:extLst>
        </c:ser>
        <c:dLbls>
          <c:showLegendKey val="0"/>
          <c:showVal val="0"/>
          <c:showCatName val="0"/>
          <c:showSerName val="0"/>
          <c:showPercent val="0"/>
          <c:showBubbleSize val="0"/>
        </c:dLbls>
        <c:gapWidth val="150"/>
        <c:axId val="1934278944"/>
        <c:axId val="1457027920"/>
      </c:barChart>
      <c:catAx>
        <c:axId val="193427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027920"/>
        <c:crosses val="autoZero"/>
        <c:auto val="1"/>
        <c:lblAlgn val="ctr"/>
        <c:lblOffset val="100"/>
        <c:noMultiLvlLbl val="0"/>
      </c:catAx>
      <c:valAx>
        <c:axId val="1457027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27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[DAProject.xlsx]MOMP Tables!Profit Margin by Month per 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'MOMP Tables'!$Q$37:$Q$38</c:f>
              <c:strCache>
                <c:ptCount val="1"/>
                <c:pt idx="0">
                  <c:v>2019</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'MOMP Tables'!$P$39:$P$51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'MOMP Tables'!$Q$39:$Q$51</c:f>
              <c:numCache>
                <c:formatCode>0.00%;\-0.00%;0.00%</c:formatCode>
                <c:ptCount val="12"/>
                <c:pt idx="0">
                  <c:v>0.160348256130462</c:v>
                </c:pt>
                <c:pt idx="1">
                  <c:v>0.17033120906086718</c:v>
                </c:pt>
                <c:pt idx="2">
                  <c:v>0.17028148696216194</c:v>
                </c:pt>
                <c:pt idx="3">
                  <c:v>0.16603890387553438</c:v>
                </c:pt>
                <c:pt idx="4">
                  <c:v>0.16944908256448726</c:v>
                </c:pt>
                <c:pt idx="5">
                  <c:v>0.16968779385559327</c:v>
                </c:pt>
                <c:pt idx="6">
                  <c:v>0.16332146925696206</c:v>
                </c:pt>
                <c:pt idx="7">
                  <c:v>0.1688216836215696</c:v>
                </c:pt>
                <c:pt idx="8">
                  <c:v>0.16184430807538924</c:v>
                </c:pt>
                <c:pt idx="9">
                  <c:v>0.17026738712540151</c:v>
                </c:pt>
                <c:pt idx="10">
                  <c:v>0.16286245758422394</c:v>
                </c:pt>
                <c:pt idx="11">
                  <c:v>0.17382516543749171</c:v>
                </c:pt>
              </c:numCache>
            </c:numRef>
          </c:val>
          <c:smooth val="0"/>
          <c:extLst>
            <c:ext xmlns:c16="http://schemas.microsoft.com/office/drawing/2014/chart" uri="{C3380CC4-5D6E-409C-BE32-E72D297353CC}">
              <c16:uniqueId val="{00000000-D8BF-47F0-AFA1-C68CF1D8947D}"/>
            </c:ext>
          </c:extLst>
        </c:ser>
        <c:ser>
          <c:idx val="1"/>
          <c:order val="1"/>
          <c:tx>
            <c:strRef>
              <c:f>'MOMP Tables'!$R$37:$R$38</c:f>
              <c:strCache>
                <c:ptCount val="1"/>
                <c:pt idx="0">
                  <c:v>2020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'MOMP Tables'!$P$39:$P$51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'MOMP Tables'!$R$39:$R$51</c:f>
              <c:numCache>
                <c:formatCode>0.00%;\-0.00%;0.00%</c:formatCode>
                <c:ptCount val="12"/>
                <c:pt idx="0">
                  <c:v>0.17727995286109102</c:v>
                </c:pt>
                <c:pt idx="1">
                  <c:v>0.1611454604006404</c:v>
                </c:pt>
                <c:pt idx="2">
                  <c:v>0.16657908521827539</c:v>
                </c:pt>
                <c:pt idx="3">
                  <c:v>0.17109922091869711</c:v>
                </c:pt>
                <c:pt idx="4">
                  <c:v>0.16519699151802683</c:v>
                </c:pt>
                <c:pt idx="5">
                  <c:v>0.16583146248597128</c:v>
                </c:pt>
                <c:pt idx="6">
                  <c:v>0.16022514901060306</c:v>
                </c:pt>
                <c:pt idx="7">
                  <c:v>0.16310791134787461</c:v>
                </c:pt>
                <c:pt idx="8">
                  <c:v>0.17552748429845014</c:v>
                </c:pt>
                <c:pt idx="9">
                  <c:v>0.17243286653747317</c:v>
                </c:pt>
                <c:pt idx="10">
                  <c:v>0.16636014232938071</c:v>
                </c:pt>
                <c:pt idx="11">
                  <c:v>0.16498079755732839</c:v>
                </c:pt>
              </c:numCache>
            </c:numRef>
          </c:val>
          <c:smooth val="0"/>
          <c:extLst>
            <c:ext xmlns:c16="http://schemas.microsoft.com/office/drawing/2014/chart" uri="{C3380CC4-5D6E-409C-BE32-E72D297353CC}">
              <c16:uniqueId val="{00000001-D8BF-47F0-AFA1-C68CF1D8947D}"/>
            </c:ext>
          </c:extLst>
        </c:ser>
        <c:dLbls>
          <c:showLegendKey val="0"/>
          <c:showVal val="0"/>
          <c:showCatName val="0"/>
          <c:showSerName val="0"/>
          <c:showPercent val="0"/>
          <c:showBubbleSize val="0"/>
        </c:dLbls>
        <c:marker val="1"/>
        <c:smooth val="0"/>
        <c:axId val="1937256944"/>
        <c:axId val="1457031760"/>
      </c:lineChart>
      <c:catAx>
        <c:axId val="193725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031760"/>
        <c:crosses val="autoZero"/>
        <c:auto val="1"/>
        <c:lblAlgn val="ctr"/>
        <c:lblOffset val="100"/>
        <c:noMultiLvlLbl val="0"/>
      </c:catAx>
      <c:valAx>
        <c:axId val="145703176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25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[DAProject.xlsx]MOMP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Profit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82776099231422"/>
          <c:y val="0.17233194281363465"/>
          <c:w val="0.85131915532621638"/>
          <c:h val="0.58432726898765663"/>
        </c:manualLayout>
      </c:layout>
      <c:lineChart>
        <c:grouping val="standard"/>
        <c:varyColors val="0"/>
        <c:ser>
          <c:idx val="0"/>
          <c:order val="0"/>
          <c:tx>
            <c:strRef>
              <c:f>'MOMP Tables'!$W$19:$W$20</c:f>
              <c:strCache>
                <c:ptCount val="1"/>
                <c:pt idx="0">
                  <c:v>2019</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'MOMP Tables'!$V$21:$V$33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'MOMP Tables'!$W$21:$W$33</c:f>
              <c:numCache>
                <c:formatCode>"£"#,##0.00_);\("£"#,##0.00\)</c:formatCode>
                <c:ptCount val="12"/>
                <c:pt idx="0">
                  <c:v>724231.31000000017</c:v>
                </c:pt>
                <c:pt idx="1">
                  <c:v>493204.89999999997</c:v>
                </c:pt>
                <c:pt idx="2">
                  <c:v>429420.62000000011</c:v>
                </c:pt>
                <c:pt idx="3">
                  <c:v>692753.62000000011</c:v>
                </c:pt>
                <c:pt idx="4">
                  <c:v>648258.29999999993</c:v>
                </c:pt>
                <c:pt idx="5">
                  <c:v>1305278.3700000003</c:v>
                </c:pt>
                <c:pt idx="6">
                  <c:v>1084227.4100000001</c:v>
                </c:pt>
                <c:pt idx="7">
                  <c:v>580316.11999999976</c:v>
                </c:pt>
                <c:pt idx="8">
                  <c:v>788191.58000000007</c:v>
                </c:pt>
                <c:pt idx="9">
                  <c:v>744434.48</c:v>
                </c:pt>
                <c:pt idx="10">
                  <c:v>482287.62000000011</c:v>
                </c:pt>
                <c:pt idx="11">
                  <c:v>1514673.56</c:v>
                </c:pt>
              </c:numCache>
            </c:numRef>
          </c:val>
          <c:smooth val="0"/>
          <c:extLst>
            <c:ext xmlns:c16="http://schemas.microsoft.com/office/drawing/2014/chart" uri="{C3380CC4-5D6E-409C-BE32-E72D297353CC}">
              <c16:uniqueId val="{00000000-4EAC-4EF5-A3A0-C4FB27875020}"/>
            </c:ext>
          </c:extLst>
        </c:ser>
        <c:ser>
          <c:idx val="1"/>
          <c:order val="1"/>
          <c:tx>
            <c:strRef>
              <c:f>'MOMP Tables'!$X$19:$X$20</c:f>
              <c:strCache>
                <c:ptCount val="1"/>
                <c:pt idx="0">
                  <c:v>2020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'MOMP Tables'!$V$21:$V$33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'MOMP Tables'!$X$21:$X$33</c:f>
              <c:numCache>
                <c:formatCode>"£"#,##0.00_);\("£"#,##0.00\)</c:formatCode>
                <c:ptCount val="12"/>
                <c:pt idx="0">
                  <c:v>924639.02</c:v>
                </c:pt>
                <c:pt idx="1">
                  <c:v>315750.50999999995</c:v>
                </c:pt>
                <c:pt idx="2">
                  <c:v>596343.76999999979</c:v>
                </c:pt>
                <c:pt idx="3">
                  <c:v>696219.45999999985</c:v>
                </c:pt>
                <c:pt idx="4">
                  <c:v>914851.65000000026</c:v>
                </c:pt>
                <c:pt idx="5">
                  <c:v>1187044.47</c:v>
                </c:pt>
                <c:pt idx="6">
                  <c:v>839989.3899999999</c:v>
                </c:pt>
                <c:pt idx="7">
                  <c:v>768976.3600000001</c:v>
                </c:pt>
                <c:pt idx="8">
                  <c:v>663167.65</c:v>
                </c:pt>
                <c:pt idx="9">
                  <c:v>839700.96000000008</c:v>
                </c:pt>
                <c:pt idx="10">
                  <c:v>787670.37000000011</c:v>
                </c:pt>
                <c:pt idx="11">
                  <c:v>970796.21999999974</c:v>
                </c:pt>
              </c:numCache>
            </c:numRef>
          </c:val>
          <c:smooth val="0"/>
          <c:extLst>
            <c:ext xmlns:c16="http://schemas.microsoft.com/office/drawing/2014/chart" uri="{C3380CC4-5D6E-409C-BE32-E72D297353CC}">
              <c16:uniqueId val="{00000001-4EAC-4EF5-A3A0-C4FB27875020}"/>
            </c:ext>
          </c:extLst>
        </c:ser>
        <c:dLbls>
          <c:showLegendKey val="0"/>
          <c:showVal val="0"/>
          <c:showCatName val="0"/>
          <c:showSerName val="0"/>
          <c:showPercent val="0"/>
          <c:showBubbleSize val="0"/>
        </c:dLbls>
        <c:marker val="1"/>
        <c:smooth val="0"/>
        <c:axId val="1477188432"/>
        <c:axId val="40667088"/>
      </c:lineChart>
      <c:catAx>
        <c:axId val="147718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7088"/>
        <c:crosses val="autoZero"/>
        <c:auto val="1"/>
        <c:lblAlgn val="ctr"/>
        <c:lblOffset val="100"/>
        <c:noMultiLvlLbl val="0"/>
      </c:catAx>
      <c:valAx>
        <c:axId val="40667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188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[DAProject.xlsx]MOMP Tables!Avg Profit per Sale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a:t>Average Profit</a:t>
            </a:r>
            <a:r>
              <a:rPr lang="en-GB" sz="1800" baseline="0"/>
              <a:t> per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'MOMP Tables'!$C$36:$C$37</c:f>
              <c:strCache>
                <c:ptCount val="1"/>
                <c:pt idx="0">
                  <c:v>2019</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'MOMP Tables'!$B$38:$B$50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'MOMP Tables'!$C$38:$C$50</c:f>
              <c:numCache>
                <c:formatCode>"£"#,##0.00_);\("£"#,##0.00\)</c:formatCode>
                <c:ptCount val="12"/>
                <c:pt idx="0">
                  <c:v>16459.802500000013</c:v>
                </c:pt>
                <c:pt idx="1">
                  <c:v>11209.202272727271</c:v>
                </c:pt>
                <c:pt idx="2">
                  <c:v>10473.673658536589</c:v>
                </c:pt>
                <c:pt idx="3">
                  <c:v>19243.156111111115</c:v>
                </c:pt>
                <c:pt idx="4">
                  <c:v>17059.428947368429</c:v>
                </c:pt>
                <c:pt idx="5">
                  <c:v>27771.880212765958</c:v>
                </c:pt>
                <c:pt idx="6">
                  <c:v>27105.685250000002</c:v>
                </c:pt>
                <c:pt idx="7">
                  <c:v>18719.874838709682</c:v>
                </c:pt>
                <c:pt idx="8">
                  <c:v>16085.542448979584</c:v>
                </c:pt>
                <c:pt idx="9">
                  <c:v>17312.429767441859</c:v>
                </c:pt>
                <c:pt idx="10">
                  <c:v>14614.776363636352</c:v>
                </c:pt>
                <c:pt idx="11">
                  <c:v>34424.399090909079</c:v>
                </c:pt>
              </c:numCache>
            </c:numRef>
          </c:val>
          <c:smooth val="0"/>
          <c:extLst>
            <c:ext xmlns:c16="http://schemas.microsoft.com/office/drawing/2014/chart" uri="{C3380CC4-5D6E-409C-BE32-E72D297353CC}">
              <c16:uniqueId val="{00000000-264F-419D-B029-BF3736DC8D69}"/>
            </c:ext>
          </c:extLst>
        </c:ser>
        <c:ser>
          <c:idx val="1"/>
          <c:order val="1"/>
          <c:tx>
            <c:strRef>
              <c:f>'MOMP Tables'!$D$36:$D$37</c:f>
              <c:strCache>
                <c:ptCount val="1"/>
                <c:pt idx="0">
                  <c:v>2020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'MOMP Tables'!$B$38:$B$50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'MOMP Tables'!$D$38:$D$50</c:f>
              <c:numCache>
                <c:formatCode>"£"#,##0.00_);\("£"#,##0.00\)</c:formatCode>
                <c:ptCount val="12"/>
                <c:pt idx="0">
                  <c:v>18130.176862745109</c:v>
                </c:pt>
                <c:pt idx="1">
                  <c:v>11276.803928571429</c:v>
                </c:pt>
                <c:pt idx="2">
                  <c:v>11468.149423076924</c:v>
                </c:pt>
                <c:pt idx="3">
                  <c:v>18321.564736842105</c:v>
                </c:pt>
                <c:pt idx="4">
                  <c:v>16633.666363636352</c:v>
                </c:pt>
                <c:pt idx="5">
                  <c:v>27605.685348837225</c:v>
                </c:pt>
                <c:pt idx="6">
                  <c:v>23333.0386111111</c:v>
                </c:pt>
                <c:pt idx="7">
                  <c:v>17088.363555555552</c:v>
                </c:pt>
                <c:pt idx="8">
                  <c:v>19504.930882352939</c:v>
                </c:pt>
                <c:pt idx="9">
                  <c:v>16794.019199999992</c:v>
                </c:pt>
                <c:pt idx="10">
                  <c:v>17503.786000000004</c:v>
                </c:pt>
                <c:pt idx="11">
                  <c:v>29418.067272727265</c:v>
                </c:pt>
              </c:numCache>
            </c:numRef>
          </c:val>
          <c:smooth val="0"/>
          <c:extLst>
            <c:ext xmlns:c16="http://schemas.microsoft.com/office/drawing/2014/chart" uri="{C3380CC4-5D6E-409C-BE32-E72D297353CC}">
              <c16:uniqueId val="{00000001-264F-419D-B029-BF3736DC8D69}"/>
            </c:ext>
          </c:extLst>
        </c:ser>
        <c:dLbls>
          <c:showLegendKey val="0"/>
          <c:showVal val="0"/>
          <c:showCatName val="0"/>
          <c:showSerName val="0"/>
          <c:showPercent val="0"/>
          <c:showBubbleSize val="0"/>
        </c:dLbls>
        <c:marker val="1"/>
        <c:smooth val="0"/>
        <c:axId val="117731520"/>
        <c:axId val="40694928"/>
      </c:lineChart>
      <c:catAx>
        <c:axId val="11773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94928"/>
        <c:crosses val="autoZero"/>
        <c:auto val="1"/>
        <c:lblAlgn val="ctr"/>
        <c:lblOffset val="100"/>
        <c:noMultiLvlLbl val="0"/>
      </c:catAx>
      <c:valAx>
        <c:axId val="40694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3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[DAProject.xlsx]MOMP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a:t>Share of Profits - Share of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'MOMP Tables'!$H$36:$H$37</c:f>
              <c:strCache>
                <c:ptCount val="1"/>
                <c:pt idx="0">
                  <c:v>2019</c:v>
                </c:pt>
              </c:strCache>
            </c:strRef>
          </c:tx>
          <c:spPr>
            <a:solidFill>
              <a:schemeClr val="accent1"/>
            </a:solidFill>
            <a:ln>
              <a:noFill/>
            </a:ln>
            <a:effectLst/>
          </c:spPr>
          <c:invertIfNegative val="0"/>
          <c:cat>
            <c:strRef>
              <c:f>'MOMP Tables'!$G$38:$G$50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'MOMP Tables'!$H$38:$H$50</c:f>
              <c:numCache>
                <c:formatCode>0.00%;\-0.00%;0.00%</c:formatCode>
                <c:ptCount val="12"/>
                <c:pt idx="0">
                  <c:v>-5.8673652111705873E-3</c:v>
                </c:pt>
                <c:pt idx="1">
                  <c:v>-1.803149785424062E-2</c:v>
                </c:pt>
                <c:pt idx="2">
                  <c:v>-1.8389903685256725E-2</c:v>
                </c:pt>
                <c:pt idx="3">
                  <c:v>4.7525372812107919E-4</c:v>
                </c:pt>
                <c:pt idx="4">
                  <c:v>-3.8675389182947564E-3</c:v>
                </c:pt>
                <c:pt idx="5">
                  <c:v>2.172625181168783E-2</c:v>
                </c:pt>
                <c:pt idx="6">
                  <c:v>1.7087352179745455E-2</c:v>
                </c:pt>
                <c:pt idx="7">
                  <c:v>-4.4486884165434795E-4</c:v>
                </c:pt>
                <c:pt idx="8">
                  <c:v>-7.4996930555647837E-3</c:v>
                </c:pt>
                <c:pt idx="9">
                  <c:v>-3.803616526808086E-3</c:v>
                </c:pt>
                <c:pt idx="10">
                  <c:v>-7.6063206289248425E-3</c:v>
                </c:pt>
                <c:pt idx="11">
                  <c:v>3.5751445277581395E-2</c:v>
                </c:pt>
              </c:numCache>
            </c:numRef>
          </c:val>
          <c:extLst>
            <c:ext xmlns:c16="http://schemas.microsoft.com/office/drawing/2014/chart" uri="{C3380CC4-5D6E-409C-BE32-E72D297353CC}">
              <c16:uniqueId val="{00000000-809F-41A7-A981-5EF12486B29F}"/>
            </c:ext>
          </c:extLst>
        </c:ser>
        <c:ser>
          <c:idx val="1"/>
          <c:order val="1"/>
          <c:tx>
            <c:strRef>
              <c:f>'MOMP Tables'!$I$36:$I$37</c:f>
              <c:strCache>
                <c:ptCount val="1"/>
                <c:pt idx="0">
                  <c:v>2020</c:v>
                </c:pt>
              </c:strCache>
            </c:strRef>
          </c:tx>
          <c:spPr>
            <a:solidFill>
              <a:schemeClr val="accent2"/>
            </a:solidFill>
            <a:ln>
              <a:noFill/>
            </a:ln>
            <a:effectLst/>
          </c:spPr>
          <c:invertIfNegative val="0"/>
          <c:cat>
            <c:strRef>
              <c:f>'MOMP Tables'!$G$38:$G$50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'MOMP Tables'!$I$38:$I$50</c:f>
              <c:numCache>
                <c:formatCode>0.00%;\-0.00%;0.00%</c:formatCode>
                <c:ptCount val="12"/>
                <c:pt idx="0">
                  <c:v>-2.3153856035841233E-3</c:v>
                </c:pt>
                <c:pt idx="1">
                  <c:v>-1.1374926330903003E-2</c:v>
                </c:pt>
                <c:pt idx="2">
                  <c:v>-2.0600971987798103E-2</c:v>
                </c:pt>
                <c:pt idx="3">
                  <c:v>-1.3422609123927357E-3</c:v>
                </c:pt>
                <c:pt idx="4">
                  <c:v>-6.8307157206335192E-3</c:v>
                </c:pt>
                <c:pt idx="5">
                  <c:v>1.9500933924838967E-2</c:v>
                </c:pt>
                <c:pt idx="6">
                  <c:v>8.2275944067670692E-3</c:v>
                </c:pt>
                <c:pt idx="7">
                  <c:v>-4.5114236401579896E-3</c:v>
                </c:pt>
                <c:pt idx="8">
                  <c:v>9.1747657418489448E-4</c:v>
                </c:pt>
                <c:pt idx="9">
                  <c:v>-5.787592172023813E-3</c:v>
                </c:pt>
                <c:pt idx="10">
                  <c:v>-3.5271360980069569E-3</c:v>
                </c:pt>
                <c:pt idx="11">
                  <c:v>1.811490928448823E-2</c:v>
                </c:pt>
              </c:numCache>
            </c:numRef>
          </c:val>
          <c:extLst>
            <c:ext xmlns:c16="http://schemas.microsoft.com/office/drawing/2014/chart" uri="{C3380CC4-5D6E-409C-BE32-E72D297353CC}">
              <c16:uniqueId val="{00000001-809F-41A7-A981-5EF12486B29F}"/>
            </c:ext>
          </c:extLst>
        </c:ser>
        <c:dLbls>
          <c:showLegendKey val="0"/>
          <c:showVal val="0"/>
          <c:showCatName val="0"/>
          <c:showSerName val="0"/>
          <c:showPercent val="0"/>
          <c:showBubbleSize val="0"/>
        </c:dLbls>
        <c:gapWidth val="219"/>
        <c:overlap val="-27"/>
        <c:axId val="1440633632"/>
        <c:axId val="940055600"/>
      </c:barChart>
      <c:catAx>
        <c:axId val="144063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055600"/>
        <c:crosses val="autoZero"/>
        <c:auto val="1"/>
        <c:lblAlgn val="ctr"/>
        <c:lblOffset val="100"/>
        <c:noMultiLvlLbl val="0"/>
      </c:catAx>
      <c:valAx>
        <c:axId val="94005560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63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[DAProject.xlsx]Sales Rep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r>
              <a:rPr lang="en-US" baseline="0"/>
              <a:t> for each Sales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s>
    <c:plotArea>
      <c:layout/>
      <c:barChart>
        <c:barDir val="col"/>
        <c:grouping val="stacked"/>
        <c:varyColors val="0"/>
        <c:ser>
          <c:idx val="0"/>
          <c:order val="0"/>
          <c:tx>
            <c:strRef>
              <c:f>'Sales Rep Tables'!$C$2:$C$3</c:f>
              <c:strCache>
                <c:ptCount val="1"/>
                <c:pt idx="0">
                  <c:v>2019</c:v>
                </c:pt>
              </c:strCache>
            </c:strRef>
          </c:tx>
          <c:spPr>
            <a:solidFill>
              <a:schemeClr val="accent1"/>
            </a:solidFill>
            <a:ln>
              <a:noFill/>
            </a:ln>
            <a:effectLst/>
          </c:spPr>
          <c:invertIfNegative val="0"/>
          <c:cat>
            <c:strRef>
              <c:f>'Sales Rep Tables'!$B$4:$B$39</c:f>
              <c:strCache>
                <c:ptCount val="35"/>
                <c:pt idx="0">
                  <c:v>Alyosha Meah</c:v>
                </c:pt>
                <c:pt idx="1">
                  <c:v>Amelina Piscopiello</c:v>
                </c:pt>
                <c:pt idx="2">
                  <c:v>Anita Woakes</c:v>
                </c:pt>
                <c:pt idx="3">
                  <c:v>Aurelie Wren</c:v>
                </c:pt>
                <c:pt idx="4">
                  <c:v>Avrit Chanders</c:v>
                </c:pt>
                <c:pt idx="5">
                  <c:v>Bank Coumbe</c:v>
                </c:pt>
                <c:pt idx="6">
                  <c:v>Bernadine Fullagar</c:v>
                </c:pt>
                <c:pt idx="7">
                  <c:v>Bertha Walbrook</c:v>
                </c:pt>
                <c:pt idx="8">
                  <c:v>Brynn Dempster</c:v>
                </c:pt>
                <c:pt idx="9">
                  <c:v>Bunnie Tonbridge</c:v>
                </c:pt>
                <c:pt idx="10">
                  <c:v>Caro Morfield</c:v>
                </c:pt>
                <c:pt idx="11">
                  <c:v>Case Desorts</c:v>
                </c:pt>
                <c:pt idx="12">
                  <c:v>Casie MacBain</c:v>
                </c:pt>
                <c:pt idx="13">
                  <c:v>Cobby Andersen</c:v>
                </c:pt>
                <c:pt idx="14">
                  <c:v>Collin Mackness</c:v>
                </c:pt>
                <c:pt idx="15">
                  <c:v>Corene Shirer</c:v>
                </c:pt>
                <c:pt idx="16">
                  <c:v>Crysta Halls</c:v>
                </c:pt>
                <c:pt idx="17">
                  <c:v>Genevra Charrisson</c:v>
                </c:pt>
                <c:pt idx="18">
                  <c:v>Hortense Gerring</c:v>
                </c:pt>
                <c:pt idx="19">
                  <c:v>Jay Morefield</c:v>
                </c:pt>
                <c:pt idx="20">
                  <c:v>Jocelyn Laurentino</c:v>
                </c:pt>
                <c:pt idx="21">
                  <c:v>Joshua Prevost</c:v>
                </c:pt>
                <c:pt idx="22">
                  <c:v>Madelon Bront</c:v>
                </c:pt>
                <c:pt idx="23">
                  <c:v>Maighdiln Upcraft</c:v>
                </c:pt>
                <c:pt idx="24">
                  <c:v>Manuel Goudie</c:v>
                </c:pt>
                <c:pt idx="25">
                  <c:v>Mellicent Mattys</c:v>
                </c:pt>
                <c:pt idx="26">
                  <c:v>Nero Harbisher</c:v>
                </c:pt>
                <c:pt idx="27">
                  <c:v>Ora Grennan</c:v>
                </c:pt>
                <c:pt idx="28">
                  <c:v>Palm Wetherald</c:v>
                </c:pt>
                <c:pt idx="29">
                  <c:v>Perri Aldersley</c:v>
                </c:pt>
                <c:pt idx="30">
                  <c:v>Shermy McGready</c:v>
                </c:pt>
                <c:pt idx="31">
                  <c:v>Smitty Culverhouse</c:v>
                </c:pt>
                <c:pt idx="32">
                  <c:v>Tarrah Castelletti</c:v>
                </c:pt>
                <c:pt idx="33">
                  <c:v>Wat Bowkley</c:v>
                </c:pt>
                <c:pt idx="34">
                  <c:v>Winny Agnolo</c:v>
                </c:pt>
              </c:strCache>
            </c:strRef>
          </c:cat>
          <c:val>
            <c:numRef>
              <c:f>'Sales Rep Tables'!$C$4:$C$39</c:f>
              <c:numCache>
                <c:formatCode>"£"#,##0.00_);\("£"#,##0.00\)</c:formatCode>
                <c:ptCount val="35"/>
                <c:pt idx="0">
                  <c:v>488522.90000000037</c:v>
                </c:pt>
                <c:pt idx="1">
                  <c:v>670413.2799999998</c:v>
                </c:pt>
                <c:pt idx="2">
                  <c:v>309538.55000000005</c:v>
                </c:pt>
                <c:pt idx="3">
                  <c:v>372518.25999999978</c:v>
                </c:pt>
                <c:pt idx="4">
                  <c:v>355420.74</c:v>
                </c:pt>
                <c:pt idx="6">
                  <c:v>188754.79000000004</c:v>
                </c:pt>
                <c:pt idx="7">
                  <c:v>123282.46999999997</c:v>
                </c:pt>
                <c:pt idx="8">
                  <c:v>219609.35000000009</c:v>
                </c:pt>
                <c:pt idx="9">
                  <c:v>234503.02000000002</c:v>
                </c:pt>
                <c:pt idx="10">
                  <c:v>210665.29000000004</c:v>
                </c:pt>
                <c:pt idx="11">
                  <c:v>49906.69</c:v>
                </c:pt>
                <c:pt idx="12">
                  <c:v>232393.72999999998</c:v>
                </c:pt>
                <c:pt idx="13">
                  <c:v>7578.52</c:v>
                </c:pt>
                <c:pt idx="14">
                  <c:v>38458.040000000008</c:v>
                </c:pt>
                <c:pt idx="15">
                  <c:v>522584.9700000002</c:v>
                </c:pt>
                <c:pt idx="16">
                  <c:v>459517.14999999991</c:v>
                </c:pt>
                <c:pt idx="17">
                  <c:v>420564.15999999992</c:v>
                </c:pt>
                <c:pt idx="18">
                  <c:v>494116.60999999987</c:v>
                </c:pt>
                <c:pt idx="19">
                  <c:v>314012.83000000007</c:v>
                </c:pt>
                <c:pt idx="20">
                  <c:v>277916.23</c:v>
                </c:pt>
                <c:pt idx="21">
                  <c:v>68469.510000000009</c:v>
                </c:pt>
                <c:pt idx="22">
                  <c:v>269563.10000000009</c:v>
                </c:pt>
                <c:pt idx="23">
                  <c:v>504807.46999999974</c:v>
                </c:pt>
                <c:pt idx="24">
                  <c:v>10731.230000000003</c:v>
                </c:pt>
                <c:pt idx="25">
                  <c:v>222913.60999999987</c:v>
                </c:pt>
                <c:pt idx="26">
                  <c:v>172195.31000000006</c:v>
                </c:pt>
                <c:pt idx="27">
                  <c:v>484726.80000000028</c:v>
                </c:pt>
                <c:pt idx="28">
                  <c:v>181326.30000000005</c:v>
                </c:pt>
                <c:pt idx="29">
                  <c:v>108595.87</c:v>
                </c:pt>
                <c:pt idx="30">
                  <c:v>145671.12</c:v>
                </c:pt>
                <c:pt idx="31">
                  <c:v>300808.27</c:v>
                </c:pt>
                <c:pt idx="32">
                  <c:v>456904.66999999993</c:v>
                </c:pt>
                <c:pt idx="33">
                  <c:v>210956.78999999992</c:v>
                </c:pt>
                <c:pt idx="34">
                  <c:v>359330.26</c:v>
                </c:pt>
              </c:numCache>
            </c:numRef>
          </c:val>
          <c:extLst>
            <c:ext xmlns:c16="http://schemas.microsoft.com/office/drawing/2014/chart" uri="{C3380CC4-5D6E-409C-BE32-E72D297353CC}">
              <c16:uniqueId val="{00000000-9E02-439B-A2C9-159D0285F814}"/>
            </c:ext>
          </c:extLst>
        </c:ser>
        <c:ser>
          <c:idx val="1"/>
          <c:order val="1"/>
          <c:tx>
            <c:strRef>
              <c:f>'Sales Rep Tables'!$D$2:$D$3</c:f>
              <c:strCache>
                <c:ptCount val="1"/>
                <c:pt idx="0">
                  <c:v>2020</c:v>
                </c:pt>
              </c:strCache>
            </c:strRef>
          </c:tx>
          <c:spPr>
            <a:solidFill>
              <a:schemeClr val="accent2"/>
            </a:solidFill>
            <a:ln>
              <a:noFill/>
            </a:ln>
            <a:effectLst/>
          </c:spPr>
          <c:invertIfNegative val="0"/>
          <c:cat>
            <c:strRef>
              <c:f>'Sales Rep Tables'!$B$4:$B$39</c:f>
              <c:strCache>
                <c:ptCount val="35"/>
                <c:pt idx="0">
                  <c:v>Alyosha Meah</c:v>
                </c:pt>
                <c:pt idx="1">
                  <c:v>Amelina Piscopiello</c:v>
                </c:pt>
                <c:pt idx="2">
                  <c:v>Anita Woakes</c:v>
                </c:pt>
                <c:pt idx="3">
                  <c:v>Aurelie Wren</c:v>
                </c:pt>
                <c:pt idx="4">
                  <c:v>Avrit Chanders</c:v>
                </c:pt>
                <c:pt idx="5">
                  <c:v>Bank Coumbe</c:v>
                </c:pt>
                <c:pt idx="6">
                  <c:v>Bernadine Fullagar</c:v>
                </c:pt>
                <c:pt idx="7">
                  <c:v>Bertha Walbrook</c:v>
                </c:pt>
                <c:pt idx="8">
                  <c:v>Brynn Dempster</c:v>
                </c:pt>
                <c:pt idx="9">
                  <c:v>Bunnie Tonbridge</c:v>
                </c:pt>
                <c:pt idx="10">
                  <c:v>Caro Morfield</c:v>
                </c:pt>
                <c:pt idx="11">
                  <c:v>Case Desorts</c:v>
                </c:pt>
                <c:pt idx="12">
                  <c:v>Casie MacBain</c:v>
                </c:pt>
                <c:pt idx="13">
                  <c:v>Cobby Andersen</c:v>
                </c:pt>
                <c:pt idx="14">
                  <c:v>Collin Mackness</c:v>
                </c:pt>
                <c:pt idx="15">
                  <c:v>Corene Shirer</c:v>
                </c:pt>
                <c:pt idx="16">
                  <c:v>Crysta Halls</c:v>
                </c:pt>
                <c:pt idx="17">
                  <c:v>Genevra Charrisson</c:v>
                </c:pt>
                <c:pt idx="18">
                  <c:v>Hortense Gerring</c:v>
                </c:pt>
                <c:pt idx="19">
                  <c:v>Jay Morefield</c:v>
                </c:pt>
                <c:pt idx="20">
                  <c:v>Jocelyn Laurentino</c:v>
                </c:pt>
                <c:pt idx="21">
                  <c:v>Joshua Prevost</c:v>
                </c:pt>
                <c:pt idx="22">
                  <c:v>Madelon Bront</c:v>
                </c:pt>
                <c:pt idx="23">
                  <c:v>Maighdiln Upcraft</c:v>
                </c:pt>
                <c:pt idx="24">
                  <c:v>Manuel Goudie</c:v>
                </c:pt>
                <c:pt idx="25">
                  <c:v>Mellicent Mattys</c:v>
                </c:pt>
                <c:pt idx="26">
                  <c:v>Nero Harbisher</c:v>
                </c:pt>
                <c:pt idx="27">
                  <c:v>Ora Grennan</c:v>
                </c:pt>
                <c:pt idx="28">
                  <c:v>Palm Wetherald</c:v>
                </c:pt>
                <c:pt idx="29">
                  <c:v>Perri Aldersley</c:v>
                </c:pt>
                <c:pt idx="30">
                  <c:v>Shermy McGready</c:v>
                </c:pt>
                <c:pt idx="31">
                  <c:v>Smitty Culverhouse</c:v>
                </c:pt>
                <c:pt idx="32">
                  <c:v>Tarrah Castelletti</c:v>
                </c:pt>
                <c:pt idx="33">
                  <c:v>Wat Bowkley</c:v>
                </c:pt>
                <c:pt idx="34">
                  <c:v>Winny Agnolo</c:v>
                </c:pt>
              </c:strCache>
            </c:strRef>
          </c:cat>
          <c:val>
            <c:numRef>
              <c:f>'Sales Rep Tables'!$D$4:$D$39</c:f>
              <c:numCache>
                <c:formatCode>"£"#,##0.00_);\("£"#,##0.00\)</c:formatCode>
                <c:ptCount val="35"/>
                <c:pt idx="0">
                  <c:v>253622.36999999988</c:v>
                </c:pt>
                <c:pt idx="1">
                  <c:v>427991.85999999987</c:v>
                </c:pt>
                <c:pt idx="2">
                  <c:v>311498.26</c:v>
                </c:pt>
                <c:pt idx="3">
                  <c:v>576091.68999999994</c:v>
                </c:pt>
                <c:pt idx="4">
                  <c:v>446815.41999999993</c:v>
                </c:pt>
                <c:pt idx="5">
                  <c:v>35718.380000000005</c:v>
                </c:pt>
                <c:pt idx="6">
                  <c:v>144689.46999999997</c:v>
                </c:pt>
                <c:pt idx="7">
                  <c:v>49868.859999999986</c:v>
                </c:pt>
                <c:pt idx="8">
                  <c:v>583688.56999999983</c:v>
                </c:pt>
                <c:pt idx="9">
                  <c:v>237675.72999999998</c:v>
                </c:pt>
                <c:pt idx="10">
                  <c:v>265982.59000000008</c:v>
                </c:pt>
                <c:pt idx="11">
                  <c:v>33683.97</c:v>
                </c:pt>
                <c:pt idx="12">
                  <c:v>233564.61999999988</c:v>
                </c:pt>
                <c:pt idx="13">
                  <c:v>42183.51999999999</c:v>
                </c:pt>
                <c:pt idx="14">
                  <c:v>55975.240000000049</c:v>
                </c:pt>
                <c:pt idx="15">
                  <c:v>664896.46</c:v>
                </c:pt>
                <c:pt idx="16">
                  <c:v>380444.65000000014</c:v>
                </c:pt>
                <c:pt idx="17">
                  <c:v>300979.55000000005</c:v>
                </c:pt>
                <c:pt idx="18">
                  <c:v>525284.94999999972</c:v>
                </c:pt>
                <c:pt idx="19">
                  <c:v>195383.29999999993</c:v>
                </c:pt>
                <c:pt idx="20">
                  <c:v>204650.2300000001</c:v>
                </c:pt>
                <c:pt idx="21">
                  <c:v>86989.119999999995</c:v>
                </c:pt>
                <c:pt idx="22">
                  <c:v>394477.02000000025</c:v>
                </c:pt>
                <c:pt idx="23">
                  <c:v>207068.77000000002</c:v>
                </c:pt>
                <c:pt idx="24">
                  <c:v>66889</c:v>
                </c:pt>
                <c:pt idx="25">
                  <c:v>220464.51</c:v>
                </c:pt>
                <c:pt idx="26">
                  <c:v>353370.78000000026</c:v>
                </c:pt>
                <c:pt idx="27">
                  <c:v>397798.43000000017</c:v>
                </c:pt>
                <c:pt idx="28">
                  <c:v>175806.94000000006</c:v>
                </c:pt>
                <c:pt idx="29">
                  <c:v>55322.589999999967</c:v>
                </c:pt>
                <c:pt idx="30">
                  <c:v>126287.74000000011</c:v>
                </c:pt>
                <c:pt idx="31">
                  <c:v>410508.42999999993</c:v>
                </c:pt>
                <c:pt idx="32">
                  <c:v>332742.29999999981</c:v>
                </c:pt>
                <c:pt idx="33">
                  <c:v>244950.15000000014</c:v>
                </c:pt>
                <c:pt idx="34">
                  <c:v>461784.36000000034</c:v>
                </c:pt>
              </c:numCache>
            </c:numRef>
          </c:val>
          <c:extLst>
            <c:ext xmlns:c16="http://schemas.microsoft.com/office/drawing/2014/chart" uri="{C3380CC4-5D6E-409C-BE32-E72D297353CC}">
              <c16:uniqueId val="{00000000-B014-4373-AF40-FED16B7F62F8}"/>
            </c:ext>
          </c:extLst>
        </c:ser>
        <c:dLbls>
          <c:showLegendKey val="0"/>
          <c:showVal val="0"/>
          <c:showCatName val="0"/>
          <c:showSerName val="0"/>
          <c:showPercent val="0"/>
          <c:showBubbleSize val="0"/>
        </c:dLbls>
        <c:gapWidth val="219"/>
        <c:overlap val="100"/>
        <c:axId val="1133698287"/>
        <c:axId val="588112879"/>
      </c:barChart>
      <c:catAx>
        <c:axId val="113369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112879"/>
        <c:crosses val="autoZero"/>
        <c:auto val="1"/>
        <c:lblAlgn val="ctr"/>
        <c:lblOffset val="100"/>
        <c:noMultiLvlLbl val="0"/>
      </c:catAx>
      <c:valAx>
        <c:axId val="5881128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69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[DAProject.xlsx]Sales Rep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Sales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'Sales Rep Tables'!$K$2:$K$3</c:f>
              <c:strCache>
                <c:ptCount val="1"/>
                <c:pt idx="0">
                  <c:v>2019</c:v>
                </c:pt>
              </c:strCache>
            </c:strRef>
          </c:tx>
          <c:spPr>
            <a:solidFill>
              <a:schemeClr val="accent1"/>
            </a:solidFill>
            <a:ln>
              <a:noFill/>
            </a:ln>
            <a:effectLst/>
          </c:spPr>
          <c:invertIfNegative val="0"/>
          <c:cat>
            <c:strRef>
              <c:f>'Sales Rep Tables'!$J$4:$J$39</c:f>
              <c:strCache>
                <c:ptCount val="35"/>
                <c:pt idx="0">
                  <c:v>Alyosha Meah</c:v>
                </c:pt>
                <c:pt idx="1">
                  <c:v>Amelina Piscopiello</c:v>
                </c:pt>
                <c:pt idx="2">
                  <c:v>Anita Woakes</c:v>
                </c:pt>
                <c:pt idx="3">
                  <c:v>Aurelie Wren</c:v>
                </c:pt>
                <c:pt idx="4">
                  <c:v>Avrit Chanders</c:v>
                </c:pt>
                <c:pt idx="5">
                  <c:v>Bank Coumbe</c:v>
                </c:pt>
                <c:pt idx="6">
                  <c:v>Bernadine Fullagar</c:v>
                </c:pt>
                <c:pt idx="7">
                  <c:v>Bertha Walbrook</c:v>
                </c:pt>
                <c:pt idx="8">
                  <c:v>Brynn Dempster</c:v>
                </c:pt>
                <c:pt idx="9">
                  <c:v>Bunnie Tonbridge</c:v>
                </c:pt>
                <c:pt idx="10">
                  <c:v>Caro Morfield</c:v>
                </c:pt>
                <c:pt idx="11">
                  <c:v>Case Desorts</c:v>
                </c:pt>
                <c:pt idx="12">
                  <c:v>Casie MacBain</c:v>
                </c:pt>
                <c:pt idx="13">
                  <c:v>Cobby Andersen</c:v>
                </c:pt>
                <c:pt idx="14">
                  <c:v>Collin Mackness</c:v>
                </c:pt>
                <c:pt idx="15">
                  <c:v>Corene Shirer</c:v>
                </c:pt>
                <c:pt idx="16">
                  <c:v>Crysta Halls</c:v>
                </c:pt>
                <c:pt idx="17">
                  <c:v>Genevra Charrisson</c:v>
                </c:pt>
                <c:pt idx="18">
                  <c:v>Hortense Gerring</c:v>
                </c:pt>
                <c:pt idx="19">
                  <c:v>Jay Morefield</c:v>
                </c:pt>
                <c:pt idx="20">
                  <c:v>Jocelyn Laurentino</c:v>
                </c:pt>
                <c:pt idx="21">
                  <c:v>Joshua Prevost</c:v>
                </c:pt>
                <c:pt idx="22">
                  <c:v>Madelon Bront</c:v>
                </c:pt>
                <c:pt idx="23">
                  <c:v>Maighdiln Upcraft</c:v>
                </c:pt>
                <c:pt idx="24">
                  <c:v>Manuel Goudie</c:v>
                </c:pt>
                <c:pt idx="25">
                  <c:v>Mellicent Mattys</c:v>
                </c:pt>
                <c:pt idx="26">
                  <c:v>Nero Harbisher</c:v>
                </c:pt>
                <c:pt idx="27">
                  <c:v>Ora Grennan</c:v>
                </c:pt>
                <c:pt idx="28">
                  <c:v>Palm Wetherald</c:v>
                </c:pt>
                <c:pt idx="29">
                  <c:v>Perri Aldersley</c:v>
                </c:pt>
                <c:pt idx="30">
                  <c:v>Shermy McGready</c:v>
                </c:pt>
                <c:pt idx="31">
                  <c:v>Smitty Culverhouse</c:v>
                </c:pt>
                <c:pt idx="32">
                  <c:v>Tarrah Castelletti</c:v>
                </c:pt>
                <c:pt idx="33">
                  <c:v>Wat Bowkley</c:v>
                </c:pt>
                <c:pt idx="34">
                  <c:v>Winny Agnolo</c:v>
                </c:pt>
              </c:strCache>
            </c:strRef>
          </c:cat>
          <c:val>
            <c:numRef>
              <c:f>'Sales Rep Tables'!$K$4:$K$39</c:f>
              <c:numCache>
                <c:formatCode>General</c:formatCode>
                <c:ptCount val="35"/>
                <c:pt idx="0">
                  <c:v>26</c:v>
                </c:pt>
                <c:pt idx="1">
                  <c:v>32</c:v>
                </c:pt>
                <c:pt idx="2">
                  <c:v>18</c:v>
                </c:pt>
                <c:pt idx="3">
                  <c:v>23</c:v>
                </c:pt>
                <c:pt idx="4">
                  <c:v>18</c:v>
                </c:pt>
                <c:pt idx="6">
                  <c:v>7</c:v>
                </c:pt>
                <c:pt idx="7">
                  <c:v>6</c:v>
                </c:pt>
                <c:pt idx="8">
                  <c:v>13</c:v>
                </c:pt>
                <c:pt idx="9">
                  <c:v>8</c:v>
                </c:pt>
                <c:pt idx="10">
                  <c:v>13</c:v>
                </c:pt>
                <c:pt idx="11">
                  <c:v>3</c:v>
                </c:pt>
                <c:pt idx="12">
                  <c:v>11</c:v>
                </c:pt>
                <c:pt idx="13">
                  <c:v>1</c:v>
                </c:pt>
                <c:pt idx="14">
                  <c:v>2</c:v>
                </c:pt>
                <c:pt idx="15">
                  <c:v>23</c:v>
                </c:pt>
                <c:pt idx="16">
                  <c:v>27</c:v>
                </c:pt>
                <c:pt idx="17">
                  <c:v>21</c:v>
                </c:pt>
                <c:pt idx="18">
                  <c:v>28</c:v>
                </c:pt>
                <c:pt idx="19">
                  <c:v>16</c:v>
                </c:pt>
                <c:pt idx="20">
                  <c:v>13</c:v>
                </c:pt>
                <c:pt idx="21">
                  <c:v>4</c:v>
                </c:pt>
                <c:pt idx="22">
                  <c:v>16</c:v>
                </c:pt>
                <c:pt idx="23">
                  <c:v>23</c:v>
                </c:pt>
                <c:pt idx="24">
                  <c:v>1</c:v>
                </c:pt>
                <c:pt idx="25">
                  <c:v>10</c:v>
                </c:pt>
                <c:pt idx="26">
                  <c:v>11</c:v>
                </c:pt>
                <c:pt idx="27">
                  <c:v>28</c:v>
                </c:pt>
                <c:pt idx="28">
                  <c:v>7</c:v>
                </c:pt>
                <c:pt idx="29">
                  <c:v>8</c:v>
                </c:pt>
                <c:pt idx="30">
                  <c:v>8</c:v>
                </c:pt>
                <c:pt idx="31">
                  <c:v>16</c:v>
                </c:pt>
                <c:pt idx="32">
                  <c:v>21</c:v>
                </c:pt>
                <c:pt idx="33">
                  <c:v>12</c:v>
                </c:pt>
                <c:pt idx="34">
                  <c:v>16</c:v>
                </c:pt>
              </c:numCache>
            </c:numRef>
          </c:val>
          <c:extLst>
            <c:ext xmlns:c16="http://schemas.microsoft.com/office/drawing/2014/chart" uri="{C3380CC4-5D6E-409C-BE32-E72D297353CC}">
              <c16:uniqueId val="{00000000-C076-4037-ACC4-F1BAABECBADE}"/>
            </c:ext>
          </c:extLst>
        </c:ser>
        <c:ser>
          <c:idx val="1"/>
          <c:order val="1"/>
          <c:tx>
            <c:strRef>
              <c:f>'Sales Rep Tables'!$L$2:$L$3</c:f>
              <c:strCache>
                <c:ptCount val="1"/>
                <c:pt idx="0">
                  <c:v>2020</c:v>
                </c:pt>
              </c:strCache>
            </c:strRef>
          </c:tx>
          <c:spPr>
            <a:solidFill>
              <a:schemeClr val="accent2"/>
            </a:solidFill>
            <a:ln>
              <a:noFill/>
            </a:ln>
            <a:effectLst/>
          </c:spPr>
          <c:invertIfNegative val="0"/>
          <c:cat>
            <c:strRef>
              <c:f>'Sales Rep Tables'!$J$4:$J$39</c:f>
              <c:strCache>
                <c:ptCount val="35"/>
                <c:pt idx="0">
                  <c:v>Alyosha Meah</c:v>
                </c:pt>
                <c:pt idx="1">
                  <c:v>Amelina Piscopiello</c:v>
                </c:pt>
                <c:pt idx="2">
                  <c:v>Anita Woakes</c:v>
                </c:pt>
                <c:pt idx="3">
                  <c:v>Aurelie Wren</c:v>
                </c:pt>
                <c:pt idx="4">
                  <c:v>Avrit Chanders</c:v>
                </c:pt>
                <c:pt idx="5">
                  <c:v>Bank Coumbe</c:v>
                </c:pt>
                <c:pt idx="6">
                  <c:v>Bernadine Fullagar</c:v>
                </c:pt>
                <c:pt idx="7">
                  <c:v>Bertha Walbrook</c:v>
                </c:pt>
                <c:pt idx="8">
                  <c:v>Brynn Dempster</c:v>
                </c:pt>
                <c:pt idx="9">
                  <c:v>Bunnie Tonbridge</c:v>
                </c:pt>
                <c:pt idx="10">
                  <c:v>Caro Morfield</c:v>
                </c:pt>
                <c:pt idx="11">
                  <c:v>Case Desorts</c:v>
                </c:pt>
                <c:pt idx="12">
                  <c:v>Casie MacBain</c:v>
                </c:pt>
                <c:pt idx="13">
                  <c:v>Cobby Andersen</c:v>
                </c:pt>
                <c:pt idx="14">
                  <c:v>Collin Mackness</c:v>
                </c:pt>
                <c:pt idx="15">
                  <c:v>Corene Shirer</c:v>
                </c:pt>
                <c:pt idx="16">
                  <c:v>Crysta Halls</c:v>
                </c:pt>
                <c:pt idx="17">
                  <c:v>Genevra Charrisson</c:v>
                </c:pt>
                <c:pt idx="18">
                  <c:v>Hortense Gerring</c:v>
                </c:pt>
                <c:pt idx="19">
                  <c:v>Jay Morefield</c:v>
                </c:pt>
                <c:pt idx="20">
                  <c:v>Jocelyn Laurentino</c:v>
                </c:pt>
                <c:pt idx="21">
                  <c:v>Joshua Prevost</c:v>
                </c:pt>
                <c:pt idx="22">
                  <c:v>Madelon Bront</c:v>
                </c:pt>
                <c:pt idx="23">
                  <c:v>Maighdiln Upcraft</c:v>
                </c:pt>
                <c:pt idx="24">
                  <c:v>Manuel Goudie</c:v>
                </c:pt>
                <c:pt idx="25">
                  <c:v>Mellicent Mattys</c:v>
                </c:pt>
                <c:pt idx="26">
                  <c:v>Nero Harbisher</c:v>
                </c:pt>
                <c:pt idx="27">
                  <c:v>Ora Grennan</c:v>
                </c:pt>
                <c:pt idx="28">
                  <c:v>Palm Wetherald</c:v>
                </c:pt>
                <c:pt idx="29">
                  <c:v>Perri Aldersley</c:v>
                </c:pt>
                <c:pt idx="30">
                  <c:v>Shermy McGready</c:v>
                </c:pt>
                <c:pt idx="31">
                  <c:v>Smitty Culverhouse</c:v>
                </c:pt>
                <c:pt idx="32">
                  <c:v>Tarrah Castelletti</c:v>
                </c:pt>
                <c:pt idx="33">
                  <c:v>Wat Bowkley</c:v>
                </c:pt>
                <c:pt idx="34">
                  <c:v>Winny Agnolo</c:v>
                </c:pt>
              </c:strCache>
            </c:strRef>
          </c:cat>
          <c:val>
            <c:numRef>
              <c:f>'Sales Rep Tables'!$L$4:$L$39</c:f>
              <c:numCache>
                <c:formatCode>General</c:formatCode>
                <c:ptCount val="35"/>
                <c:pt idx="0">
                  <c:v>14</c:v>
                </c:pt>
                <c:pt idx="1">
                  <c:v>24</c:v>
                </c:pt>
                <c:pt idx="2">
                  <c:v>18</c:v>
                </c:pt>
                <c:pt idx="3">
                  <c:v>29</c:v>
                </c:pt>
                <c:pt idx="4">
                  <c:v>25</c:v>
                </c:pt>
                <c:pt idx="5">
                  <c:v>2</c:v>
                </c:pt>
                <c:pt idx="6">
                  <c:v>8</c:v>
                </c:pt>
                <c:pt idx="7">
                  <c:v>3</c:v>
                </c:pt>
                <c:pt idx="8">
                  <c:v>28</c:v>
                </c:pt>
                <c:pt idx="9">
                  <c:v>15</c:v>
                </c:pt>
                <c:pt idx="10">
                  <c:v>16</c:v>
                </c:pt>
                <c:pt idx="11">
                  <c:v>3</c:v>
                </c:pt>
                <c:pt idx="12">
                  <c:v>13</c:v>
                </c:pt>
                <c:pt idx="13">
                  <c:v>4</c:v>
                </c:pt>
                <c:pt idx="14">
                  <c:v>4</c:v>
                </c:pt>
                <c:pt idx="15">
                  <c:v>30</c:v>
                </c:pt>
                <c:pt idx="16">
                  <c:v>20</c:v>
                </c:pt>
                <c:pt idx="17">
                  <c:v>16</c:v>
                </c:pt>
                <c:pt idx="18">
                  <c:v>24</c:v>
                </c:pt>
                <c:pt idx="19">
                  <c:v>10</c:v>
                </c:pt>
                <c:pt idx="20">
                  <c:v>9</c:v>
                </c:pt>
                <c:pt idx="21">
                  <c:v>6</c:v>
                </c:pt>
                <c:pt idx="22">
                  <c:v>23</c:v>
                </c:pt>
                <c:pt idx="23">
                  <c:v>13</c:v>
                </c:pt>
                <c:pt idx="24">
                  <c:v>4</c:v>
                </c:pt>
                <c:pt idx="25">
                  <c:v>11</c:v>
                </c:pt>
                <c:pt idx="26">
                  <c:v>17</c:v>
                </c:pt>
                <c:pt idx="27">
                  <c:v>22</c:v>
                </c:pt>
                <c:pt idx="28">
                  <c:v>13</c:v>
                </c:pt>
                <c:pt idx="29">
                  <c:v>4</c:v>
                </c:pt>
                <c:pt idx="30">
                  <c:v>7</c:v>
                </c:pt>
                <c:pt idx="31">
                  <c:v>25</c:v>
                </c:pt>
                <c:pt idx="32">
                  <c:v>17</c:v>
                </c:pt>
                <c:pt idx="33">
                  <c:v>11</c:v>
                </c:pt>
                <c:pt idx="34">
                  <c:v>22</c:v>
                </c:pt>
              </c:numCache>
            </c:numRef>
          </c:val>
          <c:extLst>
            <c:ext xmlns:c16="http://schemas.microsoft.com/office/drawing/2014/chart" uri="{C3380CC4-5D6E-409C-BE32-E72D297353CC}">
              <c16:uniqueId val="{00000001-C076-4037-ACC4-F1BAABECBADE}"/>
            </c:ext>
          </c:extLst>
        </c:ser>
        <c:dLbls>
          <c:showLegendKey val="0"/>
          <c:showVal val="0"/>
          <c:showCatName val="0"/>
          <c:showSerName val="0"/>
          <c:showPercent val="0"/>
          <c:showBubbleSize val="0"/>
        </c:dLbls>
        <c:gapWidth val="150"/>
        <c:overlap val="100"/>
        <c:axId val="1949563775"/>
        <c:axId val="1447147919"/>
      </c:barChart>
      <c:catAx>
        <c:axId val="194956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147919"/>
        <c:crosses val="autoZero"/>
        <c:auto val="1"/>
        <c:lblAlgn val="ctr"/>
        <c:lblOffset val="100"/>
        <c:noMultiLvlLbl val="0"/>
      </c:catAx>
      <c:valAx>
        <c:axId val="144714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6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Number of Sales vs. Average Profit</a:t>
            </a:r>
            <a:r>
              <a:rPr lang="en-GB" baseline="0"/>
              <a:t> per Sale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spPr>
            <a:ln w="38100" cap="rnd">
              <a:noFill/>
              <a:round/>
            </a:ln>
            <a:effectLst/>
          </c:spPr>
          <c:marker>
            <c:symbol val="circle"/>
            <c:size val="5"/>
            <c:spPr>
              <a:solidFill>
                <a:schemeClr val="accent6"/>
              </a:solidFill>
              <a:ln w="9525">
                <a:solidFill>
                  <a:schemeClr val="accent6"/>
                </a:solidFill>
              </a:ln>
              <a:effectLst/>
            </c:spPr>
          </c:marker>
          <c:dPt>
            <c:idx val="13"/>
            <c:marker>
              <c:symbol val="circle"/>
              <c:size val="5"/>
              <c:spPr>
                <a:solidFill>
                  <a:srgbClr val="FF0000"/>
                </a:solidFill>
                <a:ln w="9525">
                  <a:solidFill>
                    <a:schemeClr val="accent6"/>
                  </a:solidFill>
                </a:ln>
                <a:effectLst/>
              </c:spPr>
            </c:marker>
            <c:bubble3D val="0"/>
            <c:extLst>
              <c:ext xmlns:c16="http://schemas.microsoft.com/office/drawing/2014/chart" uri="{C3380CC4-5D6E-409C-BE32-E72D297353CC}">
                <c16:uniqueId val="{00000048-C499-40ED-BE73-6F88F41D680D}"/>
              </c:ext>
            </c:extLst>
          </c:dPt>
          <c:trendline>
            <c:spPr>
              <a:ln w="19050" cap="rnd">
                <a:solidFill>
                  <a:schemeClr val="accent6"/>
                </a:solidFill>
                <a:prstDash val="sysDot"/>
              </a:ln>
              <a:effectLst/>
            </c:spPr>
            <c:trendlineType val="log"/>
            <c:dispRSqr val="1"/>
            <c:dispEq val="1"/>
            <c:trendlineLbl>
              <c:layout>
                <c:manualLayout>
                  <c:x val="5.4301700768248112E-2"/>
                  <c:y val="0.1788203653830398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'Sales Rep Tables'!$F$41:$F$75</c:f>
              <c:numCache>
                <c:formatCode>General</c:formatCode>
                <c:ptCount val="35"/>
                <c:pt idx="0">
                  <c:v>40</c:v>
                </c:pt>
                <c:pt idx="1">
                  <c:v>56</c:v>
                </c:pt>
                <c:pt idx="2">
                  <c:v>36</c:v>
                </c:pt>
                <c:pt idx="3">
                  <c:v>52</c:v>
                </c:pt>
                <c:pt idx="4">
                  <c:v>43</c:v>
                </c:pt>
                <c:pt idx="5">
                  <c:v>2</c:v>
                </c:pt>
                <c:pt idx="6">
                  <c:v>15</c:v>
                </c:pt>
                <c:pt idx="7">
                  <c:v>9</c:v>
                </c:pt>
                <c:pt idx="8">
                  <c:v>41</c:v>
                </c:pt>
                <c:pt idx="9">
                  <c:v>23</c:v>
                </c:pt>
                <c:pt idx="10">
                  <c:v>29</c:v>
                </c:pt>
                <c:pt idx="11">
                  <c:v>6</c:v>
                </c:pt>
                <c:pt idx="12">
                  <c:v>24</c:v>
                </c:pt>
                <c:pt idx="13">
                  <c:v>5</c:v>
                </c:pt>
                <c:pt idx="14">
                  <c:v>6</c:v>
                </c:pt>
                <c:pt idx="15">
                  <c:v>53</c:v>
                </c:pt>
                <c:pt idx="16">
                  <c:v>47</c:v>
                </c:pt>
                <c:pt idx="17">
                  <c:v>37</c:v>
                </c:pt>
                <c:pt idx="18">
                  <c:v>52</c:v>
                </c:pt>
                <c:pt idx="19">
                  <c:v>26</c:v>
                </c:pt>
                <c:pt idx="20">
                  <c:v>22</c:v>
                </c:pt>
                <c:pt idx="21">
                  <c:v>10</c:v>
                </c:pt>
                <c:pt idx="22">
                  <c:v>39</c:v>
                </c:pt>
                <c:pt idx="23">
                  <c:v>36</c:v>
                </c:pt>
                <c:pt idx="24">
                  <c:v>5</c:v>
                </c:pt>
                <c:pt idx="25">
                  <c:v>21</c:v>
                </c:pt>
                <c:pt idx="26">
                  <c:v>28</c:v>
                </c:pt>
                <c:pt idx="27">
                  <c:v>50</c:v>
                </c:pt>
                <c:pt idx="28">
                  <c:v>20</c:v>
                </c:pt>
                <c:pt idx="29">
                  <c:v>12</c:v>
                </c:pt>
                <c:pt idx="30">
                  <c:v>15</c:v>
                </c:pt>
                <c:pt idx="31">
                  <c:v>41</c:v>
                </c:pt>
                <c:pt idx="32">
                  <c:v>38</c:v>
                </c:pt>
                <c:pt idx="33">
                  <c:v>23</c:v>
                </c:pt>
                <c:pt idx="34">
                  <c:v>38</c:v>
                </c:pt>
              </c:numCache>
            </c:numRef>
          </c:xVal>
          <c:yVal>
            <c:numRef>
              <c:f>'Sales Rep Tables'!$G$41:$G$75</c:f>
              <c:numCache>
                <c:formatCode>"£"#,##0.00_);\("£"#,##0.00\)</c:formatCode>
                <c:ptCount val="35"/>
                <c:pt idx="0">
                  <c:v>18553.631750000011</c:v>
                </c:pt>
                <c:pt idx="1">
                  <c:v>19614.37750000001</c:v>
                </c:pt>
                <c:pt idx="2">
                  <c:v>17251.022500000003</c:v>
                </c:pt>
                <c:pt idx="3">
                  <c:v>18242.499038461541</c:v>
                </c:pt>
                <c:pt idx="4">
                  <c:v>18656.654883720923</c:v>
                </c:pt>
                <c:pt idx="5">
                  <c:v>17859.190000000002</c:v>
                </c:pt>
                <c:pt idx="6">
                  <c:v>22229.617333333335</c:v>
                </c:pt>
                <c:pt idx="7">
                  <c:v>19239.036666666649</c:v>
                </c:pt>
                <c:pt idx="8">
                  <c:v>19592.63219512194</c:v>
                </c:pt>
                <c:pt idx="9">
                  <c:v>20529.510869565216</c:v>
                </c:pt>
                <c:pt idx="10">
                  <c:v>16436.133793103443</c:v>
                </c:pt>
                <c:pt idx="11">
                  <c:v>13931.776666666663</c:v>
                </c:pt>
                <c:pt idx="12">
                  <c:v>19414.931249999983</c:v>
                </c:pt>
                <c:pt idx="13">
                  <c:v>9952.4080000000013</c:v>
                </c:pt>
                <c:pt idx="14">
                  <c:v>15738.879999999996</c:v>
                </c:pt>
                <c:pt idx="15">
                  <c:v>22405.310000000012</c:v>
                </c:pt>
                <c:pt idx="16">
                  <c:v>17871.527659574465</c:v>
                </c:pt>
                <c:pt idx="17">
                  <c:v>19501.181351351337</c:v>
                </c:pt>
                <c:pt idx="18">
                  <c:v>19603.876153846148</c:v>
                </c:pt>
                <c:pt idx="19">
                  <c:v>19592.158846153859</c:v>
                </c:pt>
                <c:pt idx="20">
                  <c:v>21934.839090909089</c:v>
                </c:pt>
                <c:pt idx="21">
                  <c:v>15545.863000000001</c:v>
                </c:pt>
                <c:pt idx="22">
                  <c:v>17026.669743589748</c:v>
                </c:pt>
                <c:pt idx="23">
                  <c:v>19774.340000000007</c:v>
                </c:pt>
                <c:pt idx="24">
                  <c:v>15524.046000000008</c:v>
                </c:pt>
                <c:pt idx="25">
                  <c:v>21113.243809523814</c:v>
                </c:pt>
                <c:pt idx="26">
                  <c:v>18770.217499999995</c:v>
                </c:pt>
                <c:pt idx="27">
                  <c:v>17650.504600000007</c:v>
                </c:pt>
                <c:pt idx="28">
                  <c:v>17856.661999999989</c:v>
                </c:pt>
                <c:pt idx="29">
                  <c:v>13659.871666666664</c:v>
                </c:pt>
                <c:pt idx="30">
                  <c:v>18130.590666666674</c:v>
                </c:pt>
                <c:pt idx="31">
                  <c:v>17349.187804878042</c:v>
                </c:pt>
                <c:pt idx="32">
                  <c:v>20780.183421052625</c:v>
                </c:pt>
                <c:pt idx="33">
                  <c:v>19822.040869565215</c:v>
                </c:pt>
                <c:pt idx="34">
                  <c:v>21608.279473684201</c:v>
                </c:pt>
              </c:numCache>
            </c:numRef>
          </c:yVal>
          <c:smooth val="0"/>
          <c:extLst>
            <c:ext xmlns:c16="http://schemas.microsoft.com/office/drawing/2014/chart" uri="{C3380CC4-5D6E-409C-BE32-E72D297353CC}">
              <c16:uniqueId val="{00000000-B12F-4888-9F4F-7FB85FF3A532}"/>
            </c:ext>
          </c:extLst>
        </c:ser>
        <c:dLbls>
          <c:showLegendKey val="0"/>
          <c:showVal val="0"/>
          <c:showCatName val="0"/>
          <c:showSerName val="0"/>
          <c:showPercent val="0"/>
          <c:showBubbleSize val="0"/>
        </c:dLbls>
        <c:axId val="1949545679"/>
        <c:axId val="695395375"/>
      </c:scatterChart>
      <c:valAx>
        <c:axId val="1949545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395375"/>
        <c:crosses val="autoZero"/>
        <c:crossBetween val="midCat"/>
      </c:valAx>
      <c:valAx>
        <c:axId val="695395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456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[DAProject.xlsx]Sales Rep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Profit per</a:t>
            </a:r>
            <a:r>
              <a:rPr lang="en-US" baseline="0"/>
              <a:t> Sale for each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Rep Tables'!$J$45</c:f>
              <c:strCache>
                <c:ptCount val="1"/>
                <c:pt idx="0">
                  <c:v>Total</c:v>
                </c:pt>
              </c:strCache>
            </c:strRef>
          </c:tx>
          <c:spPr>
            <a:solidFill>
              <a:schemeClr val="accent1"/>
            </a:solidFill>
            <a:ln>
              <a:noFill/>
            </a:ln>
            <a:effectLst/>
          </c:spPr>
          <c:invertIfNegative val="0"/>
          <c:cat>
            <c:strRef>
              <c:f>'Sales Rep Tables'!$I$46:$I$56</c:f>
              <c:strCache>
                <c:ptCount val="10"/>
                <c:pt idx="0">
                  <c:v>Accessories</c:v>
                </c:pt>
                <c:pt idx="1">
                  <c:v>Appliances</c:v>
                </c:pt>
                <c:pt idx="2">
                  <c:v>Beauty</c:v>
                </c:pt>
                <c:pt idx="3">
                  <c:v>Books</c:v>
                </c:pt>
                <c:pt idx="4">
                  <c:v>Clothing</c:v>
                </c:pt>
                <c:pt idx="5">
                  <c:v>Electronics</c:v>
                </c:pt>
                <c:pt idx="6">
                  <c:v>Games</c:v>
                </c:pt>
                <c:pt idx="7">
                  <c:v>Other</c:v>
                </c:pt>
                <c:pt idx="8">
                  <c:v>Outdoors</c:v>
                </c:pt>
                <c:pt idx="9">
                  <c:v>Smartphones</c:v>
                </c:pt>
              </c:strCache>
            </c:strRef>
          </c:cat>
          <c:val>
            <c:numRef>
              <c:f>'Sales Rep Tables'!$J$46:$J$56</c:f>
              <c:numCache>
                <c:formatCode>"£"#,##0.00_);\("£"#,##0.00\)</c:formatCode>
                <c:ptCount val="10"/>
                <c:pt idx="0">
                  <c:v>22397.038</c:v>
                </c:pt>
                <c:pt idx="1">
                  <c:v>19350.223969465649</c:v>
                </c:pt>
                <c:pt idx="2">
                  <c:v>18421.108086956534</c:v>
                </c:pt>
                <c:pt idx="3">
                  <c:v>19024.904957264964</c:v>
                </c:pt>
                <c:pt idx="4">
                  <c:v>18980.245741935483</c:v>
                </c:pt>
                <c:pt idx="5">
                  <c:v>17918.902985074626</c:v>
                </c:pt>
                <c:pt idx="6">
                  <c:v>18415.796906474818</c:v>
                </c:pt>
                <c:pt idx="7">
                  <c:v>18932.196896551723</c:v>
                </c:pt>
                <c:pt idx="8">
                  <c:v>21135.250200000013</c:v>
                </c:pt>
                <c:pt idx="9">
                  <c:v>19164.712210526319</c:v>
                </c:pt>
              </c:numCache>
            </c:numRef>
          </c:val>
          <c:extLst>
            <c:ext xmlns:c16="http://schemas.microsoft.com/office/drawing/2014/chart" uri="{C3380CC4-5D6E-409C-BE32-E72D297353CC}">
              <c16:uniqueId val="{00000000-C2C2-4823-AE26-2063107640DB}"/>
            </c:ext>
          </c:extLst>
        </c:ser>
        <c:dLbls>
          <c:showLegendKey val="0"/>
          <c:showVal val="0"/>
          <c:showCatName val="0"/>
          <c:showSerName val="0"/>
          <c:showPercent val="0"/>
          <c:showBubbleSize val="0"/>
        </c:dLbls>
        <c:gapWidth val="182"/>
        <c:axId val="1885816399"/>
        <c:axId val="695413615"/>
      </c:barChart>
      <c:catAx>
        <c:axId val="188581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13615"/>
        <c:crosses val="autoZero"/>
        <c:auto val="1"/>
        <c:lblAlgn val="ctr"/>
        <c:lblOffset val="100"/>
        <c:noMultiLvlLbl val="0"/>
      </c:catAx>
      <c:valAx>
        <c:axId val="6954136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816399"/>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[DAProject.xlsx]Sales Rep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Profit per Sale for each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Rep Tables'!$C$79</c:f>
              <c:strCache>
                <c:ptCount val="1"/>
                <c:pt idx="0">
                  <c:v>Total</c:v>
                </c:pt>
              </c:strCache>
            </c:strRef>
          </c:tx>
          <c:spPr>
            <a:solidFill>
              <a:schemeClr val="accent1"/>
            </a:solidFill>
            <a:ln>
              <a:noFill/>
            </a:ln>
            <a:effectLst/>
          </c:spPr>
          <c:invertIfNegative val="0"/>
          <c:cat>
            <c:strRef>
              <c:f>'Sales Rep Tables'!$B$80:$B$115</c:f>
              <c:strCache>
                <c:ptCount val="35"/>
                <c:pt idx="0">
                  <c:v>Alyosha Meah</c:v>
                </c:pt>
                <c:pt idx="1">
                  <c:v>Amelina Piscopiello</c:v>
                </c:pt>
                <c:pt idx="2">
                  <c:v>Anita Woakes</c:v>
                </c:pt>
                <c:pt idx="3">
                  <c:v>Aurelie Wren</c:v>
                </c:pt>
                <c:pt idx="4">
                  <c:v>Avrit Chanders</c:v>
                </c:pt>
                <c:pt idx="5">
                  <c:v>Bank Coumbe</c:v>
                </c:pt>
                <c:pt idx="6">
                  <c:v>Bernadine Fullagar</c:v>
                </c:pt>
                <c:pt idx="7">
                  <c:v>Bertha Walbrook</c:v>
                </c:pt>
                <c:pt idx="8">
                  <c:v>Brynn Dempster</c:v>
                </c:pt>
                <c:pt idx="9">
                  <c:v>Bunnie Tonbridge</c:v>
                </c:pt>
                <c:pt idx="10">
                  <c:v>Caro Morfield</c:v>
                </c:pt>
                <c:pt idx="11">
                  <c:v>Case Desorts</c:v>
                </c:pt>
                <c:pt idx="12">
                  <c:v>Casie MacBain</c:v>
                </c:pt>
                <c:pt idx="13">
                  <c:v>Cobby Andersen</c:v>
                </c:pt>
                <c:pt idx="14">
                  <c:v>Collin Mackness</c:v>
                </c:pt>
                <c:pt idx="15">
                  <c:v>Corene Shirer</c:v>
                </c:pt>
                <c:pt idx="16">
                  <c:v>Crysta Halls</c:v>
                </c:pt>
                <c:pt idx="17">
                  <c:v>Genevra Charrisson</c:v>
                </c:pt>
                <c:pt idx="18">
                  <c:v>Hortense Gerring</c:v>
                </c:pt>
                <c:pt idx="19">
                  <c:v>Jay Morefield</c:v>
                </c:pt>
                <c:pt idx="20">
                  <c:v>Jocelyn Laurentino</c:v>
                </c:pt>
                <c:pt idx="21">
                  <c:v>Joshua Prevost</c:v>
                </c:pt>
                <c:pt idx="22">
                  <c:v>Madelon Bront</c:v>
                </c:pt>
                <c:pt idx="23">
                  <c:v>Maighdiln Upcraft</c:v>
                </c:pt>
                <c:pt idx="24">
                  <c:v>Manuel Goudie</c:v>
                </c:pt>
                <c:pt idx="25">
                  <c:v>Mellicent Mattys</c:v>
                </c:pt>
                <c:pt idx="26">
                  <c:v>Nero Harbisher</c:v>
                </c:pt>
                <c:pt idx="27">
                  <c:v>Ora Grennan</c:v>
                </c:pt>
                <c:pt idx="28">
                  <c:v>Palm Wetherald</c:v>
                </c:pt>
                <c:pt idx="29">
                  <c:v>Perri Aldersley</c:v>
                </c:pt>
                <c:pt idx="30">
                  <c:v>Shermy McGready</c:v>
                </c:pt>
                <c:pt idx="31">
                  <c:v>Smitty Culverhouse</c:v>
                </c:pt>
                <c:pt idx="32">
                  <c:v>Tarrah Castelletti</c:v>
                </c:pt>
                <c:pt idx="33">
                  <c:v>Wat Bowkley</c:v>
                </c:pt>
                <c:pt idx="34">
                  <c:v>Winny Agnolo</c:v>
                </c:pt>
              </c:strCache>
            </c:strRef>
          </c:cat>
          <c:val>
            <c:numRef>
              <c:f>'Sales Rep Tables'!$C$80:$C$115</c:f>
              <c:numCache>
                <c:formatCode>"£"#,##0.00_);\("£"#,##0.00\)</c:formatCode>
                <c:ptCount val="35"/>
                <c:pt idx="0">
                  <c:v>18553.631750000011</c:v>
                </c:pt>
                <c:pt idx="1">
                  <c:v>19614.37750000001</c:v>
                </c:pt>
                <c:pt idx="2">
                  <c:v>17251.022500000003</c:v>
                </c:pt>
                <c:pt idx="3">
                  <c:v>18242.499038461541</c:v>
                </c:pt>
                <c:pt idx="4">
                  <c:v>18656.654883720923</c:v>
                </c:pt>
                <c:pt idx="5">
                  <c:v>17859.190000000002</c:v>
                </c:pt>
                <c:pt idx="6">
                  <c:v>22229.617333333335</c:v>
                </c:pt>
                <c:pt idx="7">
                  <c:v>19239.036666666649</c:v>
                </c:pt>
                <c:pt idx="8">
                  <c:v>19592.63219512194</c:v>
                </c:pt>
                <c:pt idx="9">
                  <c:v>20529.510869565216</c:v>
                </c:pt>
                <c:pt idx="10">
                  <c:v>16436.133793103443</c:v>
                </c:pt>
                <c:pt idx="11">
                  <c:v>13931.776666666663</c:v>
                </c:pt>
                <c:pt idx="12">
                  <c:v>19414.931249999983</c:v>
                </c:pt>
                <c:pt idx="13">
                  <c:v>9952.4080000000013</c:v>
                </c:pt>
                <c:pt idx="14">
                  <c:v>15738.879999999996</c:v>
                </c:pt>
                <c:pt idx="15">
                  <c:v>22405.310000000012</c:v>
                </c:pt>
                <c:pt idx="16">
                  <c:v>17871.527659574465</c:v>
                </c:pt>
                <c:pt idx="17">
                  <c:v>19501.181351351337</c:v>
                </c:pt>
                <c:pt idx="18">
                  <c:v>19603.876153846148</c:v>
                </c:pt>
                <c:pt idx="19">
                  <c:v>19592.158846153859</c:v>
                </c:pt>
                <c:pt idx="20">
                  <c:v>21934.839090909089</c:v>
                </c:pt>
                <c:pt idx="21">
                  <c:v>15545.863000000001</c:v>
                </c:pt>
                <c:pt idx="22">
                  <c:v>17026.669743589748</c:v>
                </c:pt>
                <c:pt idx="23">
                  <c:v>19774.340000000007</c:v>
                </c:pt>
                <c:pt idx="24">
                  <c:v>15524.046000000008</c:v>
                </c:pt>
                <c:pt idx="25">
                  <c:v>21113.243809523814</c:v>
                </c:pt>
                <c:pt idx="26">
                  <c:v>18770.217499999995</c:v>
                </c:pt>
                <c:pt idx="27">
                  <c:v>17650.504600000007</c:v>
                </c:pt>
                <c:pt idx="28">
                  <c:v>17856.661999999989</c:v>
                </c:pt>
                <c:pt idx="29">
                  <c:v>13659.871666666664</c:v>
                </c:pt>
                <c:pt idx="30">
                  <c:v>18130.590666666674</c:v>
                </c:pt>
                <c:pt idx="31">
                  <c:v>17349.187804878042</c:v>
                </c:pt>
                <c:pt idx="32">
                  <c:v>20780.183421052625</c:v>
                </c:pt>
                <c:pt idx="33">
                  <c:v>19822.040869565215</c:v>
                </c:pt>
                <c:pt idx="34">
                  <c:v>21608.279473684201</c:v>
                </c:pt>
              </c:numCache>
            </c:numRef>
          </c:val>
          <c:extLst>
            <c:ext xmlns:c16="http://schemas.microsoft.com/office/drawing/2014/chart" uri="{C3380CC4-5D6E-409C-BE32-E72D297353CC}">
              <c16:uniqueId val="{00000000-726E-43DD-B92B-B77E0686BDBC}"/>
            </c:ext>
          </c:extLst>
        </c:ser>
        <c:dLbls>
          <c:showLegendKey val="0"/>
          <c:showVal val="0"/>
          <c:showCatName val="0"/>
          <c:showSerName val="0"/>
          <c:showPercent val="0"/>
          <c:showBubbleSize val="0"/>
        </c:dLbls>
        <c:gapWidth val="219"/>
        <c:overlap val="-27"/>
        <c:axId val="1885984367"/>
        <c:axId val="1937523695"/>
      </c:barChart>
      <c:catAx>
        <c:axId val="188598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523695"/>
        <c:crosses val="autoZero"/>
        <c:auto val="1"/>
        <c:lblAlgn val="ctr"/>
        <c:lblOffset val="100"/>
        <c:noMultiLvlLbl val="0"/>
      </c:catAx>
      <c:valAx>
        <c:axId val="19375236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98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[DAProject.xlsx]Sales Rep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Sales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Rep Tables'!$J$58</c:f>
              <c:strCache>
                <c:ptCount val="1"/>
                <c:pt idx="0">
                  <c:v>Total</c:v>
                </c:pt>
              </c:strCache>
            </c:strRef>
          </c:tx>
          <c:spPr>
            <a:solidFill>
              <a:schemeClr val="accent1"/>
            </a:solidFill>
            <a:ln>
              <a:noFill/>
            </a:ln>
            <a:effectLst/>
          </c:spPr>
          <c:invertIfNegative val="0"/>
          <c:cat>
            <c:strRef>
              <c:f>'Sales Rep Tables'!$I$59:$I$69</c:f>
              <c:strCache>
                <c:ptCount val="10"/>
                <c:pt idx="0">
                  <c:v>Accessories</c:v>
                </c:pt>
                <c:pt idx="1">
                  <c:v>Appliances</c:v>
                </c:pt>
                <c:pt idx="2">
                  <c:v>Beauty</c:v>
                </c:pt>
                <c:pt idx="3">
                  <c:v>Books</c:v>
                </c:pt>
                <c:pt idx="4">
                  <c:v>Clothing</c:v>
                </c:pt>
                <c:pt idx="5">
                  <c:v>Electronics</c:v>
                </c:pt>
                <c:pt idx="6">
                  <c:v>Games</c:v>
                </c:pt>
                <c:pt idx="7">
                  <c:v>Other</c:v>
                </c:pt>
                <c:pt idx="8">
                  <c:v>Outdoors</c:v>
                </c:pt>
                <c:pt idx="9">
                  <c:v>Smartphones</c:v>
                </c:pt>
              </c:strCache>
            </c:strRef>
          </c:cat>
          <c:val>
            <c:numRef>
              <c:f>'Sales Rep Tables'!$J$59:$J$69</c:f>
              <c:numCache>
                <c:formatCode>General</c:formatCode>
                <c:ptCount val="10"/>
                <c:pt idx="0">
                  <c:v>35</c:v>
                </c:pt>
                <c:pt idx="1">
                  <c:v>131</c:v>
                </c:pt>
                <c:pt idx="2">
                  <c:v>115</c:v>
                </c:pt>
                <c:pt idx="3">
                  <c:v>117</c:v>
                </c:pt>
                <c:pt idx="4">
                  <c:v>155</c:v>
                </c:pt>
                <c:pt idx="5">
                  <c:v>134</c:v>
                </c:pt>
                <c:pt idx="6">
                  <c:v>139</c:v>
                </c:pt>
                <c:pt idx="7">
                  <c:v>29</c:v>
                </c:pt>
                <c:pt idx="8">
                  <c:v>50</c:v>
                </c:pt>
                <c:pt idx="9">
                  <c:v>95</c:v>
                </c:pt>
              </c:numCache>
            </c:numRef>
          </c:val>
          <c:extLst>
            <c:ext xmlns:c16="http://schemas.microsoft.com/office/drawing/2014/chart" uri="{C3380CC4-5D6E-409C-BE32-E72D297353CC}">
              <c16:uniqueId val="{00000000-2A1B-462E-A9E5-751C02E8521D}"/>
            </c:ext>
          </c:extLst>
        </c:ser>
        <c:dLbls>
          <c:showLegendKey val="0"/>
          <c:showVal val="0"/>
          <c:showCatName val="0"/>
          <c:showSerName val="0"/>
          <c:showPercent val="0"/>
          <c:showBubbleSize val="0"/>
        </c:dLbls>
        <c:gapWidth val="219"/>
        <c:overlap val="-27"/>
        <c:axId val="894557999"/>
        <c:axId val="634963087"/>
      </c:barChart>
      <c:catAx>
        <c:axId val="89455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963087"/>
        <c:crosses val="autoZero"/>
        <c:auto val="1"/>
        <c:lblAlgn val="ctr"/>
        <c:lblOffset val="100"/>
        <c:noMultiLvlLbl val="0"/>
      </c:catAx>
      <c:valAx>
        <c:axId val="634963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55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Makeup</a:t>
            </a:r>
            <a:r>
              <a:rPr lang="en-GB" baseline="0"/>
              <a:t> of Profit for each Sales Rep</a:t>
            </a:r>
            <a:endParaRPr lang="en-GB"/>
          </a:p>
        </c:rich>
      </c:tx>
      <c:layout>
        <c:manualLayout>
          <c:xMode val="edge"/>
          <c:yMode val="edge"/>
          <c:x val="0.39649211441521048"/>
          <c:y val="6.197644342079386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stacked"/>
        <c:varyColors val="0"/>
        <c:ser>
          <c:idx val="0"/>
          <c:order val="0"/>
          <c:tx>
            <c:strRef>
              <c:f>'Sales Rep Tables'!$Z$46</c:f>
              <c:strCache>
                <c:ptCount val="1"/>
                <c:pt idx="0">
                  <c:v>Accessories</c:v>
                </c:pt>
              </c:strCache>
            </c:strRef>
          </c:tx>
          <c:spPr>
            <a:solidFill>
              <a:schemeClr val="accent1"/>
            </a:solidFill>
            <a:ln>
              <a:noFill/>
            </a:ln>
            <a:effectLst/>
          </c:spPr>
          <c:invertIfNegative val="0"/>
          <c:cat>
            <c:strRef>
              <c:f>'Sales Rep Tables'!$Y$47:$Y$81</c:f>
              <c:strCache>
                <c:ptCount val="35"/>
                <c:pt idx="0">
                  <c:v>Alyosha Meah</c:v>
                </c:pt>
                <c:pt idx="1">
                  <c:v>Amelina Piscopiello</c:v>
                </c:pt>
                <c:pt idx="2">
                  <c:v>Anita Woakes</c:v>
                </c:pt>
                <c:pt idx="3">
                  <c:v>Aurelie Wren</c:v>
                </c:pt>
                <c:pt idx="4">
                  <c:v>Avrit Chanders</c:v>
                </c:pt>
                <c:pt idx="5">
                  <c:v>Bank Coumbe</c:v>
                </c:pt>
                <c:pt idx="6">
                  <c:v>Bernadine Fullagar</c:v>
                </c:pt>
                <c:pt idx="7">
                  <c:v>Bertha Walbrook</c:v>
                </c:pt>
                <c:pt idx="8">
                  <c:v>Brynn Dempster</c:v>
                </c:pt>
                <c:pt idx="9">
                  <c:v>Bunnie Tonbridge</c:v>
                </c:pt>
                <c:pt idx="10">
                  <c:v>Caro Morfield</c:v>
                </c:pt>
                <c:pt idx="11">
                  <c:v>Case Desorts</c:v>
                </c:pt>
                <c:pt idx="12">
                  <c:v>Casie MacBain</c:v>
                </c:pt>
                <c:pt idx="13">
                  <c:v>Cobby Andersen</c:v>
                </c:pt>
                <c:pt idx="14">
                  <c:v>Collin Mackness</c:v>
                </c:pt>
                <c:pt idx="15">
                  <c:v>Corene Shirer</c:v>
                </c:pt>
                <c:pt idx="16">
                  <c:v>Crysta Halls</c:v>
                </c:pt>
                <c:pt idx="17">
                  <c:v>Genevra Charrisson</c:v>
                </c:pt>
                <c:pt idx="18">
                  <c:v>Hortense Gerring</c:v>
                </c:pt>
                <c:pt idx="19">
                  <c:v>Jay Morefield</c:v>
                </c:pt>
                <c:pt idx="20">
                  <c:v>Jocelyn Laurentino</c:v>
                </c:pt>
                <c:pt idx="21">
                  <c:v>Joshua Prevost</c:v>
                </c:pt>
                <c:pt idx="22">
                  <c:v>Madelon Bront</c:v>
                </c:pt>
                <c:pt idx="23">
                  <c:v>Maighdiln Upcraft</c:v>
                </c:pt>
                <c:pt idx="24">
                  <c:v>Manuel Goudie</c:v>
                </c:pt>
                <c:pt idx="25">
                  <c:v>Mellicent Mattys</c:v>
                </c:pt>
                <c:pt idx="26">
                  <c:v>Nero Harbisher</c:v>
                </c:pt>
                <c:pt idx="27">
                  <c:v>Ora Grennan</c:v>
                </c:pt>
                <c:pt idx="28">
                  <c:v>Palm Wetherald</c:v>
                </c:pt>
                <c:pt idx="29">
                  <c:v>Perri Aldersley</c:v>
                </c:pt>
                <c:pt idx="30">
                  <c:v>Shermy McGready</c:v>
                </c:pt>
                <c:pt idx="31">
                  <c:v>Smitty Culverhouse</c:v>
                </c:pt>
                <c:pt idx="32">
                  <c:v>Tarrah Castelletti</c:v>
                </c:pt>
                <c:pt idx="33">
                  <c:v>Wat Bowkley</c:v>
                </c:pt>
                <c:pt idx="34">
                  <c:v>Winny Agnolo</c:v>
                </c:pt>
              </c:strCache>
            </c:strRef>
          </c:cat>
          <c:val>
            <c:numRef>
              <c:f>'Sales Rep Tables'!$Z$47:$Z$81</c:f>
              <c:numCache>
                <c:formatCode>"£"#,##0.00</c:formatCode>
                <c:ptCount val="35"/>
                <c:pt idx="0">
                  <c:v>15023.86</c:v>
                </c:pt>
                <c:pt idx="1">
                  <c:v>0</c:v>
                </c:pt>
                <c:pt idx="2">
                  <c:v>68584.929999999993</c:v>
                </c:pt>
                <c:pt idx="3">
                  <c:v>32228.30999999999</c:v>
                </c:pt>
                <c:pt idx="4">
                  <c:v>17352.289999999994</c:v>
                </c:pt>
                <c:pt idx="5">
                  <c:v>0</c:v>
                </c:pt>
                <c:pt idx="6">
                  <c:v>18595.149999999994</c:v>
                </c:pt>
                <c:pt idx="7">
                  <c:v>0</c:v>
                </c:pt>
                <c:pt idx="8">
                  <c:v>54416.839999999982</c:v>
                </c:pt>
                <c:pt idx="9">
                  <c:v>0</c:v>
                </c:pt>
                <c:pt idx="10">
                  <c:v>0</c:v>
                </c:pt>
                <c:pt idx="11">
                  <c:v>0</c:v>
                </c:pt>
                <c:pt idx="12">
                  <c:v>56722.2</c:v>
                </c:pt>
                <c:pt idx="13">
                  <c:v>0</c:v>
                </c:pt>
                <c:pt idx="14">
                  <c:v>5747.239999999998</c:v>
                </c:pt>
                <c:pt idx="15">
                  <c:v>0</c:v>
                </c:pt>
                <c:pt idx="16">
                  <c:v>31394.670000000006</c:v>
                </c:pt>
                <c:pt idx="17">
                  <c:v>12979.839999999997</c:v>
                </c:pt>
                <c:pt idx="18">
                  <c:v>45662.770000000019</c:v>
                </c:pt>
                <c:pt idx="19">
                  <c:v>46448.649999999994</c:v>
                </c:pt>
                <c:pt idx="20">
                  <c:v>60030.92</c:v>
                </c:pt>
                <c:pt idx="21">
                  <c:v>0</c:v>
                </c:pt>
                <c:pt idx="22">
                  <c:v>22611.75</c:v>
                </c:pt>
                <c:pt idx="23">
                  <c:v>54760.590000000011</c:v>
                </c:pt>
                <c:pt idx="24">
                  <c:v>0</c:v>
                </c:pt>
                <c:pt idx="25">
                  <c:v>10180.919999999998</c:v>
                </c:pt>
                <c:pt idx="26">
                  <c:v>0</c:v>
                </c:pt>
                <c:pt idx="27">
                  <c:v>10723.720000000001</c:v>
                </c:pt>
                <c:pt idx="28">
                  <c:v>45565.869999999995</c:v>
                </c:pt>
                <c:pt idx="29">
                  <c:v>0</c:v>
                </c:pt>
                <c:pt idx="30">
                  <c:v>0</c:v>
                </c:pt>
                <c:pt idx="31">
                  <c:v>44608.649999999994</c:v>
                </c:pt>
                <c:pt idx="32">
                  <c:v>45802.880000000005</c:v>
                </c:pt>
                <c:pt idx="33">
                  <c:v>0</c:v>
                </c:pt>
                <c:pt idx="34">
                  <c:v>84454.280000000028</c:v>
                </c:pt>
              </c:numCache>
            </c:numRef>
          </c:val>
          <c:extLst>
            <c:ext xmlns:c16="http://schemas.microsoft.com/office/drawing/2014/chart" uri="{C3380CC4-5D6E-409C-BE32-E72D297353CC}">
              <c16:uniqueId val="{00000000-D55A-4AE2-B09F-9849B566754A}"/>
            </c:ext>
          </c:extLst>
        </c:ser>
        <c:ser>
          <c:idx val="1"/>
          <c:order val="1"/>
          <c:tx>
            <c:strRef>
              <c:f>'Sales Rep Tables'!$AA$46</c:f>
              <c:strCache>
                <c:ptCount val="1"/>
                <c:pt idx="0">
                  <c:v>Appliances</c:v>
                </c:pt>
              </c:strCache>
            </c:strRef>
          </c:tx>
          <c:spPr>
            <a:solidFill>
              <a:schemeClr val="accent2"/>
            </a:solidFill>
            <a:ln>
              <a:noFill/>
            </a:ln>
            <a:effectLst/>
          </c:spPr>
          <c:invertIfNegative val="0"/>
          <c:cat>
            <c:strRef>
              <c:f>'Sales Rep Tables'!$Y$47:$Y$81</c:f>
              <c:strCache>
                <c:ptCount val="35"/>
                <c:pt idx="0">
                  <c:v>Alyosha Meah</c:v>
                </c:pt>
                <c:pt idx="1">
                  <c:v>Amelina Piscopiello</c:v>
                </c:pt>
                <c:pt idx="2">
                  <c:v>Anita Woakes</c:v>
                </c:pt>
                <c:pt idx="3">
                  <c:v>Aurelie Wren</c:v>
                </c:pt>
                <c:pt idx="4">
                  <c:v>Avrit Chanders</c:v>
                </c:pt>
                <c:pt idx="5">
                  <c:v>Bank Coumbe</c:v>
                </c:pt>
                <c:pt idx="6">
                  <c:v>Bernadine Fullagar</c:v>
                </c:pt>
                <c:pt idx="7">
                  <c:v>Bertha Walbrook</c:v>
                </c:pt>
                <c:pt idx="8">
                  <c:v>Brynn Dempster</c:v>
                </c:pt>
                <c:pt idx="9">
                  <c:v>Bunnie Tonbridge</c:v>
                </c:pt>
                <c:pt idx="10">
                  <c:v>Caro Morfield</c:v>
                </c:pt>
                <c:pt idx="11">
                  <c:v>Case Desorts</c:v>
                </c:pt>
                <c:pt idx="12">
                  <c:v>Casie MacBain</c:v>
                </c:pt>
                <c:pt idx="13">
                  <c:v>Cobby Andersen</c:v>
                </c:pt>
                <c:pt idx="14">
                  <c:v>Collin Mackness</c:v>
                </c:pt>
                <c:pt idx="15">
                  <c:v>Corene Shirer</c:v>
                </c:pt>
                <c:pt idx="16">
                  <c:v>Crysta Halls</c:v>
                </c:pt>
                <c:pt idx="17">
                  <c:v>Genevra Charrisson</c:v>
                </c:pt>
                <c:pt idx="18">
                  <c:v>Hortense Gerring</c:v>
                </c:pt>
                <c:pt idx="19">
                  <c:v>Jay Morefield</c:v>
                </c:pt>
                <c:pt idx="20">
                  <c:v>Jocelyn Laurentino</c:v>
                </c:pt>
                <c:pt idx="21">
                  <c:v>Joshua Prevost</c:v>
                </c:pt>
                <c:pt idx="22">
                  <c:v>Madelon Bront</c:v>
                </c:pt>
                <c:pt idx="23">
                  <c:v>Maighdiln Upcraft</c:v>
                </c:pt>
                <c:pt idx="24">
                  <c:v>Manuel Goudie</c:v>
                </c:pt>
                <c:pt idx="25">
                  <c:v>Mellicent Mattys</c:v>
                </c:pt>
                <c:pt idx="26">
                  <c:v>Nero Harbisher</c:v>
                </c:pt>
                <c:pt idx="27">
                  <c:v>Ora Grennan</c:v>
                </c:pt>
                <c:pt idx="28">
                  <c:v>Palm Wetherald</c:v>
                </c:pt>
                <c:pt idx="29">
                  <c:v>Perri Aldersley</c:v>
                </c:pt>
                <c:pt idx="30">
                  <c:v>Shermy McGready</c:v>
                </c:pt>
                <c:pt idx="31">
                  <c:v>Smitty Culverhouse</c:v>
                </c:pt>
                <c:pt idx="32">
                  <c:v>Tarrah Castelletti</c:v>
                </c:pt>
                <c:pt idx="33">
                  <c:v>Wat Bowkley</c:v>
                </c:pt>
                <c:pt idx="34">
                  <c:v>Winny Agnolo</c:v>
                </c:pt>
              </c:strCache>
            </c:strRef>
          </c:cat>
          <c:val>
            <c:numRef>
              <c:f>'Sales Rep Tables'!$AA$47:$AA$81</c:f>
              <c:numCache>
                <c:formatCode>"£"#,##0.00</c:formatCode>
                <c:ptCount val="35"/>
                <c:pt idx="0">
                  <c:v>45219.24</c:v>
                </c:pt>
                <c:pt idx="1">
                  <c:v>199939.76000000004</c:v>
                </c:pt>
                <c:pt idx="2">
                  <c:v>42710.10000000002</c:v>
                </c:pt>
                <c:pt idx="3">
                  <c:v>120014.26</c:v>
                </c:pt>
                <c:pt idx="4">
                  <c:v>135338.81</c:v>
                </c:pt>
                <c:pt idx="5">
                  <c:v>0</c:v>
                </c:pt>
                <c:pt idx="6">
                  <c:v>69197.310000000041</c:v>
                </c:pt>
                <c:pt idx="7">
                  <c:v>30977.78</c:v>
                </c:pt>
                <c:pt idx="8">
                  <c:v>101376.35</c:v>
                </c:pt>
                <c:pt idx="9">
                  <c:v>16297.25</c:v>
                </c:pt>
                <c:pt idx="10">
                  <c:v>17741.809999999998</c:v>
                </c:pt>
                <c:pt idx="11">
                  <c:v>4145.619999999999</c:v>
                </c:pt>
                <c:pt idx="12">
                  <c:v>130631.58000000003</c:v>
                </c:pt>
                <c:pt idx="13">
                  <c:v>8974.8499999999985</c:v>
                </c:pt>
                <c:pt idx="14">
                  <c:v>30381.37999999999</c:v>
                </c:pt>
                <c:pt idx="15">
                  <c:v>165552.47</c:v>
                </c:pt>
                <c:pt idx="16">
                  <c:v>195396.99000000002</c:v>
                </c:pt>
                <c:pt idx="17">
                  <c:v>128007.00000000001</c:v>
                </c:pt>
                <c:pt idx="18">
                  <c:v>125233.72000000002</c:v>
                </c:pt>
                <c:pt idx="19">
                  <c:v>113896.98</c:v>
                </c:pt>
                <c:pt idx="20">
                  <c:v>20327.21</c:v>
                </c:pt>
                <c:pt idx="21">
                  <c:v>6789.7000000000044</c:v>
                </c:pt>
                <c:pt idx="22">
                  <c:v>116182.53999999998</c:v>
                </c:pt>
                <c:pt idx="23">
                  <c:v>72684.99000000002</c:v>
                </c:pt>
                <c:pt idx="24">
                  <c:v>0</c:v>
                </c:pt>
                <c:pt idx="25">
                  <c:v>111570.78999999998</c:v>
                </c:pt>
                <c:pt idx="26">
                  <c:v>26702.589999999997</c:v>
                </c:pt>
                <c:pt idx="27">
                  <c:v>114716.20000000003</c:v>
                </c:pt>
                <c:pt idx="28">
                  <c:v>33012.459999999992</c:v>
                </c:pt>
                <c:pt idx="29">
                  <c:v>0</c:v>
                </c:pt>
                <c:pt idx="30">
                  <c:v>31192.400000000009</c:v>
                </c:pt>
                <c:pt idx="31">
                  <c:v>102453.53000000003</c:v>
                </c:pt>
                <c:pt idx="32">
                  <c:v>125629.82000000004</c:v>
                </c:pt>
                <c:pt idx="33">
                  <c:v>66993.410000000033</c:v>
                </c:pt>
                <c:pt idx="34">
                  <c:v>25590.439999999988</c:v>
                </c:pt>
              </c:numCache>
            </c:numRef>
          </c:val>
          <c:extLst>
            <c:ext xmlns:c16="http://schemas.microsoft.com/office/drawing/2014/chart" uri="{C3380CC4-5D6E-409C-BE32-E72D297353CC}">
              <c16:uniqueId val="{00000001-D55A-4AE2-B09F-9849B566754A}"/>
            </c:ext>
          </c:extLst>
        </c:ser>
        <c:ser>
          <c:idx val="2"/>
          <c:order val="2"/>
          <c:tx>
            <c:strRef>
              <c:f>'Sales Rep Tables'!$AB$46</c:f>
              <c:strCache>
                <c:ptCount val="1"/>
                <c:pt idx="0">
                  <c:v>Beauty</c:v>
                </c:pt>
              </c:strCache>
            </c:strRef>
          </c:tx>
          <c:spPr>
            <a:solidFill>
              <a:schemeClr val="accent3"/>
            </a:solidFill>
            <a:ln>
              <a:noFill/>
            </a:ln>
            <a:effectLst/>
          </c:spPr>
          <c:invertIfNegative val="0"/>
          <c:cat>
            <c:strRef>
              <c:f>'Sales Rep Tables'!$Y$47:$Y$81</c:f>
              <c:strCache>
                <c:ptCount val="35"/>
                <c:pt idx="0">
                  <c:v>Alyosha Meah</c:v>
                </c:pt>
                <c:pt idx="1">
                  <c:v>Amelina Piscopiello</c:v>
                </c:pt>
                <c:pt idx="2">
                  <c:v>Anita Woakes</c:v>
                </c:pt>
                <c:pt idx="3">
                  <c:v>Aurelie Wren</c:v>
                </c:pt>
                <c:pt idx="4">
                  <c:v>Avrit Chanders</c:v>
                </c:pt>
                <c:pt idx="5">
                  <c:v>Bank Coumbe</c:v>
                </c:pt>
                <c:pt idx="6">
                  <c:v>Bernadine Fullagar</c:v>
                </c:pt>
                <c:pt idx="7">
                  <c:v>Bertha Walbrook</c:v>
                </c:pt>
                <c:pt idx="8">
                  <c:v>Brynn Dempster</c:v>
                </c:pt>
                <c:pt idx="9">
                  <c:v>Bunnie Tonbridge</c:v>
                </c:pt>
                <c:pt idx="10">
                  <c:v>Caro Morfield</c:v>
                </c:pt>
                <c:pt idx="11">
                  <c:v>Case Desorts</c:v>
                </c:pt>
                <c:pt idx="12">
                  <c:v>Casie MacBain</c:v>
                </c:pt>
                <c:pt idx="13">
                  <c:v>Cobby Andersen</c:v>
                </c:pt>
                <c:pt idx="14">
                  <c:v>Collin Mackness</c:v>
                </c:pt>
                <c:pt idx="15">
                  <c:v>Corene Shirer</c:v>
                </c:pt>
                <c:pt idx="16">
                  <c:v>Crysta Halls</c:v>
                </c:pt>
                <c:pt idx="17">
                  <c:v>Genevra Charrisson</c:v>
                </c:pt>
                <c:pt idx="18">
                  <c:v>Hortense Gerring</c:v>
                </c:pt>
                <c:pt idx="19">
                  <c:v>Jay Morefield</c:v>
                </c:pt>
                <c:pt idx="20">
                  <c:v>Jocelyn Laurentino</c:v>
                </c:pt>
                <c:pt idx="21">
                  <c:v>Joshua Prevost</c:v>
                </c:pt>
                <c:pt idx="22">
                  <c:v>Madelon Bront</c:v>
                </c:pt>
                <c:pt idx="23">
                  <c:v>Maighdiln Upcraft</c:v>
                </c:pt>
                <c:pt idx="24">
                  <c:v>Manuel Goudie</c:v>
                </c:pt>
                <c:pt idx="25">
                  <c:v>Mellicent Mattys</c:v>
                </c:pt>
                <c:pt idx="26">
                  <c:v>Nero Harbisher</c:v>
                </c:pt>
                <c:pt idx="27">
                  <c:v>Ora Grennan</c:v>
                </c:pt>
                <c:pt idx="28">
                  <c:v>Palm Wetherald</c:v>
                </c:pt>
                <c:pt idx="29">
                  <c:v>Perri Aldersley</c:v>
                </c:pt>
                <c:pt idx="30">
                  <c:v>Shermy McGready</c:v>
                </c:pt>
                <c:pt idx="31">
                  <c:v>Smitty Culverhouse</c:v>
                </c:pt>
                <c:pt idx="32">
                  <c:v>Tarrah Castelletti</c:v>
                </c:pt>
                <c:pt idx="33">
                  <c:v>Wat Bowkley</c:v>
                </c:pt>
                <c:pt idx="34">
                  <c:v>Winny Agnolo</c:v>
                </c:pt>
              </c:strCache>
            </c:strRef>
          </c:cat>
          <c:val>
            <c:numRef>
              <c:f>'Sales Rep Tables'!$AB$47:$AB$81</c:f>
              <c:numCache>
                <c:formatCode>"£"#,##0.00</c:formatCode>
                <c:ptCount val="35"/>
                <c:pt idx="0">
                  <c:v>116128.08</c:v>
                </c:pt>
                <c:pt idx="1">
                  <c:v>53188.299999999981</c:v>
                </c:pt>
                <c:pt idx="2">
                  <c:v>91139.609999999986</c:v>
                </c:pt>
                <c:pt idx="3">
                  <c:v>64195.80000000001</c:v>
                </c:pt>
                <c:pt idx="4">
                  <c:v>16819.800000000003</c:v>
                </c:pt>
                <c:pt idx="5">
                  <c:v>0</c:v>
                </c:pt>
                <c:pt idx="6">
                  <c:v>43519.240000000005</c:v>
                </c:pt>
                <c:pt idx="7">
                  <c:v>11533.959999999992</c:v>
                </c:pt>
                <c:pt idx="8">
                  <c:v>86783.849999999977</c:v>
                </c:pt>
                <c:pt idx="9">
                  <c:v>71708.549999999988</c:v>
                </c:pt>
                <c:pt idx="10">
                  <c:v>83212.010000000009</c:v>
                </c:pt>
                <c:pt idx="11">
                  <c:v>0</c:v>
                </c:pt>
                <c:pt idx="12">
                  <c:v>35330.22</c:v>
                </c:pt>
                <c:pt idx="13">
                  <c:v>0</c:v>
                </c:pt>
                <c:pt idx="14">
                  <c:v>0</c:v>
                </c:pt>
                <c:pt idx="15">
                  <c:v>133554.56</c:v>
                </c:pt>
                <c:pt idx="16">
                  <c:v>114121.39000000001</c:v>
                </c:pt>
                <c:pt idx="17">
                  <c:v>39360.879999999997</c:v>
                </c:pt>
                <c:pt idx="18">
                  <c:v>156067.55000000005</c:v>
                </c:pt>
                <c:pt idx="19">
                  <c:v>82931.129999999976</c:v>
                </c:pt>
                <c:pt idx="20">
                  <c:v>62584.729999999945</c:v>
                </c:pt>
                <c:pt idx="21">
                  <c:v>0</c:v>
                </c:pt>
                <c:pt idx="22">
                  <c:v>49412.819999999978</c:v>
                </c:pt>
                <c:pt idx="23">
                  <c:v>193105.53999999998</c:v>
                </c:pt>
                <c:pt idx="24">
                  <c:v>11946.160000000003</c:v>
                </c:pt>
                <c:pt idx="25">
                  <c:v>67062.409999999974</c:v>
                </c:pt>
                <c:pt idx="26">
                  <c:v>34569.290000000008</c:v>
                </c:pt>
                <c:pt idx="27">
                  <c:v>149437.08000000002</c:v>
                </c:pt>
                <c:pt idx="28">
                  <c:v>65199.540000000008</c:v>
                </c:pt>
                <c:pt idx="29">
                  <c:v>29472.47</c:v>
                </c:pt>
                <c:pt idx="30">
                  <c:v>0</c:v>
                </c:pt>
                <c:pt idx="31">
                  <c:v>67856.850000000006</c:v>
                </c:pt>
                <c:pt idx="32">
                  <c:v>58254.610000000008</c:v>
                </c:pt>
                <c:pt idx="33">
                  <c:v>72652.459999999992</c:v>
                </c:pt>
                <c:pt idx="34">
                  <c:v>57278.539999999994</c:v>
                </c:pt>
              </c:numCache>
            </c:numRef>
          </c:val>
          <c:extLst>
            <c:ext xmlns:c16="http://schemas.microsoft.com/office/drawing/2014/chart" uri="{C3380CC4-5D6E-409C-BE32-E72D297353CC}">
              <c16:uniqueId val="{00000002-D55A-4AE2-B09F-9849B566754A}"/>
            </c:ext>
          </c:extLst>
        </c:ser>
        <c:ser>
          <c:idx val="3"/>
          <c:order val="3"/>
          <c:tx>
            <c:strRef>
              <c:f>'Sales Rep Tables'!$AC$46</c:f>
              <c:strCache>
                <c:ptCount val="1"/>
                <c:pt idx="0">
                  <c:v>Books</c:v>
                </c:pt>
              </c:strCache>
            </c:strRef>
          </c:tx>
          <c:spPr>
            <a:solidFill>
              <a:schemeClr val="accent4"/>
            </a:solidFill>
            <a:ln>
              <a:noFill/>
            </a:ln>
            <a:effectLst/>
          </c:spPr>
          <c:invertIfNegative val="0"/>
          <c:cat>
            <c:strRef>
              <c:f>'Sales Rep Tables'!$Y$47:$Y$81</c:f>
              <c:strCache>
                <c:ptCount val="35"/>
                <c:pt idx="0">
                  <c:v>Alyosha Meah</c:v>
                </c:pt>
                <c:pt idx="1">
                  <c:v>Amelina Piscopiello</c:v>
                </c:pt>
                <c:pt idx="2">
                  <c:v>Anita Woakes</c:v>
                </c:pt>
                <c:pt idx="3">
                  <c:v>Aurelie Wren</c:v>
                </c:pt>
                <c:pt idx="4">
                  <c:v>Avrit Chanders</c:v>
                </c:pt>
                <c:pt idx="5">
                  <c:v>Bank Coumbe</c:v>
                </c:pt>
                <c:pt idx="6">
                  <c:v>Bernadine Fullagar</c:v>
                </c:pt>
                <c:pt idx="7">
                  <c:v>Bertha Walbrook</c:v>
                </c:pt>
                <c:pt idx="8">
                  <c:v>Brynn Dempster</c:v>
                </c:pt>
                <c:pt idx="9">
                  <c:v>Bunnie Tonbridge</c:v>
                </c:pt>
                <c:pt idx="10">
                  <c:v>Caro Morfield</c:v>
                </c:pt>
                <c:pt idx="11">
                  <c:v>Case Desorts</c:v>
                </c:pt>
                <c:pt idx="12">
                  <c:v>Casie MacBain</c:v>
                </c:pt>
                <c:pt idx="13">
                  <c:v>Cobby Andersen</c:v>
                </c:pt>
                <c:pt idx="14">
                  <c:v>Collin Mackness</c:v>
                </c:pt>
                <c:pt idx="15">
                  <c:v>Corene Shirer</c:v>
                </c:pt>
                <c:pt idx="16">
                  <c:v>Crysta Halls</c:v>
                </c:pt>
                <c:pt idx="17">
                  <c:v>Genevra Charrisson</c:v>
                </c:pt>
                <c:pt idx="18">
                  <c:v>Hortense Gerring</c:v>
                </c:pt>
                <c:pt idx="19">
                  <c:v>Jay Morefield</c:v>
                </c:pt>
                <c:pt idx="20">
                  <c:v>Jocelyn Laurentino</c:v>
                </c:pt>
                <c:pt idx="21">
                  <c:v>Joshua Prevost</c:v>
                </c:pt>
                <c:pt idx="22">
                  <c:v>Madelon Bront</c:v>
                </c:pt>
                <c:pt idx="23">
                  <c:v>Maighdiln Upcraft</c:v>
                </c:pt>
                <c:pt idx="24">
                  <c:v>Manuel Goudie</c:v>
                </c:pt>
                <c:pt idx="25">
                  <c:v>Mellicent Mattys</c:v>
                </c:pt>
                <c:pt idx="26">
                  <c:v>Nero Harbisher</c:v>
                </c:pt>
                <c:pt idx="27">
                  <c:v>Ora Grennan</c:v>
                </c:pt>
                <c:pt idx="28">
                  <c:v>Palm Wetherald</c:v>
                </c:pt>
                <c:pt idx="29">
                  <c:v>Perri Aldersley</c:v>
                </c:pt>
                <c:pt idx="30">
                  <c:v>Shermy McGready</c:v>
                </c:pt>
                <c:pt idx="31">
                  <c:v>Smitty Culverhouse</c:v>
                </c:pt>
                <c:pt idx="32">
                  <c:v>Tarrah Castelletti</c:v>
                </c:pt>
                <c:pt idx="33">
                  <c:v>Wat Bowkley</c:v>
                </c:pt>
                <c:pt idx="34">
                  <c:v>Winny Agnolo</c:v>
                </c:pt>
              </c:strCache>
            </c:strRef>
          </c:cat>
          <c:val>
            <c:numRef>
              <c:f>'Sales Rep Tables'!$AC$47:$AC$81</c:f>
              <c:numCache>
                <c:formatCode>"£"#,##0.00</c:formatCode>
                <c:ptCount val="35"/>
                <c:pt idx="0">
                  <c:v>60245.329999999987</c:v>
                </c:pt>
                <c:pt idx="1">
                  <c:v>87797.88</c:v>
                </c:pt>
                <c:pt idx="2">
                  <c:v>71814.320000000007</c:v>
                </c:pt>
                <c:pt idx="3">
                  <c:v>165263.09</c:v>
                </c:pt>
                <c:pt idx="4">
                  <c:v>154729.60999999999</c:v>
                </c:pt>
                <c:pt idx="5">
                  <c:v>0</c:v>
                </c:pt>
                <c:pt idx="6">
                  <c:v>78690.81</c:v>
                </c:pt>
                <c:pt idx="7">
                  <c:v>0</c:v>
                </c:pt>
                <c:pt idx="8">
                  <c:v>53960.660000000018</c:v>
                </c:pt>
                <c:pt idx="9">
                  <c:v>105648.98999999999</c:v>
                </c:pt>
                <c:pt idx="10">
                  <c:v>15352.290000000008</c:v>
                </c:pt>
                <c:pt idx="11">
                  <c:v>4226.8600000000006</c:v>
                </c:pt>
                <c:pt idx="12">
                  <c:v>11323.550000000003</c:v>
                </c:pt>
                <c:pt idx="13">
                  <c:v>33208.669999999991</c:v>
                </c:pt>
                <c:pt idx="14">
                  <c:v>0</c:v>
                </c:pt>
                <c:pt idx="15">
                  <c:v>114760.35</c:v>
                </c:pt>
                <c:pt idx="16">
                  <c:v>106468.64000000001</c:v>
                </c:pt>
                <c:pt idx="17">
                  <c:v>16625.660000000003</c:v>
                </c:pt>
                <c:pt idx="18">
                  <c:v>82692.810000000027</c:v>
                </c:pt>
                <c:pt idx="19">
                  <c:v>79753.509999999995</c:v>
                </c:pt>
                <c:pt idx="20">
                  <c:v>74790.089999999982</c:v>
                </c:pt>
                <c:pt idx="21">
                  <c:v>38194.880000000005</c:v>
                </c:pt>
                <c:pt idx="22">
                  <c:v>99901.78</c:v>
                </c:pt>
                <c:pt idx="23">
                  <c:v>147390.07</c:v>
                </c:pt>
                <c:pt idx="24">
                  <c:v>0</c:v>
                </c:pt>
                <c:pt idx="25">
                  <c:v>22194.309999999998</c:v>
                </c:pt>
                <c:pt idx="26">
                  <c:v>100836.58</c:v>
                </c:pt>
                <c:pt idx="27">
                  <c:v>152809.88</c:v>
                </c:pt>
                <c:pt idx="28">
                  <c:v>12439.729999999996</c:v>
                </c:pt>
                <c:pt idx="29">
                  <c:v>6672.9199999999983</c:v>
                </c:pt>
                <c:pt idx="30">
                  <c:v>39728.859999999986</c:v>
                </c:pt>
                <c:pt idx="31">
                  <c:v>23692.459999999995</c:v>
                </c:pt>
                <c:pt idx="32">
                  <c:v>74822.490000000005</c:v>
                </c:pt>
                <c:pt idx="33">
                  <c:v>22742.01999999999</c:v>
                </c:pt>
                <c:pt idx="34">
                  <c:v>167134.78000000003</c:v>
                </c:pt>
              </c:numCache>
            </c:numRef>
          </c:val>
          <c:extLst>
            <c:ext xmlns:c16="http://schemas.microsoft.com/office/drawing/2014/chart" uri="{C3380CC4-5D6E-409C-BE32-E72D297353CC}">
              <c16:uniqueId val="{00000003-D55A-4AE2-B09F-9849B566754A}"/>
            </c:ext>
          </c:extLst>
        </c:ser>
        <c:ser>
          <c:idx val="4"/>
          <c:order val="4"/>
          <c:tx>
            <c:strRef>
              <c:f>'Sales Rep Tables'!$AD$46</c:f>
              <c:strCache>
                <c:ptCount val="1"/>
                <c:pt idx="0">
                  <c:v>Clothing</c:v>
                </c:pt>
              </c:strCache>
            </c:strRef>
          </c:tx>
          <c:spPr>
            <a:solidFill>
              <a:schemeClr val="accent5"/>
            </a:solidFill>
            <a:ln>
              <a:noFill/>
            </a:ln>
            <a:effectLst/>
          </c:spPr>
          <c:invertIfNegative val="0"/>
          <c:cat>
            <c:strRef>
              <c:f>'Sales Rep Tables'!$Y$47:$Y$81</c:f>
              <c:strCache>
                <c:ptCount val="35"/>
                <c:pt idx="0">
                  <c:v>Alyosha Meah</c:v>
                </c:pt>
                <c:pt idx="1">
                  <c:v>Amelina Piscopiello</c:v>
                </c:pt>
                <c:pt idx="2">
                  <c:v>Anita Woakes</c:v>
                </c:pt>
                <c:pt idx="3">
                  <c:v>Aurelie Wren</c:v>
                </c:pt>
                <c:pt idx="4">
                  <c:v>Avrit Chanders</c:v>
                </c:pt>
                <c:pt idx="5">
                  <c:v>Bank Coumbe</c:v>
                </c:pt>
                <c:pt idx="6">
                  <c:v>Bernadine Fullagar</c:v>
                </c:pt>
                <c:pt idx="7">
                  <c:v>Bertha Walbrook</c:v>
                </c:pt>
                <c:pt idx="8">
                  <c:v>Brynn Dempster</c:v>
                </c:pt>
                <c:pt idx="9">
                  <c:v>Bunnie Tonbridge</c:v>
                </c:pt>
                <c:pt idx="10">
                  <c:v>Caro Morfield</c:v>
                </c:pt>
                <c:pt idx="11">
                  <c:v>Case Desorts</c:v>
                </c:pt>
                <c:pt idx="12">
                  <c:v>Casie MacBain</c:v>
                </c:pt>
                <c:pt idx="13">
                  <c:v>Cobby Andersen</c:v>
                </c:pt>
                <c:pt idx="14">
                  <c:v>Collin Mackness</c:v>
                </c:pt>
                <c:pt idx="15">
                  <c:v>Corene Shirer</c:v>
                </c:pt>
                <c:pt idx="16">
                  <c:v>Crysta Halls</c:v>
                </c:pt>
                <c:pt idx="17">
                  <c:v>Genevra Charrisson</c:v>
                </c:pt>
                <c:pt idx="18">
                  <c:v>Hortense Gerring</c:v>
                </c:pt>
                <c:pt idx="19">
                  <c:v>Jay Morefield</c:v>
                </c:pt>
                <c:pt idx="20">
                  <c:v>Jocelyn Laurentino</c:v>
                </c:pt>
                <c:pt idx="21">
                  <c:v>Joshua Prevost</c:v>
                </c:pt>
                <c:pt idx="22">
                  <c:v>Madelon Bront</c:v>
                </c:pt>
                <c:pt idx="23">
                  <c:v>Maighdiln Upcraft</c:v>
                </c:pt>
                <c:pt idx="24">
                  <c:v>Manuel Goudie</c:v>
                </c:pt>
                <c:pt idx="25">
                  <c:v>Mellicent Mattys</c:v>
                </c:pt>
                <c:pt idx="26">
                  <c:v>Nero Harbisher</c:v>
                </c:pt>
                <c:pt idx="27">
                  <c:v>Ora Grennan</c:v>
                </c:pt>
                <c:pt idx="28">
                  <c:v>Palm Wetherald</c:v>
                </c:pt>
                <c:pt idx="29">
                  <c:v>Perri Aldersley</c:v>
                </c:pt>
                <c:pt idx="30">
                  <c:v>Shermy McGready</c:v>
                </c:pt>
                <c:pt idx="31">
                  <c:v>Smitty Culverhouse</c:v>
                </c:pt>
                <c:pt idx="32">
                  <c:v>Tarrah Castelletti</c:v>
                </c:pt>
                <c:pt idx="33">
                  <c:v>Wat Bowkley</c:v>
                </c:pt>
                <c:pt idx="34">
                  <c:v>Winny Agnolo</c:v>
                </c:pt>
              </c:strCache>
            </c:strRef>
          </c:cat>
          <c:val>
            <c:numRef>
              <c:f>'Sales Rep Tables'!$AD$47:$AD$81</c:f>
              <c:numCache>
                <c:formatCode>"£"#,##0.00</c:formatCode>
                <c:ptCount val="35"/>
                <c:pt idx="0">
                  <c:v>139845.32</c:v>
                </c:pt>
                <c:pt idx="1">
                  <c:v>211021.76999999996</c:v>
                </c:pt>
                <c:pt idx="2">
                  <c:v>74218.47</c:v>
                </c:pt>
                <c:pt idx="3">
                  <c:v>124442.32</c:v>
                </c:pt>
                <c:pt idx="4">
                  <c:v>116876.79000000004</c:v>
                </c:pt>
                <c:pt idx="5">
                  <c:v>0</c:v>
                </c:pt>
                <c:pt idx="6">
                  <c:v>0</c:v>
                </c:pt>
                <c:pt idx="7">
                  <c:v>0</c:v>
                </c:pt>
                <c:pt idx="8">
                  <c:v>110373.04</c:v>
                </c:pt>
                <c:pt idx="9">
                  <c:v>56489.869999999966</c:v>
                </c:pt>
                <c:pt idx="10">
                  <c:v>97191.1</c:v>
                </c:pt>
                <c:pt idx="11">
                  <c:v>20563.760000000002</c:v>
                </c:pt>
                <c:pt idx="12">
                  <c:v>50115.469999999994</c:v>
                </c:pt>
                <c:pt idx="13">
                  <c:v>0</c:v>
                </c:pt>
                <c:pt idx="14">
                  <c:v>14566.330000000002</c:v>
                </c:pt>
                <c:pt idx="15">
                  <c:v>195333.76000000001</c:v>
                </c:pt>
                <c:pt idx="16">
                  <c:v>82385.350000000006</c:v>
                </c:pt>
                <c:pt idx="17">
                  <c:v>120441.87999999999</c:v>
                </c:pt>
                <c:pt idx="18">
                  <c:v>272867.27000000008</c:v>
                </c:pt>
                <c:pt idx="19">
                  <c:v>61072.87</c:v>
                </c:pt>
                <c:pt idx="20">
                  <c:v>56799.569999999992</c:v>
                </c:pt>
                <c:pt idx="21">
                  <c:v>16151.279999999999</c:v>
                </c:pt>
                <c:pt idx="22">
                  <c:v>79908.24000000002</c:v>
                </c:pt>
                <c:pt idx="23">
                  <c:v>69079.859999999986</c:v>
                </c:pt>
                <c:pt idx="24">
                  <c:v>0</c:v>
                </c:pt>
                <c:pt idx="25">
                  <c:v>47248.909999999989</c:v>
                </c:pt>
                <c:pt idx="26">
                  <c:v>127524.98000000004</c:v>
                </c:pt>
                <c:pt idx="27">
                  <c:v>96252.37999999999</c:v>
                </c:pt>
                <c:pt idx="28">
                  <c:v>37435.42</c:v>
                </c:pt>
                <c:pt idx="29">
                  <c:v>47949.810000000012</c:v>
                </c:pt>
                <c:pt idx="30">
                  <c:v>72969.439999999988</c:v>
                </c:pt>
                <c:pt idx="31">
                  <c:v>93666.450000000012</c:v>
                </c:pt>
                <c:pt idx="32">
                  <c:v>139521.18000000002</c:v>
                </c:pt>
                <c:pt idx="33">
                  <c:v>124359.09999999998</c:v>
                </c:pt>
                <c:pt idx="34">
                  <c:v>185266.09999999998</c:v>
                </c:pt>
              </c:numCache>
            </c:numRef>
          </c:val>
          <c:extLst>
            <c:ext xmlns:c16="http://schemas.microsoft.com/office/drawing/2014/chart" uri="{C3380CC4-5D6E-409C-BE32-E72D297353CC}">
              <c16:uniqueId val="{00000004-D55A-4AE2-B09F-9849B566754A}"/>
            </c:ext>
          </c:extLst>
        </c:ser>
        <c:ser>
          <c:idx val="5"/>
          <c:order val="5"/>
          <c:tx>
            <c:strRef>
              <c:f>'Sales Rep Tables'!$AE$46</c:f>
              <c:strCache>
                <c:ptCount val="1"/>
                <c:pt idx="0">
                  <c:v>Electronics</c:v>
                </c:pt>
              </c:strCache>
            </c:strRef>
          </c:tx>
          <c:spPr>
            <a:solidFill>
              <a:schemeClr val="accent6"/>
            </a:solidFill>
            <a:ln>
              <a:noFill/>
            </a:ln>
            <a:effectLst/>
          </c:spPr>
          <c:invertIfNegative val="0"/>
          <c:cat>
            <c:strRef>
              <c:f>'Sales Rep Tables'!$Y$47:$Y$81</c:f>
              <c:strCache>
                <c:ptCount val="35"/>
                <c:pt idx="0">
                  <c:v>Alyosha Meah</c:v>
                </c:pt>
                <c:pt idx="1">
                  <c:v>Amelina Piscopiello</c:v>
                </c:pt>
                <c:pt idx="2">
                  <c:v>Anita Woakes</c:v>
                </c:pt>
                <c:pt idx="3">
                  <c:v>Aurelie Wren</c:v>
                </c:pt>
                <c:pt idx="4">
                  <c:v>Avrit Chanders</c:v>
                </c:pt>
                <c:pt idx="5">
                  <c:v>Bank Coumbe</c:v>
                </c:pt>
                <c:pt idx="6">
                  <c:v>Bernadine Fullagar</c:v>
                </c:pt>
                <c:pt idx="7">
                  <c:v>Bertha Walbrook</c:v>
                </c:pt>
                <c:pt idx="8">
                  <c:v>Brynn Dempster</c:v>
                </c:pt>
                <c:pt idx="9">
                  <c:v>Bunnie Tonbridge</c:v>
                </c:pt>
                <c:pt idx="10">
                  <c:v>Caro Morfield</c:v>
                </c:pt>
                <c:pt idx="11">
                  <c:v>Case Desorts</c:v>
                </c:pt>
                <c:pt idx="12">
                  <c:v>Casie MacBain</c:v>
                </c:pt>
                <c:pt idx="13">
                  <c:v>Cobby Andersen</c:v>
                </c:pt>
                <c:pt idx="14">
                  <c:v>Collin Mackness</c:v>
                </c:pt>
                <c:pt idx="15">
                  <c:v>Corene Shirer</c:v>
                </c:pt>
                <c:pt idx="16">
                  <c:v>Crysta Halls</c:v>
                </c:pt>
                <c:pt idx="17">
                  <c:v>Genevra Charrisson</c:v>
                </c:pt>
                <c:pt idx="18">
                  <c:v>Hortense Gerring</c:v>
                </c:pt>
                <c:pt idx="19">
                  <c:v>Jay Morefield</c:v>
                </c:pt>
                <c:pt idx="20">
                  <c:v>Jocelyn Laurentino</c:v>
                </c:pt>
                <c:pt idx="21">
                  <c:v>Joshua Prevost</c:v>
                </c:pt>
                <c:pt idx="22">
                  <c:v>Madelon Bront</c:v>
                </c:pt>
                <c:pt idx="23">
                  <c:v>Maighdiln Upcraft</c:v>
                </c:pt>
                <c:pt idx="24">
                  <c:v>Manuel Goudie</c:v>
                </c:pt>
                <c:pt idx="25">
                  <c:v>Mellicent Mattys</c:v>
                </c:pt>
                <c:pt idx="26">
                  <c:v>Nero Harbisher</c:v>
                </c:pt>
                <c:pt idx="27">
                  <c:v>Ora Grennan</c:v>
                </c:pt>
                <c:pt idx="28">
                  <c:v>Palm Wetherald</c:v>
                </c:pt>
                <c:pt idx="29">
                  <c:v>Perri Aldersley</c:v>
                </c:pt>
                <c:pt idx="30">
                  <c:v>Shermy McGready</c:v>
                </c:pt>
                <c:pt idx="31">
                  <c:v>Smitty Culverhouse</c:v>
                </c:pt>
                <c:pt idx="32">
                  <c:v>Tarrah Castelletti</c:v>
                </c:pt>
                <c:pt idx="33">
                  <c:v>Wat Bowkley</c:v>
                </c:pt>
                <c:pt idx="34">
                  <c:v>Winny Agnolo</c:v>
                </c:pt>
              </c:strCache>
            </c:strRef>
          </c:cat>
          <c:val>
            <c:numRef>
              <c:f>'Sales Rep Tables'!$AE$47:$AE$81</c:f>
              <c:numCache>
                <c:formatCode>"£"#,##0.00</c:formatCode>
                <c:ptCount val="35"/>
                <c:pt idx="0">
                  <c:v>83679.839999999997</c:v>
                </c:pt>
                <c:pt idx="1">
                  <c:v>161744</c:v>
                </c:pt>
                <c:pt idx="2">
                  <c:v>90548.299999999988</c:v>
                </c:pt>
                <c:pt idx="3">
                  <c:v>147587.39000000001</c:v>
                </c:pt>
                <c:pt idx="4">
                  <c:v>106586.80999999997</c:v>
                </c:pt>
                <c:pt idx="5">
                  <c:v>10350.990000000005</c:v>
                </c:pt>
                <c:pt idx="6">
                  <c:v>18562.479999999996</c:v>
                </c:pt>
                <c:pt idx="7">
                  <c:v>61937.759999999995</c:v>
                </c:pt>
                <c:pt idx="8">
                  <c:v>79746.699999999968</c:v>
                </c:pt>
                <c:pt idx="9">
                  <c:v>85771.86000000003</c:v>
                </c:pt>
                <c:pt idx="10">
                  <c:v>76769.080000000016</c:v>
                </c:pt>
                <c:pt idx="11">
                  <c:v>13120.21</c:v>
                </c:pt>
                <c:pt idx="12">
                  <c:v>96790.459999999992</c:v>
                </c:pt>
                <c:pt idx="13">
                  <c:v>0</c:v>
                </c:pt>
                <c:pt idx="14">
                  <c:v>0</c:v>
                </c:pt>
                <c:pt idx="15">
                  <c:v>116359.60000000002</c:v>
                </c:pt>
                <c:pt idx="16">
                  <c:v>55911.369999999988</c:v>
                </c:pt>
                <c:pt idx="17">
                  <c:v>105835.81</c:v>
                </c:pt>
                <c:pt idx="18">
                  <c:v>104586.57000000002</c:v>
                </c:pt>
                <c:pt idx="19">
                  <c:v>28846.649999999994</c:v>
                </c:pt>
                <c:pt idx="20">
                  <c:v>33072.22</c:v>
                </c:pt>
                <c:pt idx="21">
                  <c:v>0</c:v>
                </c:pt>
                <c:pt idx="22">
                  <c:v>128051.30000000003</c:v>
                </c:pt>
                <c:pt idx="23">
                  <c:v>88734.87</c:v>
                </c:pt>
                <c:pt idx="24">
                  <c:v>18517.200000000004</c:v>
                </c:pt>
                <c:pt idx="25">
                  <c:v>52695.559999999976</c:v>
                </c:pt>
                <c:pt idx="26">
                  <c:v>69294.929999999978</c:v>
                </c:pt>
                <c:pt idx="27">
                  <c:v>175281.11</c:v>
                </c:pt>
                <c:pt idx="28">
                  <c:v>50294.029999999992</c:v>
                </c:pt>
                <c:pt idx="29">
                  <c:v>16490.339999999997</c:v>
                </c:pt>
                <c:pt idx="30">
                  <c:v>52357.180000000008</c:v>
                </c:pt>
                <c:pt idx="31">
                  <c:v>46106.80000000001</c:v>
                </c:pt>
                <c:pt idx="32">
                  <c:v>180788.92999999996</c:v>
                </c:pt>
                <c:pt idx="33">
                  <c:v>12219.259999999998</c:v>
                </c:pt>
                <c:pt idx="34">
                  <c:v>32493.389999999985</c:v>
                </c:pt>
              </c:numCache>
            </c:numRef>
          </c:val>
          <c:extLst>
            <c:ext xmlns:c16="http://schemas.microsoft.com/office/drawing/2014/chart" uri="{C3380CC4-5D6E-409C-BE32-E72D297353CC}">
              <c16:uniqueId val="{00000005-D55A-4AE2-B09F-9849B566754A}"/>
            </c:ext>
          </c:extLst>
        </c:ser>
        <c:ser>
          <c:idx val="6"/>
          <c:order val="6"/>
          <c:tx>
            <c:strRef>
              <c:f>'Sales Rep Tables'!$AF$46</c:f>
              <c:strCache>
                <c:ptCount val="1"/>
                <c:pt idx="0">
                  <c:v>Games</c:v>
                </c:pt>
              </c:strCache>
            </c:strRef>
          </c:tx>
          <c:spPr>
            <a:solidFill>
              <a:schemeClr val="accent1">
                <a:lumMod val="60000"/>
              </a:schemeClr>
            </a:solidFill>
            <a:ln>
              <a:noFill/>
            </a:ln>
            <a:effectLst/>
          </c:spPr>
          <c:invertIfNegative val="0"/>
          <c:cat>
            <c:strRef>
              <c:f>'Sales Rep Tables'!$Y$47:$Y$81</c:f>
              <c:strCache>
                <c:ptCount val="35"/>
                <c:pt idx="0">
                  <c:v>Alyosha Meah</c:v>
                </c:pt>
                <c:pt idx="1">
                  <c:v>Amelina Piscopiello</c:v>
                </c:pt>
                <c:pt idx="2">
                  <c:v>Anita Woakes</c:v>
                </c:pt>
                <c:pt idx="3">
                  <c:v>Aurelie Wren</c:v>
                </c:pt>
                <c:pt idx="4">
                  <c:v>Avrit Chanders</c:v>
                </c:pt>
                <c:pt idx="5">
                  <c:v>Bank Coumbe</c:v>
                </c:pt>
                <c:pt idx="6">
                  <c:v>Bernadine Fullagar</c:v>
                </c:pt>
                <c:pt idx="7">
                  <c:v>Bertha Walbrook</c:v>
                </c:pt>
                <c:pt idx="8">
                  <c:v>Brynn Dempster</c:v>
                </c:pt>
                <c:pt idx="9">
                  <c:v>Bunnie Tonbridge</c:v>
                </c:pt>
                <c:pt idx="10">
                  <c:v>Caro Morfield</c:v>
                </c:pt>
                <c:pt idx="11">
                  <c:v>Case Desorts</c:v>
                </c:pt>
                <c:pt idx="12">
                  <c:v>Casie MacBain</c:v>
                </c:pt>
                <c:pt idx="13">
                  <c:v>Cobby Andersen</c:v>
                </c:pt>
                <c:pt idx="14">
                  <c:v>Collin Mackness</c:v>
                </c:pt>
                <c:pt idx="15">
                  <c:v>Corene Shirer</c:v>
                </c:pt>
                <c:pt idx="16">
                  <c:v>Crysta Halls</c:v>
                </c:pt>
                <c:pt idx="17">
                  <c:v>Genevra Charrisson</c:v>
                </c:pt>
                <c:pt idx="18">
                  <c:v>Hortense Gerring</c:v>
                </c:pt>
                <c:pt idx="19">
                  <c:v>Jay Morefield</c:v>
                </c:pt>
                <c:pt idx="20">
                  <c:v>Jocelyn Laurentino</c:v>
                </c:pt>
                <c:pt idx="21">
                  <c:v>Joshua Prevost</c:v>
                </c:pt>
                <c:pt idx="22">
                  <c:v>Madelon Bront</c:v>
                </c:pt>
                <c:pt idx="23">
                  <c:v>Maighdiln Upcraft</c:v>
                </c:pt>
                <c:pt idx="24">
                  <c:v>Manuel Goudie</c:v>
                </c:pt>
                <c:pt idx="25">
                  <c:v>Mellicent Mattys</c:v>
                </c:pt>
                <c:pt idx="26">
                  <c:v>Nero Harbisher</c:v>
                </c:pt>
                <c:pt idx="27">
                  <c:v>Ora Grennan</c:v>
                </c:pt>
                <c:pt idx="28">
                  <c:v>Palm Wetherald</c:v>
                </c:pt>
                <c:pt idx="29">
                  <c:v>Perri Aldersley</c:v>
                </c:pt>
                <c:pt idx="30">
                  <c:v>Shermy McGready</c:v>
                </c:pt>
                <c:pt idx="31">
                  <c:v>Smitty Culverhouse</c:v>
                </c:pt>
                <c:pt idx="32">
                  <c:v>Tarrah Castelletti</c:v>
                </c:pt>
                <c:pt idx="33">
                  <c:v>Wat Bowkley</c:v>
                </c:pt>
                <c:pt idx="34">
                  <c:v>Winny Agnolo</c:v>
                </c:pt>
              </c:strCache>
            </c:strRef>
          </c:cat>
          <c:val>
            <c:numRef>
              <c:f>'Sales Rep Tables'!$AF$47:$AF$81</c:f>
              <c:numCache>
                <c:formatCode>"£"#,##0.00</c:formatCode>
                <c:ptCount val="35"/>
                <c:pt idx="0">
                  <c:v>75415.639999999985</c:v>
                </c:pt>
                <c:pt idx="1">
                  <c:v>149716.76</c:v>
                </c:pt>
                <c:pt idx="2">
                  <c:v>81520.329999999987</c:v>
                </c:pt>
                <c:pt idx="3">
                  <c:v>115837.10000000003</c:v>
                </c:pt>
                <c:pt idx="4">
                  <c:v>78345.160000000018</c:v>
                </c:pt>
                <c:pt idx="5">
                  <c:v>25367.39</c:v>
                </c:pt>
                <c:pt idx="6">
                  <c:v>83150.590000000011</c:v>
                </c:pt>
                <c:pt idx="7">
                  <c:v>54391.990000000005</c:v>
                </c:pt>
                <c:pt idx="8">
                  <c:v>168458.82</c:v>
                </c:pt>
                <c:pt idx="9">
                  <c:v>39628.74</c:v>
                </c:pt>
                <c:pt idx="10">
                  <c:v>98448.039999999979</c:v>
                </c:pt>
                <c:pt idx="11">
                  <c:v>0</c:v>
                </c:pt>
                <c:pt idx="12">
                  <c:v>60072.179999999993</c:v>
                </c:pt>
                <c:pt idx="13">
                  <c:v>7578.52</c:v>
                </c:pt>
                <c:pt idx="14">
                  <c:v>23891.710000000006</c:v>
                </c:pt>
                <c:pt idx="15">
                  <c:v>257174.33000000007</c:v>
                </c:pt>
                <c:pt idx="16">
                  <c:v>89935.809999999983</c:v>
                </c:pt>
                <c:pt idx="17">
                  <c:v>107971.98000000001</c:v>
                </c:pt>
                <c:pt idx="18">
                  <c:v>106852.41999999998</c:v>
                </c:pt>
                <c:pt idx="19">
                  <c:v>37883.179999999993</c:v>
                </c:pt>
                <c:pt idx="20">
                  <c:v>59055.539999999994</c:v>
                </c:pt>
                <c:pt idx="21">
                  <c:v>50036.260000000009</c:v>
                </c:pt>
                <c:pt idx="22">
                  <c:v>55368.159999999989</c:v>
                </c:pt>
                <c:pt idx="23">
                  <c:v>25995.530000000006</c:v>
                </c:pt>
                <c:pt idx="24">
                  <c:v>18034</c:v>
                </c:pt>
                <c:pt idx="25">
                  <c:v>97677.61</c:v>
                </c:pt>
                <c:pt idx="26">
                  <c:v>57976.219999999979</c:v>
                </c:pt>
                <c:pt idx="27">
                  <c:v>47083.339999999989</c:v>
                </c:pt>
                <c:pt idx="28">
                  <c:v>44195.709999999977</c:v>
                </c:pt>
                <c:pt idx="29">
                  <c:v>30983.799999999988</c:v>
                </c:pt>
                <c:pt idx="30">
                  <c:v>7679.9199999999983</c:v>
                </c:pt>
                <c:pt idx="31">
                  <c:v>183770.20000000004</c:v>
                </c:pt>
                <c:pt idx="32">
                  <c:v>54980.240000000005</c:v>
                </c:pt>
                <c:pt idx="33">
                  <c:v>126064.77000000003</c:v>
                </c:pt>
                <c:pt idx="34">
                  <c:v>39253.779999999992</c:v>
                </c:pt>
              </c:numCache>
            </c:numRef>
          </c:val>
          <c:extLst>
            <c:ext xmlns:c16="http://schemas.microsoft.com/office/drawing/2014/chart" uri="{C3380CC4-5D6E-409C-BE32-E72D297353CC}">
              <c16:uniqueId val="{00000006-D55A-4AE2-B09F-9849B566754A}"/>
            </c:ext>
          </c:extLst>
        </c:ser>
        <c:ser>
          <c:idx val="7"/>
          <c:order val="7"/>
          <c:tx>
            <c:strRef>
              <c:f>'Sales Rep Tables'!$AG$46</c:f>
              <c:strCache>
                <c:ptCount val="1"/>
                <c:pt idx="0">
                  <c:v>Other</c:v>
                </c:pt>
              </c:strCache>
            </c:strRef>
          </c:tx>
          <c:spPr>
            <a:solidFill>
              <a:schemeClr val="accent2">
                <a:lumMod val="60000"/>
              </a:schemeClr>
            </a:solidFill>
            <a:ln>
              <a:noFill/>
            </a:ln>
            <a:effectLst/>
          </c:spPr>
          <c:invertIfNegative val="0"/>
          <c:cat>
            <c:strRef>
              <c:f>'Sales Rep Tables'!$Y$47:$Y$81</c:f>
              <c:strCache>
                <c:ptCount val="35"/>
                <c:pt idx="0">
                  <c:v>Alyosha Meah</c:v>
                </c:pt>
                <c:pt idx="1">
                  <c:v>Amelina Piscopiello</c:v>
                </c:pt>
                <c:pt idx="2">
                  <c:v>Anita Woakes</c:v>
                </c:pt>
                <c:pt idx="3">
                  <c:v>Aurelie Wren</c:v>
                </c:pt>
                <c:pt idx="4">
                  <c:v>Avrit Chanders</c:v>
                </c:pt>
                <c:pt idx="5">
                  <c:v>Bank Coumbe</c:v>
                </c:pt>
                <c:pt idx="6">
                  <c:v>Bernadine Fullagar</c:v>
                </c:pt>
                <c:pt idx="7">
                  <c:v>Bertha Walbrook</c:v>
                </c:pt>
                <c:pt idx="8">
                  <c:v>Brynn Dempster</c:v>
                </c:pt>
                <c:pt idx="9">
                  <c:v>Bunnie Tonbridge</c:v>
                </c:pt>
                <c:pt idx="10">
                  <c:v>Caro Morfield</c:v>
                </c:pt>
                <c:pt idx="11">
                  <c:v>Case Desorts</c:v>
                </c:pt>
                <c:pt idx="12">
                  <c:v>Casie MacBain</c:v>
                </c:pt>
                <c:pt idx="13">
                  <c:v>Cobby Andersen</c:v>
                </c:pt>
                <c:pt idx="14">
                  <c:v>Collin Mackness</c:v>
                </c:pt>
                <c:pt idx="15">
                  <c:v>Corene Shirer</c:v>
                </c:pt>
                <c:pt idx="16">
                  <c:v>Crysta Halls</c:v>
                </c:pt>
                <c:pt idx="17">
                  <c:v>Genevra Charrisson</c:v>
                </c:pt>
                <c:pt idx="18">
                  <c:v>Hortense Gerring</c:v>
                </c:pt>
                <c:pt idx="19">
                  <c:v>Jay Morefield</c:v>
                </c:pt>
                <c:pt idx="20">
                  <c:v>Jocelyn Laurentino</c:v>
                </c:pt>
                <c:pt idx="21">
                  <c:v>Joshua Prevost</c:v>
                </c:pt>
                <c:pt idx="22">
                  <c:v>Madelon Bront</c:v>
                </c:pt>
                <c:pt idx="23">
                  <c:v>Maighdiln Upcraft</c:v>
                </c:pt>
                <c:pt idx="24">
                  <c:v>Manuel Goudie</c:v>
                </c:pt>
                <c:pt idx="25">
                  <c:v>Mellicent Mattys</c:v>
                </c:pt>
                <c:pt idx="26">
                  <c:v>Nero Harbisher</c:v>
                </c:pt>
                <c:pt idx="27">
                  <c:v>Ora Grennan</c:v>
                </c:pt>
                <c:pt idx="28">
                  <c:v>Palm Wetherald</c:v>
                </c:pt>
                <c:pt idx="29">
                  <c:v>Perri Aldersley</c:v>
                </c:pt>
                <c:pt idx="30">
                  <c:v>Shermy McGready</c:v>
                </c:pt>
                <c:pt idx="31">
                  <c:v>Smitty Culverhouse</c:v>
                </c:pt>
                <c:pt idx="32">
                  <c:v>Tarrah Castelletti</c:v>
                </c:pt>
                <c:pt idx="33">
                  <c:v>Wat Bowkley</c:v>
                </c:pt>
                <c:pt idx="34">
                  <c:v>Winny Agnolo</c:v>
                </c:pt>
              </c:strCache>
            </c:strRef>
          </c:cat>
          <c:val>
            <c:numRef>
              <c:f>'Sales Rep Tables'!$AG$47:$AG$81</c:f>
              <c:numCache>
                <c:formatCode>"£"#,##0.00</c:formatCode>
                <c:ptCount val="35"/>
                <c:pt idx="0">
                  <c:v>40785.12000000001</c:v>
                </c:pt>
                <c:pt idx="1">
                  <c:v>59098.05</c:v>
                </c:pt>
                <c:pt idx="2">
                  <c:v>17295.589999999997</c:v>
                </c:pt>
                <c:pt idx="3">
                  <c:v>20347.399999999994</c:v>
                </c:pt>
                <c:pt idx="4">
                  <c:v>0</c:v>
                </c:pt>
                <c:pt idx="5">
                  <c:v>0</c:v>
                </c:pt>
                <c:pt idx="6">
                  <c:v>0</c:v>
                </c:pt>
                <c:pt idx="7">
                  <c:v>0</c:v>
                </c:pt>
                <c:pt idx="8">
                  <c:v>51020.880000000005</c:v>
                </c:pt>
                <c:pt idx="9">
                  <c:v>6730.8000000000029</c:v>
                </c:pt>
                <c:pt idx="10">
                  <c:v>4332.880000000001</c:v>
                </c:pt>
                <c:pt idx="11">
                  <c:v>0</c:v>
                </c:pt>
                <c:pt idx="12">
                  <c:v>0</c:v>
                </c:pt>
                <c:pt idx="13">
                  <c:v>0</c:v>
                </c:pt>
                <c:pt idx="14">
                  <c:v>0</c:v>
                </c:pt>
                <c:pt idx="15">
                  <c:v>33404.239999999991</c:v>
                </c:pt>
                <c:pt idx="16">
                  <c:v>12380.159999999996</c:v>
                </c:pt>
                <c:pt idx="17">
                  <c:v>0</c:v>
                </c:pt>
                <c:pt idx="18">
                  <c:v>10452.019999999997</c:v>
                </c:pt>
                <c:pt idx="19">
                  <c:v>0</c:v>
                </c:pt>
                <c:pt idx="20">
                  <c:v>0</c:v>
                </c:pt>
                <c:pt idx="21">
                  <c:v>21976.570000000007</c:v>
                </c:pt>
                <c:pt idx="22">
                  <c:v>20699.910000000003</c:v>
                </c:pt>
                <c:pt idx="23">
                  <c:v>21251.499999999985</c:v>
                </c:pt>
                <c:pt idx="24">
                  <c:v>29122.87000000001</c:v>
                </c:pt>
                <c:pt idx="25">
                  <c:v>0</c:v>
                </c:pt>
                <c:pt idx="26">
                  <c:v>0</c:v>
                </c:pt>
                <c:pt idx="27">
                  <c:v>21431.020000000004</c:v>
                </c:pt>
                <c:pt idx="28">
                  <c:v>13347.050000000003</c:v>
                </c:pt>
                <c:pt idx="29">
                  <c:v>5728.4799999999959</c:v>
                </c:pt>
                <c:pt idx="30">
                  <c:v>0</c:v>
                </c:pt>
                <c:pt idx="31">
                  <c:v>6281.6399999999994</c:v>
                </c:pt>
                <c:pt idx="32">
                  <c:v>51918.06</c:v>
                </c:pt>
                <c:pt idx="33">
                  <c:v>19705.75</c:v>
                </c:pt>
                <c:pt idx="34">
                  <c:v>81723.720000000016</c:v>
                </c:pt>
              </c:numCache>
            </c:numRef>
          </c:val>
          <c:extLst>
            <c:ext xmlns:c16="http://schemas.microsoft.com/office/drawing/2014/chart" uri="{C3380CC4-5D6E-409C-BE32-E72D297353CC}">
              <c16:uniqueId val="{00000007-D55A-4AE2-B09F-9849B566754A}"/>
            </c:ext>
          </c:extLst>
        </c:ser>
        <c:ser>
          <c:idx val="8"/>
          <c:order val="8"/>
          <c:tx>
            <c:strRef>
              <c:f>'Sales Rep Tables'!$AH$46</c:f>
              <c:strCache>
                <c:ptCount val="1"/>
                <c:pt idx="0">
                  <c:v>Outdoors</c:v>
                </c:pt>
              </c:strCache>
            </c:strRef>
          </c:tx>
          <c:spPr>
            <a:solidFill>
              <a:schemeClr val="accent3">
                <a:lumMod val="60000"/>
              </a:schemeClr>
            </a:solidFill>
            <a:ln>
              <a:noFill/>
            </a:ln>
            <a:effectLst/>
          </c:spPr>
          <c:invertIfNegative val="0"/>
          <c:cat>
            <c:strRef>
              <c:f>'Sales Rep Tables'!$Y$47:$Y$81</c:f>
              <c:strCache>
                <c:ptCount val="35"/>
                <c:pt idx="0">
                  <c:v>Alyosha Meah</c:v>
                </c:pt>
                <c:pt idx="1">
                  <c:v>Amelina Piscopiello</c:v>
                </c:pt>
                <c:pt idx="2">
                  <c:v>Anita Woakes</c:v>
                </c:pt>
                <c:pt idx="3">
                  <c:v>Aurelie Wren</c:v>
                </c:pt>
                <c:pt idx="4">
                  <c:v>Avrit Chanders</c:v>
                </c:pt>
                <c:pt idx="5">
                  <c:v>Bank Coumbe</c:v>
                </c:pt>
                <c:pt idx="6">
                  <c:v>Bernadine Fullagar</c:v>
                </c:pt>
                <c:pt idx="7">
                  <c:v>Bertha Walbrook</c:v>
                </c:pt>
                <c:pt idx="8">
                  <c:v>Brynn Dempster</c:v>
                </c:pt>
                <c:pt idx="9">
                  <c:v>Bunnie Tonbridge</c:v>
                </c:pt>
                <c:pt idx="10">
                  <c:v>Caro Morfield</c:v>
                </c:pt>
                <c:pt idx="11">
                  <c:v>Case Desorts</c:v>
                </c:pt>
                <c:pt idx="12">
                  <c:v>Casie MacBain</c:v>
                </c:pt>
                <c:pt idx="13">
                  <c:v>Cobby Andersen</c:v>
                </c:pt>
                <c:pt idx="14">
                  <c:v>Collin Mackness</c:v>
                </c:pt>
                <c:pt idx="15">
                  <c:v>Corene Shirer</c:v>
                </c:pt>
                <c:pt idx="16">
                  <c:v>Crysta Halls</c:v>
                </c:pt>
                <c:pt idx="17">
                  <c:v>Genevra Charrisson</c:v>
                </c:pt>
                <c:pt idx="18">
                  <c:v>Hortense Gerring</c:v>
                </c:pt>
                <c:pt idx="19">
                  <c:v>Jay Morefield</c:v>
                </c:pt>
                <c:pt idx="20">
                  <c:v>Jocelyn Laurentino</c:v>
                </c:pt>
                <c:pt idx="21">
                  <c:v>Joshua Prevost</c:v>
                </c:pt>
                <c:pt idx="22">
                  <c:v>Madelon Bront</c:v>
                </c:pt>
                <c:pt idx="23">
                  <c:v>Maighdiln Upcraft</c:v>
                </c:pt>
                <c:pt idx="24">
                  <c:v>Manuel Goudie</c:v>
                </c:pt>
                <c:pt idx="25">
                  <c:v>Mellicent Mattys</c:v>
                </c:pt>
                <c:pt idx="26">
                  <c:v>Nero Harbisher</c:v>
                </c:pt>
                <c:pt idx="27">
                  <c:v>Ora Grennan</c:v>
                </c:pt>
                <c:pt idx="28">
                  <c:v>Palm Wetherald</c:v>
                </c:pt>
                <c:pt idx="29">
                  <c:v>Perri Aldersley</c:v>
                </c:pt>
                <c:pt idx="30">
                  <c:v>Shermy McGready</c:v>
                </c:pt>
                <c:pt idx="31">
                  <c:v>Smitty Culverhouse</c:v>
                </c:pt>
                <c:pt idx="32">
                  <c:v>Tarrah Castelletti</c:v>
                </c:pt>
                <c:pt idx="33">
                  <c:v>Wat Bowkley</c:v>
                </c:pt>
                <c:pt idx="34">
                  <c:v>Winny Agnolo</c:v>
                </c:pt>
              </c:strCache>
            </c:strRef>
          </c:cat>
          <c:val>
            <c:numRef>
              <c:f>'Sales Rep Tables'!$AH$47:$AH$81</c:f>
              <c:numCache>
                <c:formatCode>"£"#,##0.00</c:formatCode>
                <c:ptCount val="35"/>
                <c:pt idx="0">
                  <c:v>32964.47</c:v>
                </c:pt>
                <c:pt idx="1">
                  <c:v>53743.839999999982</c:v>
                </c:pt>
                <c:pt idx="2">
                  <c:v>0</c:v>
                </c:pt>
                <c:pt idx="3">
                  <c:v>88816.26</c:v>
                </c:pt>
                <c:pt idx="4">
                  <c:v>31131.030000000006</c:v>
                </c:pt>
                <c:pt idx="5">
                  <c:v>0</c:v>
                </c:pt>
                <c:pt idx="6">
                  <c:v>0</c:v>
                </c:pt>
                <c:pt idx="7">
                  <c:v>14309.840000000004</c:v>
                </c:pt>
                <c:pt idx="8">
                  <c:v>41502.640000000014</c:v>
                </c:pt>
                <c:pt idx="9">
                  <c:v>40578.44</c:v>
                </c:pt>
                <c:pt idx="10">
                  <c:v>21278.949999999997</c:v>
                </c:pt>
                <c:pt idx="11">
                  <c:v>0</c:v>
                </c:pt>
                <c:pt idx="12">
                  <c:v>9534.9799999999959</c:v>
                </c:pt>
                <c:pt idx="13">
                  <c:v>0</c:v>
                </c:pt>
                <c:pt idx="14">
                  <c:v>0</c:v>
                </c:pt>
                <c:pt idx="15">
                  <c:v>40238.979999999996</c:v>
                </c:pt>
                <c:pt idx="16">
                  <c:v>44275.12999999999</c:v>
                </c:pt>
                <c:pt idx="17">
                  <c:v>96982.680000000008</c:v>
                </c:pt>
                <c:pt idx="18">
                  <c:v>21108.440000000002</c:v>
                </c:pt>
                <c:pt idx="19">
                  <c:v>34282.129999999976</c:v>
                </c:pt>
                <c:pt idx="20">
                  <c:v>62496.12999999999</c:v>
                </c:pt>
                <c:pt idx="21">
                  <c:v>0</c:v>
                </c:pt>
                <c:pt idx="22">
                  <c:v>71735.720000000016</c:v>
                </c:pt>
                <c:pt idx="23">
                  <c:v>26745.73000000001</c:v>
                </c:pt>
                <c:pt idx="24">
                  <c:v>0</c:v>
                </c:pt>
                <c:pt idx="25">
                  <c:v>34747.609999999986</c:v>
                </c:pt>
                <c:pt idx="26">
                  <c:v>47067.049999999988</c:v>
                </c:pt>
                <c:pt idx="27">
                  <c:v>0</c:v>
                </c:pt>
                <c:pt idx="28">
                  <c:v>0</c:v>
                </c:pt>
                <c:pt idx="29">
                  <c:v>0</c:v>
                </c:pt>
                <c:pt idx="30">
                  <c:v>32902.580000000016</c:v>
                </c:pt>
                <c:pt idx="31">
                  <c:v>75194.66</c:v>
                </c:pt>
                <c:pt idx="32">
                  <c:v>21944.839999999997</c:v>
                </c:pt>
                <c:pt idx="33">
                  <c:v>11170.169999999998</c:v>
                </c:pt>
                <c:pt idx="34">
                  <c:v>102010.21</c:v>
                </c:pt>
              </c:numCache>
            </c:numRef>
          </c:val>
          <c:extLst>
            <c:ext xmlns:c16="http://schemas.microsoft.com/office/drawing/2014/chart" uri="{C3380CC4-5D6E-409C-BE32-E72D297353CC}">
              <c16:uniqueId val="{00000008-D55A-4AE2-B09F-9849B566754A}"/>
            </c:ext>
          </c:extLst>
        </c:ser>
        <c:ser>
          <c:idx val="9"/>
          <c:order val="9"/>
          <c:tx>
            <c:strRef>
              <c:f>'Sales Rep Tables'!$AI$46</c:f>
              <c:strCache>
                <c:ptCount val="1"/>
                <c:pt idx="0">
                  <c:v>Smartphones</c:v>
                </c:pt>
              </c:strCache>
            </c:strRef>
          </c:tx>
          <c:spPr>
            <a:solidFill>
              <a:schemeClr val="accent4">
                <a:lumMod val="60000"/>
              </a:schemeClr>
            </a:solidFill>
            <a:ln>
              <a:noFill/>
            </a:ln>
            <a:effectLst/>
          </c:spPr>
          <c:invertIfNegative val="0"/>
          <c:cat>
            <c:strRef>
              <c:f>'Sales Rep Tables'!$Y$47:$Y$81</c:f>
              <c:strCache>
                <c:ptCount val="35"/>
                <c:pt idx="0">
                  <c:v>Alyosha Meah</c:v>
                </c:pt>
                <c:pt idx="1">
                  <c:v>Amelina Piscopiello</c:v>
                </c:pt>
                <c:pt idx="2">
                  <c:v>Anita Woakes</c:v>
                </c:pt>
                <c:pt idx="3">
                  <c:v>Aurelie Wren</c:v>
                </c:pt>
                <c:pt idx="4">
                  <c:v>Avrit Chanders</c:v>
                </c:pt>
                <c:pt idx="5">
                  <c:v>Bank Coumbe</c:v>
                </c:pt>
                <c:pt idx="6">
                  <c:v>Bernadine Fullagar</c:v>
                </c:pt>
                <c:pt idx="7">
                  <c:v>Bertha Walbrook</c:v>
                </c:pt>
                <c:pt idx="8">
                  <c:v>Brynn Dempster</c:v>
                </c:pt>
                <c:pt idx="9">
                  <c:v>Bunnie Tonbridge</c:v>
                </c:pt>
                <c:pt idx="10">
                  <c:v>Caro Morfield</c:v>
                </c:pt>
                <c:pt idx="11">
                  <c:v>Case Desorts</c:v>
                </c:pt>
                <c:pt idx="12">
                  <c:v>Casie MacBain</c:v>
                </c:pt>
                <c:pt idx="13">
                  <c:v>Cobby Andersen</c:v>
                </c:pt>
                <c:pt idx="14">
                  <c:v>Collin Mackness</c:v>
                </c:pt>
                <c:pt idx="15">
                  <c:v>Corene Shirer</c:v>
                </c:pt>
                <c:pt idx="16">
                  <c:v>Crysta Halls</c:v>
                </c:pt>
                <c:pt idx="17">
                  <c:v>Genevra Charrisson</c:v>
                </c:pt>
                <c:pt idx="18">
                  <c:v>Hortense Gerring</c:v>
                </c:pt>
                <c:pt idx="19">
                  <c:v>Jay Morefield</c:v>
                </c:pt>
                <c:pt idx="20">
                  <c:v>Jocelyn Laurentino</c:v>
                </c:pt>
                <c:pt idx="21">
                  <c:v>Joshua Prevost</c:v>
                </c:pt>
                <c:pt idx="22">
                  <c:v>Madelon Bront</c:v>
                </c:pt>
                <c:pt idx="23">
                  <c:v>Maighdiln Upcraft</c:v>
                </c:pt>
                <c:pt idx="24">
                  <c:v>Manuel Goudie</c:v>
                </c:pt>
                <c:pt idx="25">
                  <c:v>Mellicent Mattys</c:v>
                </c:pt>
                <c:pt idx="26">
                  <c:v>Nero Harbisher</c:v>
                </c:pt>
                <c:pt idx="27">
                  <c:v>Ora Grennan</c:v>
                </c:pt>
                <c:pt idx="28">
                  <c:v>Palm Wetherald</c:v>
                </c:pt>
                <c:pt idx="29">
                  <c:v>Perri Aldersley</c:v>
                </c:pt>
                <c:pt idx="30">
                  <c:v>Shermy McGready</c:v>
                </c:pt>
                <c:pt idx="31">
                  <c:v>Smitty Culverhouse</c:v>
                </c:pt>
                <c:pt idx="32">
                  <c:v>Tarrah Castelletti</c:v>
                </c:pt>
                <c:pt idx="33">
                  <c:v>Wat Bowkley</c:v>
                </c:pt>
                <c:pt idx="34">
                  <c:v>Winny Agnolo</c:v>
                </c:pt>
              </c:strCache>
            </c:strRef>
          </c:cat>
          <c:val>
            <c:numRef>
              <c:f>'Sales Rep Tables'!$AI$47:$AI$81</c:f>
              <c:numCache>
                <c:formatCode>"£"#,##0.00</c:formatCode>
                <c:ptCount val="35"/>
                <c:pt idx="0">
                  <c:v>132838.36999999997</c:v>
                </c:pt>
                <c:pt idx="1">
                  <c:v>122154.78000000003</c:v>
                </c:pt>
                <c:pt idx="2">
                  <c:v>83205.159999999974</c:v>
                </c:pt>
                <c:pt idx="3">
                  <c:v>69878.01999999999</c:v>
                </c:pt>
                <c:pt idx="4">
                  <c:v>145055.85999999993</c:v>
                </c:pt>
                <c:pt idx="5">
                  <c:v>0</c:v>
                </c:pt>
                <c:pt idx="6">
                  <c:v>21728.679999999993</c:v>
                </c:pt>
                <c:pt idx="7">
                  <c:v>0</c:v>
                </c:pt>
                <c:pt idx="8">
                  <c:v>55658.140000000007</c:v>
                </c:pt>
                <c:pt idx="9">
                  <c:v>49324.249999999985</c:v>
                </c:pt>
                <c:pt idx="10">
                  <c:v>62321.720000000016</c:v>
                </c:pt>
                <c:pt idx="11">
                  <c:v>41534.209999999992</c:v>
                </c:pt>
                <c:pt idx="12">
                  <c:v>15437.709999999992</c:v>
                </c:pt>
                <c:pt idx="13">
                  <c:v>0</c:v>
                </c:pt>
                <c:pt idx="14">
                  <c:v>19846.619999999995</c:v>
                </c:pt>
                <c:pt idx="15">
                  <c:v>131103.13999999998</c:v>
                </c:pt>
                <c:pt idx="16">
                  <c:v>107692.28999999998</c:v>
                </c:pt>
                <c:pt idx="17">
                  <c:v>93337.979999999952</c:v>
                </c:pt>
                <c:pt idx="18">
                  <c:v>93877.989999999976</c:v>
                </c:pt>
                <c:pt idx="19">
                  <c:v>24281.030000000002</c:v>
                </c:pt>
                <c:pt idx="20">
                  <c:v>53410.05000000001</c:v>
                </c:pt>
                <c:pt idx="21">
                  <c:v>22309.940000000002</c:v>
                </c:pt>
                <c:pt idx="22">
                  <c:v>20167.899999999994</c:v>
                </c:pt>
                <c:pt idx="23">
                  <c:v>12127.560000000001</c:v>
                </c:pt>
                <c:pt idx="24">
                  <c:v>0</c:v>
                </c:pt>
                <c:pt idx="25">
                  <c:v>0</c:v>
                </c:pt>
                <c:pt idx="26">
                  <c:v>61594.45</c:v>
                </c:pt>
                <c:pt idx="27">
                  <c:v>114790.50000000001</c:v>
                </c:pt>
                <c:pt idx="28">
                  <c:v>55643.429999999986</c:v>
                </c:pt>
                <c:pt idx="29">
                  <c:v>26620.639999999999</c:v>
                </c:pt>
                <c:pt idx="30">
                  <c:v>35128.479999999989</c:v>
                </c:pt>
                <c:pt idx="31">
                  <c:v>67685.460000000006</c:v>
                </c:pt>
                <c:pt idx="32">
                  <c:v>35983.919999999998</c:v>
                </c:pt>
                <c:pt idx="33">
                  <c:v>0</c:v>
                </c:pt>
                <c:pt idx="34">
                  <c:v>45909.380000000019</c:v>
                </c:pt>
              </c:numCache>
            </c:numRef>
          </c:val>
          <c:extLst>
            <c:ext xmlns:c16="http://schemas.microsoft.com/office/drawing/2014/chart" uri="{C3380CC4-5D6E-409C-BE32-E72D297353CC}">
              <c16:uniqueId val="{00000009-D55A-4AE2-B09F-9849B566754A}"/>
            </c:ext>
          </c:extLst>
        </c:ser>
        <c:dLbls>
          <c:showLegendKey val="0"/>
          <c:showVal val="0"/>
          <c:showCatName val="0"/>
          <c:showSerName val="0"/>
          <c:showPercent val="0"/>
          <c:showBubbleSize val="0"/>
        </c:dLbls>
        <c:gapWidth val="150"/>
        <c:overlap val="100"/>
        <c:axId val="385727071"/>
        <c:axId val="634971727"/>
      </c:barChart>
      <c:catAx>
        <c:axId val="38572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971727"/>
        <c:crosses val="autoZero"/>
        <c:auto val="1"/>
        <c:lblAlgn val="ctr"/>
        <c:lblOffset val="100"/>
        <c:noMultiLvlLbl val="0"/>
      </c:catAx>
      <c:valAx>
        <c:axId val="6349717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27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vs Average Profit</a:t>
            </a:r>
            <a:r>
              <a:rPr lang="en-GB" baseline="0"/>
              <a:t> per Sale with the 'outlier' removed</a:t>
            </a:r>
          </a:p>
        </c:rich>
      </c:tx>
      <c:layout>
        <c:manualLayout>
          <c:xMode val="edge"/>
          <c:yMode val="edge"/>
          <c:x val="0.28405403648585242"/>
          <c:y val="3.71307874325765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3.1523536174970585E-4"/>
                  <c:y val="0.2252491300094616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'Sales Rep Tables'!$AC$3:$AC$36</c:f>
              <c:numCache>
                <c:formatCode>General</c:formatCode>
                <c:ptCount val="34"/>
                <c:pt idx="0">
                  <c:v>40</c:v>
                </c:pt>
                <c:pt idx="1">
                  <c:v>56</c:v>
                </c:pt>
                <c:pt idx="2">
                  <c:v>36</c:v>
                </c:pt>
                <c:pt idx="3">
                  <c:v>52</c:v>
                </c:pt>
                <c:pt idx="4">
                  <c:v>43</c:v>
                </c:pt>
                <c:pt idx="5">
                  <c:v>2</c:v>
                </c:pt>
                <c:pt idx="6">
                  <c:v>15</c:v>
                </c:pt>
                <c:pt idx="7">
                  <c:v>9</c:v>
                </c:pt>
                <c:pt idx="8">
                  <c:v>41</c:v>
                </c:pt>
                <c:pt idx="9">
                  <c:v>23</c:v>
                </c:pt>
                <c:pt idx="10">
                  <c:v>29</c:v>
                </c:pt>
                <c:pt idx="11">
                  <c:v>6</c:v>
                </c:pt>
                <c:pt idx="12">
                  <c:v>24</c:v>
                </c:pt>
                <c:pt idx="13">
                  <c:v>6</c:v>
                </c:pt>
                <c:pt idx="14">
                  <c:v>53</c:v>
                </c:pt>
                <c:pt idx="15">
                  <c:v>47</c:v>
                </c:pt>
                <c:pt idx="16">
                  <c:v>37</c:v>
                </c:pt>
                <c:pt idx="17">
                  <c:v>52</c:v>
                </c:pt>
                <c:pt idx="18">
                  <c:v>26</c:v>
                </c:pt>
                <c:pt idx="19">
                  <c:v>22</c:v>
                </c:pt>
                <c:pt idx="20">
                  <c:v>10</c:v>
                </c:pt>
                <c:pt idx="21">
                  <c:v>39</c:v>
                </c:pt>
                <c:pt idx="22">
                  <c:v>36</c:v>
                </c:pt>
                <c:pt idx="23">
                  <c:v>5</c:v>
                </c:pt>
                <c:pt idx="24">
                  <c:v>21</c:v>
                </c:pt>
                <c:pt idx="25">
                  <c:v>28</c:v>
                </c:pt>
                <c:pt idx="26">
                  <c:v>50</c:v>
                </c:pt>
                <c:pt idx="27">
                  <c:v>20</c:v>
                </c:pt>
                <c:pt idx="28">
                  <c:v>12</c:v>
                </c:pt>
                <c:pt idx="29">
                  <c:v>15</c:v>
                </c:pt>
                <c:pt idx="30">
                  <c:v>41</c:v>
                </c:pt>
                <c:pt idx="31">
                  <c:v>38</c:v>
                </c:pt>
                <c:pt idx="32">
                  <c:v>23</c:v>
                </c:pt>
                <c:pt idx="33">
                  <c:v>38</c:v>
                </c:pt>
              </c:numCache>
            </c:numRef>
          </c:xVal>
          <c:yVal>
            <c:numRef>
              <c:f>'Sales Rep Tables'!$AD$3:$AD$36</c:f>
              <c:numCache>
                <c:formatCode>"£"#,##0.00_);\("£"#,##0.00\)</c:formatCode>
                <c:ptCount val="34"/>
                <c:pt idx="0">
                  <c:v>18553.631750000011</c:v>
                </c:pt>
                <c:pt idx="1">
                  <c:v>19614.37750000001</c:v>
                </c:pt>
                <c:pt idx="2">
                  <c:v>17251.022500000003</c:v>
                </c:pt>
                <c:pt idx="3">
                  <c:v>18242.499038461541</c:v>
                </c:pt>
                <c:pt idx="4">
                  <c:v>18656.654883720923</c:v>
                </c:pt>
                <c:pt idx="5">
                  <c:v>17859.190000000002</c:v>
                </c:pt>
                <c:pt idx="6">
                  <c:v>22229.617333333335</c:v>
                </c:pt>
                <c:pt idx="7">
                  <c:v>19239.036666666649</c:v>
                </c:pt>
                <c:pt idx="8">
                  <c:v>19592.63219512194</c:v>
                </c:pt>
                <c:pt idx="9">
                  <c:v>20529.510869565216</c:v>
                </c:pt>
                <c:pt idx="10">
                  <c:v>16436.133793103443</c:v>
                </c:pt>
                <c:pt idx="11">
                  <c:v>13931.776666666663</c:v>
                </c:pt>
                <c:pt idx="12">
                  <c:v>19414.931249999983</c:v>
                </c:pt>
                <c:pt idx="13">
                  <c:v>15738.879999999996</c:v>
                </c:pt>
                <c:pt idx="14">
                  <c:v>22405.310000000012</c:v>
                </c:pt>
                <c:pt idx="15">
                  <c:v>17871.527659574465</c:v>
                </c:pt>
                <c:pt idx="16">
                  <c:v>19501.181351351337</c:v>
                </c:pt>
                <c:pt idx="17">
                  <c:v>19603.876153846148</c:v>
                </c:pt>
                <c:pt idx="18">
                  <c:v>19592.158846153859</c:v>
                </c:pt>
                <c:pt idx="19">
                  <c:v>21934.839090909089</c:v>
                </c:pt>
                <c:pt idx="20">
                  <c:v>15545.863000000001</c:v>
                </c:pt>
                <c:pt idx="21">
                  <c:v>17026.669743589748</c:v>
                </c:pt>
                <c:pt idx="22">
                  <c:v>19774.340000000007</c:v>
                </c:pt>
                <c:pt idx="23">
                  <c:v>15524.046000000008</c:v>
                </c:pt>
                <c:pt idx="24">
                  <c:v>21113.243809523814</c:v>
                </c:pt>
                <c:pt idx="25">
                  <c:v>18770.217499999995</c:v>
                </c:pt>
                <c:pt idx="26">
                  <c:v>17650.504600000007</c:v>
                </c:pt>
                <c:pt idx="27">
                  <c:v>17856.661999999989</c:v>
                </c:pt>
                <c:pt idx="28">
                  <c:v>13659.871666666664</c:v>
                </c:pt>
                <c:pt idx="29">
                  <c:v>18130.590666666674</c:v>
                </c:pt>
                <c:pt idx="30">
                  <c:v>17349.187804878042</c:v>
                </c:pt>
                <c:pt idx="31">
                  <c:v>20780.183421052625</c:v>
                </c:pt>
                <c:pt idx="32">
                  <c:v>19822.040869565215</c:v>
                </c:pt>
                <c:pt idx="33">
                  <c:v>21608.279473684201</c:v>
                </c:pt>
              </c:numCache>
            </c:numRef>
          </c:yVal>
          <c:smooth val="0"/>
          <c:extLst>
            <c:ext xmlns:c16="http://schemas.microsoft.com/office/drawing/2014/chart" uri="{C3380CC4-5D6E-409C-BE32-E72D297353CC}">
              <c16:uniqueId val="{00000003-1D62-44A4-95F5-76E8C7A8DED2}"/>
            </c:ext>
          </c:extLst>
        </c:ser>
        <c:dLbls>
          <c:showLegendKey val="0"/>
          <c:showVal val="0"/>
          <c:showCatName val="0"/>
          <c:showSerName val="0"/>
          <c:showPercent val="0"/>
          <c:showBubbleSize val="0"/>
        </c:dLbls>
        <c:axId val="30042656"/>
        <c:axId val="2031978031"/>
      </c:scatterChart>
      <c:valAx>
        <c:axId val="30042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78031"/>
        <c:crosses val="autoZero"/>
        <c:crossBetween val="midCat"/>
      </c:valAx>
      <c:valAx>
        <c:axId val="2031978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426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Monthly Orders vs Profit – Jan 2019 to Dec 2020</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barChart>
        <c:barDir val="col"/>
        <c:grouping val="clustered"/>
        <c:varyColors val="0"/>
        <c:ser>
          <c:idx val="0"/>
          <c:order val="0"/>
          <c:tx>
            <c:v>Orders</c:v>
          </c:tx>
          <c:spPr>
            <a:solidFill>
              <a:srgbClr val="8EA9DB"/>
            </a:solidFill>
            <a:ln>
              <a:noFill/>
            </a:ln>
            <a:effectLst/>
          </c:spPr>
          <c:invertIfNegative val="0"/>
          <c:cat>
            <c:strRef>
              <c:f>'AI Dash'!$B$61:$B$84</c:f>
              <c:strCache>
                <c:ptCount val="24"/>
                <c:pt idx="0">
                  <c:v>Jan 19</c:v>
                </c:pt>
                <c:pt idx="1">
                  <c:v>Feb 19</c:v>
                </c:pt>
                <c:pt idx="2">
                  <c:v>Mar 19</c:v>
                </c:pt>
                <c:pt idx="3">
                  <c:v>Apr 19</c:v>
                </c:pt>
                <c:pt idx="4">
                  <c:v>May 19</c:v>
                </c:pt>
                <c:pt idx="5">
                  <c:v>Jun 19</c:v>
                </c:pt>
                <c:pt idx="6">
                  <c:v>Jul 19</c:v>
                </c:pt>
                <c:pt idx="7">
                  <c:v>Aug 19</c:v>
                </c:pt>
                <c:pt idx="8">
                  <c:v>Sep 19</c:v>
                </c:pt>
                <c:pt idx="9">
                  <c:v>Oct 19</c:v>
                </c:pt>
                <c:pt idx="10">
                  <c:v>Nov 19</c:v>
                </c:pt>
                <c:pt idx="11">
                  <c:v>Dec 19</c:v>
                </c:pt>
                <c:pt idx="12">
                  <c:v>Jan 20</c:v>
                </c:pt>
                <c:pt idx="13">
                  <c:v>Feb 20</c:v>
                </c:pt>
                <c:pt idx="14">
                  <c:v>Mar 20</c:v>
                </c:pt>
                <c:pt idx="15">
                  <c:v>Apr 20</c:v>
                </c:pt>
                <c:pt idx="16">
                  <c:v>May 20</c:v>
                </c:pt>
                <c:pt idx="17">
                  <c:v>Jun 20</c:v>
                </c:pt>
                <c:pt idx="18">
                  <c:v>Jul 20</c:v>
                </c:pt>
                <c:pt idx="19">
                  <c:v>Aug 20</c:v>
                </c:pt>
                <c:pt idx="20">
                  <c:v>Sep 20</c:v>
                </c:pt>
                <c:pt idx="21">
                  <c:v>Oct 20</c:v>
                </c:pt>
                <c:pt idx="22">
                  <c:v>Nov 20</c:v>
                </c:pt>
                <c:pt idx="23">
                  <c:v>Dec 20</c:v>
                </c:pt>
              </c:strCache>
            </c:strRef>
          </c:cat>
          <c:val>
            <c:numRef>
              <c:f>'AI Dash'!$E$61:$E$84</c:f>
              <c:numCache>
                <c:formatCode>#,##0</c:formatCode>
                <c:ptCount val="24"/>
                <c:pt idx="0">
                  <c:v>44</c:v>
                </c:pt>
                <c:pt idx="1">
                  <c:v>44</c:v>
                </c:pt>
                <c:pt idx="2">
                  <c:v>41</c:v>
                </c:pt>
                <c:pt idx="3">
                  <c:v>36</c:v>
                </c:pt>
                <c:pt idx="4">
                  <c:v>38</c:v>
                </c:pt>
                <c:pt idx="5">
                  <c:v>47</c:v>
                </c:pt>
                <c:pt idx="6">
                  <c:v>40</c:v>
                </c:pt>
                <c:pt idx="7">
                  <c:v>31</c:v>
                </c:pt>
                <c:pt idx="8">
                  <c:v>49</c:v>
                </c:pt>
                <c:pt idx="9">
                  <c:v>43</c:v>
                </c:pt>
                <c:pt idx="10">
                  <c:v>33</c:v>
                </c:pt>
                <c:pt idx="11">
                  <c:v>44</c:v>
                </c:pt>
                <c:pt idx="12">
                  <c:v>51</c:v>
                </c:pt>
                <c:pt idx="13">
                  <c:v>28</c:v>
                </c:pt>
                <c:pt idx="14">
                  <c:v>52</c:v>
                </c:pt>
                <c:pt idx="15">
                  <c:v>38</c:v>
                </c:pt>
                <c:pt idx="16">
                  <c:v>55</c:v>
                </c:pt>
                <c:pt idx="17">
                  <c:v>43</c:v>
                </c:pt>
                <c:pt idx="18">
                  <c:v>36</c:v>
                </c:pt>
                <c:pt idx="19">
                  <c:v>45</c:v>
                </c:pt>
                <c:pt idx="20">
                  <c:v>34</c:v>
                </c:pt>
                <c:pt idx="21">
                  <c:v>50</c:v>
                </c:pt>
                <c:pt idx="22">
                  <c:v>45</c:v>
                </c:pt>
                <c:pt idx="23">
                  <c:v>33</c:v>
                </c:pt>
              </c:numCache>
            </c:numRef>
          </c:val>
          <c:extLst>
            <c:ext xmlns:c16="http://schemas.microsoft.com/office/drawing/2014/chart" uri="{C3380CC4-5D6E-409C-BE32-E72D297353CC}">
              <c16:uniqueId val="{00000000-6D7C-4459-B8E4-526D318A40EF}"/>
            </c:ext>
          </c:extLst>
        </c:ser>
        <c:dLbls>
          <c:showLegendKey val="0"/>
          <c:showVal val="0"/>
          <c:showCatName val="0"/>
          <c:showSerName val="0"/>
          <c:showPercent val="0"/>
          <c:showBubbleSize val="0"/>
        </c:dLbls>
        <c:gapWidth val="60"/>
        <c:overlap val="-27"/>
        <c:axId val="2027684799"/>
        <c:axId val="1795880623"/>
      </c:barChart>
      <c:lineChart>
        <c:grouping val="standard"/>
        <c:varyColors val="0"/>
        <c:ser>
          <c:idx val="1"/>
          <c:order val="1"/>
          <c:tx>
            <c:v>Profit (£)</c:v>
          </c:tx>
          <c:spPr>
            <a:ln w="31750" cap="rnd">
              <a:solidFill>
                <a:srgbClr val="C00000"/>
              </a:solidFill>
              <a:prstDash val="solid"/>
              <a:round/>
            </a:ln>
            <a:effectLst/>
          </c:spPr>
          <c:marker>
            <c:symbol val="none"/>
          </c:marker>
          <c:cat>
            <c:strRef>
              <c:f>'AI Dash'!$B$61:$B$84</c:f>
              <c:strCache>
                <c:ptCount val="24"/>
                <c:pt idx="0">
                  <c:v>Jan 19</c:v>
                </c:pt>
                <c:pt idx="1">
                  <c:v>Feb 19</c:v>
                </c:pt>
                <c:pt idx="2">
                  <c:v>Mar 19</c:v>
                </c:pt>
                <c:pt idx="3">
                  <c:v>Apr 19</c:v>
                </c:pt>
                <c:pt idx="4">
                  <c:v>May 19</c:v>
                </c:pt>
                <c:pt idx="5">
                  <c:v>Jun 19</c:v>
                </c:pt>
                <c:pt idx="6">
                  <c:v>Jul 19</c:v>
                </c:pt>
                <c:pt idx="7">
                  <c:v>Aug 19</c:v>
                </c:pt>
                <c:pt idx="8">
                  <c:v>Sep 19</c:v>
                </c:pt>
                <c:pt idx="9">
                  <c:v>Oct 19</c:v>
                </c:pt>
                <c:pt idx="10">
                  <c:v>Nov 19</c:v>
                </c:pt>
                <c:pt idx="11">
                  <c:v>Dec 19</c:v>
                </c:pt>
                <c:pt idx="12">
                  <c:v>Jan 20</c:v>
                </c:pt>
                <c:pt idx="13">
                  <c:v>Feb 20</c:v>
                </c:pt>
                <c:pt idx="14">
                  <c:v>Mar 20</c:v>
                </c:pt>
                <c:pt idx="15">
                  <c:v>Apr 20</c:v>
                </c:pt>
                <c:pt idx="16">
                  <c:v>May 20</c:v>
                </c:pt>
                <c:pt idx="17">
                  <c:v>Jun 20</c:v>
                </c:pt>
                <c:pt idx="18">
                  <c:v>Jul 20</c:v>
                </c:pt>
                <c:pt idx="19">
                  <c:v>Aug 20</c:v>
                </c:pt>
                <c:pt idx="20">
                  <c:v>Sep 20</c:v>
                </c:pt>
                <c:pt idx="21">
                  <c:v>Oct 20</c:v>
                </c:pt>
                <c:pt idx="22">
                  <c:v>Nov 20</c:v>
                </c:pt>
                <c:pt idx="23">
                  <c:v>Dec 20</c:v>
                </c:pt>
              </c:strCache>
            </c:strRef>
          </c:cat>
          <c:val>
            <c:numRef>
              <c:f>'AI Dash'!$G$61:$G$84</c:f>
              <c:numCache>
                <c:formatCode>\£#,##0;\(\£#,##0\);\-</c:formatCode>
                <c:ptCount val="24"/>
                <c:pt idx="0">
                  <c:v>724231.31000000017</c:v>
                </c:pt>
                <c:pt idx="1">
                  <c:v>493204.89999999997</c:v>
                </c:pt>
                <c:pt idx="2">
                  <c:v>429420.62000000011</c:v>
                </c:pt>
                <c:pt idx="3">
                  <c:v>692753.62000000011</c:v>
                </c:pt>
                <c:pt idx="4">
                  <c:v>648258.29999999993</c:v>
                </c:pt>
                <c:pt idx="5">
                  <c:v>1305278.3700000003</c:v>
                </c:pt>
                <c:pt idx="6">
                  <c:v>1084227.4100000001</c:v>
                </c:pt>
                <c:pt idx="7">
                  <c:v>580316.11999999976</c:v>
                </c:pt>
                <c:pt idx="8">
                  <c:v>788191.58000000007</c:v>
                </c:pt>
                <c:pt idx="9">
                  <c:v>744434.48</c:v>
                </c:pt>
                <c:pt idx="10">
                  <c:v>482287.62000000011</c:v>
                </c:pt>
                <c:pt idx="11">
                  <c:v>1514673.56</c:v>
                </c:pt>
                <c:pt idx="12">
                  <c:v>924639.02</c:v>
                </c:pt>
                <c:pt idx="13">
                  <c:v>315750.50999999995</c:v>
                </c:pt>
                <c:pt idx="14">
                  <c:v>596343.76999999979</c:v>
                </c:pt>
                <c:pt idx="15">
                  <c:v>696219.45999999985</c:v>
                </c:pt>
                <c:pt idx="16">
                  <c:v>914851.65000000026</c:v>
                </c:pt>
                <c:pt idx="17">
                  <c:v>1187044.47</c:v>
                </c:pt>
                <c:pt idx="18">
                  <c:v>839989.3899999999</c:v>
                </c:pt>
                <c:pt idx="19">
                  <c:v>768976.3600000001</c:v>
                </c:pt>
                <c:pt idx="20">
                  <c:v>663167.65</c:v>
                </c:pt>
                <c:pt idx="21">
                  <c:v>839700.96000000008</c:v>
                </c:pt>
                <c:pt idx="22">
                  <c:v>787670.37000000011</c:v>
                </c:pt>
                <c:pt idx="23">
                  <c:v>970796.21999999974</c:v>
                </c:pt>
              </c:numCache>
            </c:numRef>
          </c:val>
          <c:smooth val="0"/>
          <c:extLst>
            <c:ext xmlns:c16="http://schemas.microsoft.com/office/drawing/2014/chart" uri="{C3380CC4-5D6E-409C-BE32-E72D297353CC}">
              <c16:uniqueId val="{00000001-6D7C-4459-B8E4-526D318A40EF}"/>
            </c:ext>
          </c:extLst>
        </c:ser>
        <c:dLbls>
          <c:showLegendKey val="0"/>
          <c:showVal val="0"/>
          <c:showCatName val="0"/>
          <c:showSerName val="0"/>
          <c:showPercent val="0"/>
          <c:showBubbleSize val="0"/>
        </c:dLbls>
        <c:marker val="1"/>
        <c:smooth val="0"/>
        <c:axId val="20483680"/>
        <c:axId val="1795842703"/>
      </c:lineChart>
      <c:catAx>
        <c:axId val="202768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880623"/>
        <c:crosses val="autoZero"/>
        <c:auto val="1"/>
        <c:lblAlgn val="ctr"/>
        <c:lblOffset val="100"/>
        <c:noMultiLvlLbl val="0"/>
      </c:catAx>
      <c:valAx>
        <c:axId val="1795880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684799"/>
        <c:crosses val="autoZero"/>
        <c:crossBetween val="between"/>
      </c:valAx>
      <c:valAx>
        <c:axId val="179584270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3680"/>
        <c:crosses val="max"/>
        <c:crossBetween val="between"/>
      </c:valAx>
      <c:catAx>
        <c:axId val="20483680"/>
        <c:scaling>
          <c:orientation val="minMax"/>
        </c:scaling>
        <c:delete val="1"/>
        <c:axPos val="b"/>
        <c:numFmt formatCode="General" sourceLinked="1"/>
        <c:majorTickMark val="out"/>
        <c:minorTickMark val="none"/>
        <c:tickLblPos val="nextTo"/>
        <c:crossAx val="17958427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More Orders ≠ More Profit: Orders vs Profit per Month (weak link)</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scatterChart>
        <c:scatterStyle val="lineMarker"/>
        <c:varyColors val="0"/>
        <c:ser>
          <c:idx val="0"/>
          <c:order val="0"/>
          <c:tx>
            <c:v>Months</c:v>
          </c:tx>
          <c:spPr>
            <a:ln w="25400" cap="rnd">
              <a:noFill/>
              <a:round/>
            </a:ln>
            <a:effectLst/>
          </c:spPr>
          <c:marker>
            <c:symbol val="circle"/>
            <c:size val="7"/>
            <c:spPr>
              <a:solidFill>
                <a:srgbClr val="2F75B5"/>
              </a:solidFill>
              <a:ln w="9525">
                <a:solidFill>
                  <a:srgbClr val="2F75B5"/>
                </a:solidFill>
                <a:prstDash val="solid"/>
              </a:ln>
              <a:effectLst/>
            </c:spPr>
          </c:marker>
          <c:trendline>
            <c:spPr>
              <a:ln w="19050" cap="rnd">
                <a:solidFill>
                  <a:schemeClr val="accent1"/>
                </a:solidFill>
                <a:prstDash val="sysDot"/>
              </a:ln>
              <a:effectLst/>
            </c:spPr>
            <c:trendlineType val="linear"/>
            <c:dispRSqr val="0"/>
            <c:dispEq val="0"/>
          </c:trendline>
          <c:xVal>
            <c:numRef>
              <c:f>'AI Dash'!$E$61:$E$84</c:f>
              <c:numCache>
                <c:formatCode>#,##0</c:formatCode>
                <c:ptCount val="24"/>
                <c:pt idx="0">
                  <c:v>44</c:v>
                </c:pt>
                <c:pt idx="1">
                  <c:v>44</c:v>
                </c:pt>
                <c:pt idx="2">
                  <c:v>41</c:v>
                </c:pt>
                <c:pt idx="3">
                  <c:v>36</c:v>
                </c:pt>
                <c:pt idx="4">
                  <c:v>38</c:v>
                </c:pt>
                <c:pt idx="5">
                  <c:v>47</c:v>
                </c:pt>
                <c:pt idx="6">
                  <c:v>40</c:v>
                </c:pt>
                <c:pt idx="7">
                  <c:v>31</c:v>
                </c:pt>
                <c:pt idx="8">
                  <c:v>49</c:v>
                </c:pt>
                <c:pt idx="9">
                  <c:v>43</c:v>
                </c:pt>
                <c:pt idx="10">
                  <c:v>33</c:v>
                </c:pt>
                <c:pt idx="11">
                  <c:v>44</c:v>
                </c:pt>
                <c:pt idx="12">
                  <c:v>51</c:v>
                </c:pt>
                <c:pt idx="13">
                  <c:v>28</c:v>
                </c:pt>
                <c:pt idx="14">
                  <c:v>52</c:v>
                </c:pt>
                <c:pt idx="15">
                  <c:v>38</c:v>
                </c:pt>
                <c:pt idx="16">
                  <c:v>55</c:v>
                </c:pt>
                <c:pt idx="17">
                  <c:v>43</c:v>
                </c:pt>
                <c:pt idx="18">
                  <c:v>36</c:v>
                </c:pt>
                <c:pt idx="19">
                  <c:v>45</c:v>
                </c:pt>
                <c:pt idx="20">
                  <c:v>34</c:v>
                </c:pt>
                <c:pt idx="21">
                  <c:v>50</c:v>
                </c:pt>
                <c:pt idx="22">
                  <c:v>45</c:v>
                </c:pt>
                <c:pt idx="23">
                  <c:v>33</c:v>
                </c:pt>
              </c:numCache>
            </c:numRef>
          </c:xVal>
          <c:yVal>
            <c:numRef>
              <c:f>'AI Dash'!$G$61:$G$84</c:f>
              <c:numCache>
                <c:formatCode>\£#,##0;\(\£#,##0\);\-</c:formatCode>
                <c:ptCount val="24"/>
                <c:pt idx="0">
                  <c:v>724231.31000000017</c:v>
                </c:pt>
                <c:pt idx="1">
                  <c:v>493204.89999999997</c:v>
                </c:pt>
                <c:pt idx="2">
                  <c:v>429420.62000000011</c:v>
                </c:pt>
                <c:pt idx="3">
                  <c:v>692753.62000000011</c:v>
                </c:pt>
                <c:pt idx="4">
                  <c:v>648258.29999999993</c:v>
                </c:pt>
                <c:pt idx="5">
                  <c:v>1305278.3700000003</c:v>
                </c:pt>
                <c:pt idx="6">
                  <c:v>1084227.4100000001</c:v>
                </c:pt>
                <c:pt idx="7">
                  <c:v>580316.11999999976</c:v>
                </c:pt>
                <c:pt idx="8">
                  <c:v>788191.58000000007</c:v>
                </c:pt>
                <c:pt idx="9">
                  <c:v>744434.48</c:v>
                </c:pt>
                <c:pt idx="10">
                  <c:v>482287.62000000011</c:v>
                </c:pt>
                <c:pt idx="11">
                  <c:v>1514673.56</c:v>
                </c:pt>
                <c:pt idx="12">
                  <c:v>924639.02</c:v>
                </c:pt>
                <c:pt idx="13">
                  <c:v>315750.50999999995</c:v>
                </c:pt>
                <c:pt idx="14">
                  <c:v>596343.76999999979</c:v>
                </c:pt>
                <c:pt idx="15">
                  <c:v>696219.45999999985</c:v>
                </c:pt>
                <c:pt idx="16">
                  <c:v>914851.65000000026</c:v>
                </c:pt>
                <c:pt idx="17">
                  <c:v>1187044.47</c:v>
                </c:pt>
                <c:pt idx="18">
                  <c:v>839989.3899999999</c:v>
                </c:pt>
                <c:pt idx="19">
                  <c:v>768976.3600000001</c:v>
                </c:pt>
                <c:pt idx="20">
                  <c:v>663167.65</c:v>
                </c:pt>
                <c:pt idx="21">
                  <c:v>839700.96000000008</c:v>
                </c:pt>
                <c:pt idx="22">
                  <c:v>787670.37000000011</c:v>
                </c:pt>
                <c:pt idx="23">
                  <c:v>970796.21999999974</c:v>
                </c:pt>
              </c:numCache>
            </c:numRef>
          </c:yVal>
          <c:smooth val="0"/>
          <c:extLst>
            <c:ext xmlns:c16="http://schemas.microsoft.com/office/drawing/2014/chart" uri="{C3380CC4-5D6E-409C-BE32-E72D297353CC}">
              <c16:uniqueId val="{00000000-65A2-4766-ACF4-7387ACDEC5C7}"/>
            </c:ext>
          </c:extLst>
        </c:ser>
        <c:dLbls>
          <c:showLegendKey val="0"/>
          <c:showVal val="0"/>
          <c:showCatName val="0"/>
          <c:showSerName val="0"/>
          <c:showPercent val="0"/>
          <c:showBubbleSize val="0"/>
        </c:dLbls>
        <c:axId val="20482752"/>
        <c:axId val="1795776943"/>
      </c:scatterChart>
      <c:valAx>
        <c:axId val="20482752"/>
        <c:scaling>
          <c:orientation val="minMax"/>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Orders in 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776943"/>
        <c:crosses val="autoZero"/>
        <c:crossBetween val="midCat"/>
      </c:valAx>
      <c:valAx>
        <c:axId val="1795776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27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Bigger Orders = More Profit: Avg Order Value vs Avg Profit per Sale (near-perfect link)</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scatterChart>
        <c:scatterStyle val="lineMarker"/>
        <c:varyColors val="0"/>
        <c:ser>
          <c:idx val="0"/>
          <c:order val="0"/>
          <c:tx>
            <c:v>Months</c:v>
          </c:tx>
          <c:spPr>
            <a:ln w="25400" cap="rnd">
              <a:noFill/>
              <a:round/>
            </a:ln>
            <a:effectLst/>
          </c:spPr>
          <c:marker>
            <c:symbol val="circle"/>
            <c:size val="7"/>
            <c:spPr>
              <a:solidFill>
                <a:srgbClr val="548235"/>
              </a:solidFill>
              <a:ln w="9525">
                <a:solidFill>
                  <a:srgbClr val="548235"/>
                </a:solidFill>
                <a:prstDash val="solid"/>
              </a:ln>
              <a:effectLst/>
            </c:spPr>
          </c:marker>
          <c:trendline>
            <c:spPr>
              <a:ln w="19050" cap="rnd">
                <a:solidFill>
                  <a:schemeClr val="accent1"/>
                </a:solidFill>
                <a:prstDash val="sysDot"/>
              </a:ln>
              <a:effectLst/>
            </c:spPr>
            <c:trendlineType val="linear"/>
            <c:dispRSqr val="0"/>
            <c:dispEq val="0"/>
          </c:trendline>
          <c:xVal>
            <c:numRef>
              <c:f>'AI Dash'!$I$61:$I$84</c:f>
              <c:numCache>
                <c:formatCode>\£#,##0;\(\£#,##0\);\-</c:formatCode>
                <c:ptCount val="24"/>
                <c:pt idx="0">
                  <c:v>102650.33681818182</c:v>
                </c:pt>
                <c:pt idx="1">
                  <c:v>65808.270454545447</c:v>
                </c:pt>
                <c:pt idx="2">
                  <c:v>61507.999756097568</c:v>
                </c:pt>
                <c:pt idx="3">
                  <c:v>115895.46583333334</c:v>
                </c:pt>
                <c:pt idx="4">
                  <c:v>100675.84131578948</c:v>
                </c:pt>
                <c:pt idx="5">
                  <c:v>163664.57234042554</c:v>
                </c:pt>
                <c:pt idx="6">
                  <c:v>165965.23024999999</c:v>
                </c:pt>
                <c:pt idx="7">
                  <c:v>110885.48838709678</c:v>
                </c:pt>
                <c:pt idx="8">
                  <c:v>99388.990816326521</c:v>
                </c:pt>
                <c:pt idx="9">
                  <c:v>101677.8965116279</c:v>
                </c:pt>
                <c:pt idx="10">
                  <c:v>89736.926363636361</c:v>
                </c:pt>
                <c:pt idx="11">
                  <c:v>198040.36431818179</c:v>
                </c:pt>
                <c:pt idx="12">
                  <c:v>102268.62411764706</c:v>
                </c:pt>
                <c:pt idx="13">
                  <c:v>69979.03571428571</c:v>
                </c:pt>
                <c:pt idx="14">
                  <c:v>68845.073846153842</c:v>
                </c:pt>
                <c:pt idx="15">
                  <c:v>107081.52052631578</c:v>
                </c:pt>
                <c:pt idx="16">
                  <c:v>100689.88672727272</c:v>
                </c:pt>
                <c:pt idx="17">
                  <c:v>166468.32232558139</c:v>
                </c:pt>
                <c:pt idx="18">
                  <c:v>145626.56833333333</c:v>
                </c:pt>
                <c:pt idx="19">
                  <c:v>104767.22688888889</c:v>
                </c:pt>
                <c:pt idx="20">
                  <c:v>111121.80500000001</c:v>
                </c:pt>
                <c:pt idx="21">
                  <c:v>97394.536999999997</c:v>
                </c:pt>
                <c:pt idx="22">
                  <c:v>105216.224</c:v>
                </c:pt>
                <c:pt idx="23">
                  <c:v>178312.06848484848</c:v>
                </c:pt>
              </c:numCache>
            </c:numRef>
          </c:xVal>
          <c:yVal>
            <c:numRef>
              <c:f>'AI Dash'!$J$61:$J$84</c:f>
              <c:numCache>
                <c:formatCode>\£#,##0;\(\£#,##0\);\-</c:formatCode>
                <c:ptCount val="24"/>
                <c:pt idx="0">
                  <c:v>16459.802500000013</c:v>
                </c:pt>
                <c:pt idx="1">
                  <c:v>11209.202272727271</c:v>
                </c:pt>
                <c:pt idx="2">
                  <c:v>10473.673658536589</c:v>
                </c:pt>
                <c:pt idx="3">
                  <c:v>19243.156111111115</c:v>
                </c:pt>
                <c:pt idx="4">
                  <c:v>17059.428947368429</c:v>
                </c:pt>
                <c:pt idx="5">
                  <c:v>27771.880212765958</c:v>
                </c:pt>
                <c:pt idx="6">
                  <c:v>27105.685250000002</c:v>
                </c:pt>
                <c:pt idx="7">
                  <c:v>18719.874838709682</c:v>
                </c:pt>
                <c:pt idx="8">
                  <c:v>16085.542448979584</c:v>
                </c:pt>
                <c:pt idx="9">
                  <c:v>17312.429767441859</c:v>
                </c:pt>
                <c:pt idx="10">
                  <c:v>14614.776363636352</c:v>
                </c:pt>
                <c:pt idx="11">
                  <c:v>34424.399090909079</c:v>
                </c:pt>
                <c:pt idx="12">
                  <c:v>18130.176862745109</c:v>
                </c:pt>
                <c:pt idx="13">
                  <c:v>11276.803928571429</c:v>
                </c:pt>
                <c:pt idx="14">
                  <c:v>11468.149423076924</c:v>
                </c:pt>
                <c:pt idx="15">
                  <c:v>18321.564736842105</c:v>
                </c:pt>
                <c:pt idx="16">
                  <c:v>16633.666363636352</c:v>
                </c:pt>
                <c:pt idx="17">
                  <c:v>27605.685348837225</c:v>
                </c:pt>
                <c:pt idx="18">
                  <c:v>23333.0386111111</c:v>
                </c:pt>
                <c:pt idx="19">
                  <c:v>17088.363555555552</c:v>
                </c:pt>
                <c:pt idx="20">
                  <c:v>19504.930882352939</c:v>
                </c:pt>
                <c:pt idx="21">
                  <c:v>16794.019199999992</c:v>
                </c:pt>
                <c:pt idx="22">
                  <c:v>17503.786000000004</c:v>
                </c:pt>
                <c:pt idx="23">
                  <c:v>29418.067272727265</c:v>
                </c:pt>
              </c:numCache>
            </c:numRef>
          </c:yVal>
          <c:smooth val="0"/>
          <c:extLst>
            <c:ext xmlns:c16="http://schemas.microsoft.com/office/drawing/2014/chart" uri="{C3380CC4-5D6E-409C-BE32-E72D297353CC}">
              <c16:uniqueId val="{00000000-659B-4D10-8FD2-21332F2AF5B4}"/>
            </c:ext>
          </c:extLst>
        </c:ser>
        <c:dLbls>
          <c:showLegendKey val="0"/>
          <c:showVal val="0"/>
          <c:showCatName val="0"/>
          <c:showSerName val="0"/>
          <c:showPercent val="0"/>
          <c:showBubbleSize val="0"/>
        </c:dLbls>
        <c:axId val="20448416"/>
        <c:axId val="1795848943"/>
      </c:scatterChart>
      <c:valAx>
        <c:axId val="20448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 order value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848943"/>
        <c:crosses val="autoZero"/>
        <c:crossBetween val="midCat"/>
      </c:valAx>
      <c:valAx>
        <c:axId val="1795848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Avg profit per sale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84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Profit Margin by Month – flat regardless of order volume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lineChart>
        <c:grouping val="standard"/>
        <c:varyColors val="0"/>
        <c:ser>
          <c:idx val="0"/>
          <c:order val="0"/>
          <c:tx>
            <c:v>Profit Margin</c:v>
          </c:tx>
          <c:spPr>
            <a:ln w="28575" cap="rnd">
              <a:solidFill>
                <a:srgbClr val="C55A11"/>
              </a:solidFill>
              <a:prstDash val="solid"/>
              <a:round/>
            </a:ln>
            <a:effectLst/>
          </c:spPr>
          <c:marker>
            <c:symbol val="circle"/>
            <c:size val="5"/>
            <c:spPr>
              <a:solidFill>
                <a:srgbClr val="C55A11"/>
              </a:solidFill>
              <a:ln w="9525">
                <a:solidFill>
                  <a:srgbClr val="C55A11"/>
                </a:solidFill>
                <a:prstDash val="solid"/>
              </a:ln>
              <a:effectLst/>
            </c:spPr>
          </c:marker>
          <c:cat>
            <c:strRef>
              <c:f>'AI Dash'!$B$61:$B$84</c:f>
              <c:strCache>
                <c:ptCount val="24"/>
                <c:pt idx="0">
                  <c:v>Jan 19</c:v>
                </c:pt>
                <c:pt idx="1">
                  <c:v>Feb 19</c:v>
                </c:pt>
                <c:pt idx="2">
                  <c:v>Mar 19</c:v>
                </c:pt>
                <c:pt idx="3">
                  <c:v>Apr 19</c:v>
                </c:pt>
                <c:pt idx="4">
                  <c:v>May 19</c:v>
                </c:pt>
                <c:pt idx="5">
                  <c:v>Jun 19</c:v>
                </c:pt>
                <c:pt idx="6">
                  <c:v>Jul 19</c:v>
                </c:pt>
                <c:pt idx="7">
                  <c:v>Aug 19</c:v>
                </c:pt>
                <c:pt idx="8">
                  <c:v>Sep 19</c:v>
                </c:pt>
                <c:pt idx="9">
                  <c:v>Oct 19</c:v>
                </c:pt>
                <c:pt idx="10">
                  <c:v>Nov 19</c:v>
                </c:pt>
                <c:pt idx="11">
                  <c:v>Dec 19</c:v>
                </c:pt>
                <c:pt idx="12">
                  <c:v>Jan 20</c:v>
                </c:pt>
                <c:pt idx="13">
                  <c:v>Feb 20</c:v>
                </c:pt>
                <c:pt idx="14">
                  <c:v>Mar 20</c:v>
                </c:pt>
                <c:pt idx="15">
                  <c:v>Apr 20</c:v>
                </c:pt>
                <c:pt idx="16">
                  <c:v>May 20</c:v>
                </c:pt>
                <c:pt idx="17">
                  <c:v>Jun 20</c:v>
                </c:pt>
                <c:pt idx="18">
                  <c:v>Jul 20</c:v>
                </c:pt>
                <c:pt idx="19">
                  <c:v>Aug 20</c:v>
                </c:pt>
                <c:pt idx="20">
                  <c:v>Sep 20</c:v>
                </c:pt>
                <c:pt idx="21">
                  <c:v>Oct 20</c:v>
                </c:pt>
                <c:pt idx="22">
                  <c:v>Nov 20</c:v>
                </c:pt>
                <c:pt idx="23">
                  <c:v>Dec 20</c:v>
                </c:pt>
              </c:strCache>
            </c:strRef>
          </c:cat>
          <c:val>
            <c:numRef>
              <c:f>'AI Dash'!$H$61:$H$84</c:f>
              <c:numCache>
                <c:formatCode>0.0%</c:formatCode>
                <c:ptCount val="24"/>
                <c:pt idx="0">
                  <c:v>0.160348256130462</c:v>
                </c:pt>
                <c:pt idx="1">
                  <c:v>0.17033120906086718</c:v>
                </c:pt>
                <c:pt idx="2">
                  <c:v>0.17028148696216194</c:v>
                </c:pt>
                <c:pt idx="3">
                  <c:v>0.16603890387553438</c:v>
                </c:pt>
                <c:pt idx="4">
                  <c:v>0.16944908256448726</c:v>
                </c:pt>
                <c:pt idx="5">
                  <c:v>0.16968779385559327</c:v>
                </c:pt>
                <c:pt idx="6">
                  <c:v>0.16332146925696206</c:v>
                </c:pt>
                <c:pt idx="7">
                  <c:v>0.1688216836215696</c:v>
                </c:pt>
                <c:pt idx="8">
                  <c:v>0.16184430807538924</c:v>
                </c:pt>
                <c:pt idx="9">
                  <c:v>0.17026738712540151</c:v>
                </c:pt>
                <c:pt idx="10">
                  <c:v>0.16286245758422394</c:v>
                </c:pt>
                <c:pt idx="11">
                  <c:v>0.17382516543749171</c:v>
                </c:pt>
                <c:pt idx="12">
                  <c:v>0.17727995286109102</c:v>
                </c:pt>
                <c:pt idx="13">
                  <c:v>0.1611454604006404</c:v>
                </c:pt>
                <c:pt idx="14">
                  <c:v>0.16657908521827539</c:v>
                </c:pt>
                <c:pt idx="15">
                  <c:v>0.17109922091869711</c:v>
                </c:pt>
                <c:pt idx="16">
                  <c:v>0.16519699151802683</c:v>
                </c:pt>
                <c:pt idx="17">
                  <c:v>0.16583146248597128</c:v>
                </c:pt>
                <c:pt idx="18">
                  <c:v>0.16022514901060306</c:v>
                </c:pt>
                <c:pt idx="19">
                  <c:v>0.16310791134787461</c:v>
                </c:pt>
                <c:pt idx="20">
                  <c:v>0.17552748429845014</c:v>
                </c:pt>
                <c:pt idx="21">
                  <c:v>0.17243286653747317</c:v>
                </c:pt>
                <c:pt idx="22">
                  <c:v>0.16636014232938071</c:v>
                </c:pt>
                <c:pt idx="23">
                  <c:v>0.16498079755732839</c:v>
                </c:pt>
              </c:numCache>
            </c:numRef>
          </c:val>
          <c:smooth val="0"/>
          <c:extLst>
            <c:ext xmlns:c16="http://schemas.microsoft.com/office/drawing/2014/chart" uri="{C3380CC4-5D6E-409C-BE32-E72D297353CC}">
              <c16:uniqueId val="{00000000-337F-4475-9271-28FDADF06910}"/>
            </c:ext>
          </c:extLst>
        </c:ser>
        <c:dLbls>
          <c:showLegendKey val="0"/>
          <c:showVal val="0"/>
          <c:showCatName val="0"/>
          <c:showSerName val="0"/>
          <c:showPercent val="0"/>
          <c:showBubbleSize val="0"/>
        </c:dLbls>
        <c:marker val="1"/>
        <c:smooth val="0"/>
        <c:axId val="20395520"/>
        <c:axId val="1795826863"/>
      </c:lineChart>
      <c:catAx>
        <c:axId val="2039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826863"/>
        <c:crosses val="autoZero"/>
        <c:auto val="1"/>
        <c:lblAlgn val="ctr"/>
        <c:lblOffset val="100"/>
        <c:noMultiLvlLbl val="0"/>
      </c:catAx>
      <c:valAx>
        <c:axId val="1795826863"/>
        <c:scaling>
          <c:orientation val="minMax"/>
          <c:max val="0.25"/>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5</xdr:col>
      <xdr:colOff>498475</xdr:colOff>
      <xdr:row>63</xdr:row>
      <xdr:rowOff>0</xdr:rowOff>
    </xdr:from>
    <xdr:to>
      <xdr:col>10</xdr:col>
      <xdr:colOff>561975</xdr:colOff>
      <xdr:row>85</xdr:row>
      <xdr:rowOff>12700</xdr:rowOff>
    </xdr:to>
    <xdr:graphicFrame macro="">
      <xdr:nvGraphicFramePr>
        <xdr:cNvPr id="5" name="Chart 4">
          <a:extLst>
            <a:ext uri="{FF2B5EF4-FFF2-40B4-BE49-F238E27FC236}">
              <a16:creationId xmlns:a16="http://schemas.microsoft.com/office/drawing/2014/main" id="{036CF4CD-0E07-E2B0-845D-FC1CF13D8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148167</xdr:colOff>
      <xdr:row>8</xdr:row>
      <xdr:rowOff>39157</xdr:rowOff>
    </xdr:from>
    <xdr:to>
      <xdr:col>6</xdr:col>
      <xdr:colOff>351896</xdr:colOff>
      <xdr:row>31</xdr:row>
      <xdr:rowOff>31749</xdr:rowOff>
    </xdr:to>
    <xdr:graphicFrame macro="">
      <xdr:nvGraphicFramePr>
        <xdr:cNvPr id="2" name="Chart 1">
          <a:extLst>
            <a:ext uri="{FF2B5EF4-FFF2-40B4-BE49-F238E27FC236}">
              <a16:creationId xmlns:a16="http://schemas.microsoft.com/office/drawing/2014/main" id="{52FC6C76-D552-84FE-F5B7-A1270E97B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370418</xdr:colOff>
      <xdr:row>8</xdr:row>
      <xdr:rowOff>106891</xdr:rowOff>
    </xdr:from>
    <xdr:to>
      <xdr:col>14</xdr:col>
      <xdr:colOff>867833</xdr:colOff>
      <xdr:row>32</xdr:row>
      <xdr:rowOff>74083</xdr:rowOff>
    </xdr:to>
    <xdr:graphicFrame macro="">
      <xdr:nvGraphicFramePr>
        <xdr:cNvPr id="3" name="Chart 2">
          <a:extLst>
            <a:ext uri="{FF2B5EF4-FFF2-40B4-BE49-F238E27FC236}">
              <a16:creationId xmlns:a16="http://schemas.microsoft.com/office/drawing/2014/main" id="{5A804613-9DA7-6EC2-689E-227786263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127000</xdr:colOff>
      <xdr:row>56</xdr:row>
      <xdr:rowOff>52916</xdr:rowOff>
    </xdr:from>
    <xdr:to>
      <xdr:col>6</xdr:col>
      <xdr:colOff>349249</xdr:colOff>
      <xdr:row>81</xdr:row>
      <xdr:rowOff>21167</xdr:rowOff>
    </xdr:to>
    <xdr:graphicFrame macro="">
      <xdr:nvGraphicFramePr>
        <xdr:cNvPr id="4" name="Chart 3">
          <a:extLst>
            <a:ext uri="{FF2B5EF4-FFF2-40B4-BE49-F238E27FC236}">
              <a16:creationId xmlns:a16="http://schemas.microsoft.com/office/drawing/2014/main" id="{DF7E19D6-3BAA-54CE-C495-58251929F5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306916</xdr:colOff>
      <xdr:row>33</xdr:row>
      <xdr:rowOff>168273</xdr:rowOff>
    </xdr:from>
    <xdr:to>
      <xdr:col>14</xdr:col>
      <xdr:colOff>879929</xdr:colOff>
      <xdr:row>57</xdr:row>
      <xdr:rowOff>74084</xdr:rowOff>
    </xdr:to>
    <xdr:graphicFrame macro="">
      <xdr:nvGraphicFramePr>
        <xdr:cNvPr id="6" name="Chart 5">
          <a:extLst>
            <a:ext uri="{FF2B5EF4-FFF2-40B4-BE49-F238E27FC236}">
              <a16:creationId xmlns:a16="http://schemas.microsoft.com/office/drawing/2014/main" id="{53D7BB7E-0EBB-AF3B-795D-D274E4843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258536</xdr:colOff>
      <xdr:row>8</xdr:row>
      <xdr:rowOff>122465</xdr:rowOff>
    </xdr:from>
    <xdr:to>
      <xdr:col>23</xdr:col>
      <xdr:colOff>326572</xdr:colOff>
      <xdr:row>32</xdr:row>
      <xdr:rowOff>49893</xdr:rowOff>
    </xdr:to>
    <xdr:graphicFrame macro="">
      <xdr:nvGraphicFramePr>
        <xdr:cNvPr id="7" name="Chart 6">
          <a:extLst>
            <a:ext uri="{FF2B5EF4-FFF2-40B4-BE49-F238E27FC236}">
              <a16:creationId xmlns:a16="http://schemas.microsoft.com/office/drawing/2014/main" id="{51CFD41E-5D68-A7FF-4675-D1CA04235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127001</xdr:colOff>
      <xdr:row>31</xdr:row>
      <xdr:rowOff>105834</xdr:rowOff>
    </xdr:from>
    <xdr:to>
      <xdr:col>6</xdr:col>
      <xdr:colOff>371930</xdr:colOff>
      <xdr:row>54</xdr:row>
      <xdr:rowOff>158751</xdr:rowOff>
    </xdr:to>
    <xdr:graphicFrame macro="">
      <xdr:nvGraphicFramePr>
        <xdr:cNvPr id="9" name="Chart 1">
          <a:extLst>
            <a:ext uri="{FF2B5EF4-FFF2-40B4-BE49-F238E27FC236}">
              <a16:creationId xmlns:a16="http://schemas.microsoft.com/office/drawing/2014/main" id="{83137730-A374-ACE9-9F56-8099471CA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266699</xdr:colOff>
      <xdr:row>33</xdr:row>
      <xdr:rowOff>21168</xdr:rowOff>
    </xdr:from>
    <xdr:to>
      <xdr:col>23</xdr:col>
      <xdr:colOff>328082</xdr:colOff>
      <xdr:row>62</xdr:row>
      <xdr:rowOff>158751</xdr:rowOff>
    </xdr:to>
    <xdr:graphicFrame macro="">
      <xdr:nvGraphicFramePr>
        <xdr:cNvPr id="10" name="Chart 2">
          <a:extLst>
            <a:ext uri="{FF2B5EF4-FFF2-40B4-BE49-F238E27FC236}">
              <a16:creationId xmlns:a16="http://schemas.microsoft.com/office/drawing/2014/main" id="{BD3DE4DC-1BD5-99C7-A35F-988B75256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787400</xdr:colOff>
      <xdr:row>82</xdr:row>
      <xdr:rowOff>165100</xdr:rowOff>
    </xdr:from>
    <xdr:to>
      <xdr:col>18</xdr:col>
      <xdr:colOff>361950</xdr:colOff>
      <xdr:row>107</xdr:row>
      <xdr:rowOff>88900</xdr:rowOff>
    </xdr:to>
    <xdr:sp macro="" textlink="">
      <xdr:nvSpPr>
        <xdr:cNvPr id="11" name="TextBox 10">
          <a:extLst>
            <a:ext uri="{FF2B5EF4-FFF2-40B4-BE49-F238E27FC236}">
              <a16:creationId xmlns:a16="http://schemas.microsoft.com/office/drawing/2014/main" id="{3B067DD1-AAD3-4374-EEFC-A84E1171789B}"/>
            </a:ext>
          </a:extLst>
        </xdr:cNvPr>
        <xdr:cNvSpPr txBox="1"/>
      </xdr:nvSpPr>
      <xdr:spPr>
        <a:xfrm>
          <a:off x="11595100" y="16179800"/>
          <a:ext cx="6654800" cy="45275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baseline="0"/>
            <a:t>From the charts and data here we can see that profits are not necessarily due to an increased number of sales. Looking at the largest spikes in the Monthly Profit chart and the Monthly Sales by Year chart we can see a clear spike in total profits in June and December, especially in 2019 but there is no corresponding spikes for these months in total sales. Overlaying the Monthly Sales chart and the Monthly Profit chart shows there to be little correlation between volume of orders and profitability. What we can attribute to the increased profits is likely the average order value and the total revenue. Looking at the 'Average Order Value per Month' we see the same spikes we see in the montlhy profit chart especially for the year of 2019 so we can attribute profitability to larger order values on average. Then the Monthly Revenue and Monthly Profit charts are pretty much identical in shape, showing a very strong sign for them to be linked.</a:t>
          </a:r>
        </a:p>
        <a:p>
          <a:endParaRPr lang="en-GB" sz="1400" b="1" baseline="0"/>
        </a:p>
        <a:p>
          <a:r>
            <a:rPr lang="en-GB" sz="1400" b="1" baseline="0"/>
            <a:t>The correlation values between average order value and average profit per sale that the relationship between these 2 is extremely strong at just under 1: almost perfectly correlated. Correlation between total profits and total number of sales for the whole dataset is 0.142 (0.45 for 2019 and 0.37 for 2020), showing a positive relationship but not as strong as the relationship between profits and revenue.</a:t>
          </a:r>
        </a:p>
      </xdr:txBody>
    </xdr:sp>
    <xdr:clientData/>
  </xdr:twoCellAnchor>
  <xdr:twoCellAnchor>
    <xdr:from>
      <xdr:col>5</xdr:col>
      <xdr:colOff>246591</xdr:colOff>
      <xdr:row>2</xdr:row>
      <xdr:rowOff>34923</xdr:rowOff>
    </xdr:from>
    <xdr:to>
      <xdr:col>9</xdr:col>
      <xdr:colOff>275166</xdr:colOff>
      <xdr:row>7</xdr:row>
      <xdr:rowOff>84666</xdr:rowOff>
    </xdr:to>
    <xdr:sp macro="" textlink="">
      <xdr:nvSpPr>
        <xdr:cNvPr id="5" name="TextBox 4">
          <a:extLst>
            <a:ext uri="{FF2B5EF4-FFF2-40B4-BE49-F238E27FC236}">
              <a16:creationId xmlns:a16="http://schemas.microsoft.com/office/drawing/2014/main" id="{6C4640F5-A853-4FF0-06F3-947CA0858DC1}"/>
            </a:ext>
          </a:extLst>
        </xdr:cNvPr>
        <xdr:cNvSpPr txBox="1"/>
      </xdr:nvSpPr>
      <xdr:spPr>
        <a:xfrm>
          <a:off x="6215591" y="627590"/>
          <a:ext cx="3891492" cy="15314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The key</a:t>
          </a:r>
          <a:r>
            <a:rPr lang="en-GB" sz="1400" b="1" baseline="0"/>
            <a:t> finding is that more orders do not necessarily mean ore profits. There are several instances of lower orders producing larger profits. The analysis shows order value to be much more important in determining profitability. </a:t>
          </a:r>
          <a:endParaRPr lang="en-GB" sz="1400" b="1"/>
        </a:p>
      </xdr:txBody>
    </xdr:sp>
    <xdr:clientData/>
  </xdr:twoCellAnchor>
  <xdr:twoCellAnchor>
    <xdr:from>
      <xdr:col>15</xdr:col>
      <xdr:colOff>364330</xdr:colOff>
      <xdr:row>63</xdr:row>
      <xdr:rowOff>181767</xdr:rowOff>
    </xdr:from>
    <xdr:to>
      <xdr:col>23</xdr:col>
      <xdr:colOff>404812</xdr:colOff>
      <xdr:row>77</xdr:row>
      <xdr:rowOff>31749</xdr:rowOff>
    </xdr:to>
    <xdr:sp macro="" textlink="">
      <xdr:nvSpPr>
        <xdr:cNvPr id="8" name="TextBox 7">
          <a:extLst>
            <a:ext uri="{FF2B5EF4-FFF2-40B4-BE49-F238E27FC236}">
              <a16:creationId xmlns:a16="http://schemas.microsoft.com/office/drawing/2014/main" id="{5ED4329D-7460-9284-AD4C-8E4F66940EB6}"/>
            </a:ext>
          </a:extLst>
        </xdr:cNvPr>
        <xdr:cNvSpPr txBox="1"/>
      </xdr:nvSpPr>
      <xdr:spPr>
        <a:xfrm>
          <a:off x="15437643" y="12635705"/>
          <a:ext cx="7279482" cy="24058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The</a:t>
          </a:r>
          <a:r>
            <a:rPr lang="en-GB" sz="1400" b="1" baseline="0"/>
            <a:t> chart above serves as a representation of which months are 'of interest'. It shows if profit share is larger than the number of sales share of the total of each. If the 2 shares are unequal this is a potential flag to investigate these months and find out why some months have profits making up a larger share than sales or why sales make up a larger portion than profits do. It could lead to understanding why some months generate more profit than others but it is not indicative of better performance.</a:t>
          </a:r>
          <a:endParaRPr lang="en-GB" sz="1200" b="1"/>
        </a:p>
      </xdr:txBody>
    </xdr:sp>
    <xdr:clientData/>
  </xdr:twoCellAnchor>
  <xdr:twoCellAnchor>
    <xdr:from>
      <xdr:col>7</xdr:col>
      <xdr:colOff>396874</xdr:colOff>
      <xdr:row>59</xdr:row>
      <xdr:rowOff>38100</xdr:rowOff>
    </xdr:from>
    <xdr:to>
      <xdr:col>14</xdr:col>
      <xdr:colOff>730249</xdr:colOff>
      <xdr:row>70</xdr:row>
      <xdr:rowOff>25400</xdr:rowOff>
    </xdr:to>
    <xdr:sp macro="" textlink="">
      <xdr:nvSpPr>
        <xdr:cNvPr id="12" name="TextBox 11">
          <a:extLst>
            <a:ext uri="{FF2B5EF4-FFF2-40B4-BE49-F238E27FC236}">
              <a16:creationId xmlns:a16="http://schemas.microsoft.com/office/drawing/2014/main" id="{40495478-5C63-8890-1E6B-A2E64EFC40ED}"/>
            </a:ext>
          </a:extLst>
        </xdr:cNvPr>
        <xdr:cNvSpPr txBox="1"/>
      </xdr:nvSpPr>
      <xdr:spPr>
        <a:xfrm>
          <a:off x="8086724" y="11817350"/>
          <a:ext cx="6797675" cy="201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This</a:t>
          </a:r>
          <a:r>
            <a:rPr lang="en-GB" sz="1400" b="1" baseline="0"/>
            <a:t> chart was plotted to try and assess if there were any major deviations in profit margin across each month and without looking specifically at customers, product categories or sales reps/managers it is clear that there is no obvious macro trend of profit margin. There are a few spikes but all data points across the 2 years are within a 1.8 percentage points range: very small deviation with the standard deviations for each year at 0.4 and 0.52 percentage points respectively. This chart being looked at alone would be the most indicative of better/worse monthly performance but due to the fact that the data is quite noisy and there are no clear outliers it is not accurate to state better/worse performance using this chart.</a:t>
          </a:r>
          <a:endParaRPr lang="en-GB" sz="1400" b="1"/>
        </a:p>
      </xdr:txBody>
    </xdr:sp>
    <xdr:clientData/>
  </xdr:twoCellAnchor>
  <xdr:twoCellAnchor>
    <xdr:from>
      <xdr:col>1</xdr:col>
      <xdr:colOff>1844674</xdr:colOff>
      <xdr:row>83</xdr:row>
      <xdr:rowOff>13229</xdr:rowOff>
    </xdr:from>
    <xdr:to>
      <xdr:col>8</xdr:col>
      <xdr:colOff>568855</xdr:colOff>
      <xdr:row>108</xdr:row>
      <xdr:rowOff>9478</xdr:rowOff>
    </xdr:to>
    <xdr:sp macro="" textlink="">
      <xdr:nvSpPr>
        <xdr:cNvPr id="13" name="TextBox 12">
          <a:extLst>
            <a:ext uri="{FF2B5EF4-FFF2-40B4-BE49-F238E27FC236}">
              <a16:creationId xmlns:a16="http://schemas.microsoft.com/office/drawing/2014/main" id="{75BEF9D8-C2BA-B16B-CB62-697D81D6CE1C}"/>
            </a:ext>
          </a:extLst>
        </xdr:cNvPr>
        <xdr:cNvSpPr txBox="1"/>
      </xdr:nvSpPr>
      <xdr:spPr>
        <a:xfrm>
          <a:off x="2451241" y="15869274"/>
          <a:ext cx="6950748" cy="44981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These charts also allow us to answer</a:t>
          </a:r>
          <a:r>
            <a:rPr lang="en-GB" sz="1400" b="1" baseline="0"/>
            <a:t> another business question: 'Are stronger months driven by more orders or larger orders?'. A strong month is defined here as having profits larger than the average profits + the standard deviation. For 2019 this means a minimum profit of £1,115,919.23 and for 2020 £999,602.36. In 2019 June and December are above this value and in 2020 only June is. So assessing December firstly in 2019 we can see that the number of orders is comparable to most other months at 44 sales but the profits are the largest out of any month in 2019 at over £200,000 more than June: the next most profitable month. June has slightly more orders than December for this year but has profits significantly lower. These 2 months have the largest average order values though, showing this to be a much better indicator of what determines a strong month. Then we look at June for both years. Having the largest total profit across both years out of all months yet has the 5th most sales out of all months. Again, if we look at simple correlations between total sales and average profit per sale we see a weak correlation in 2019 at 0.18 and decently strong negative correlation of -0.28 in 2020. Profits and order value have an almost perfect correlation.</a:t>
          </a:r>
        </a:p>
        <a:p>
          <a:endParaRPr lang="en-GB" sz="1400" b="1" baseline="0"/>
        </a:p>
        <a:p>
          <a:r>
            <a:rPr lang="en-GB" sz="1400" b="1" baseline="0"/>
            <a:t>So what we can conclude from this is that the likelihood is that stronger months are dictated by the average order size more than the total number of sales. Revenue is an obvious driver but it is not a new finding so to say due to the fact that they typically scale with one another.</a:t>
          </a:r>
          <a:endParaRPr lang="en-GB" sz="14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438150</xdr:colOff>
      <xdr:row>1</xdr:row>
      <xdr:rowOff>158750</xdr:rowOff>
    </xdr:from>
    <xdr:to>
      <xdr:col>16</xdr:col>
      <xdr:colOff>501650</xdr:colOff>
      <xdr:row>28</xdr:row>
      <xdr:rowOff>107950</xdr:rowOff>
    </xdr:to>
    <xdr:graphicFrame macro="">
      <xdr:nvGraphicFramePr>
        <xdr:cNvPr id="2" name="Chart 2">
          <a:extLst>
            <a:ext uri="{FF2B5EF4-FFF2-40B4-BE49-F238E27FC236}">
              <a16:creationId xmlns:a16="http://schemas.microsoft.com/office/drawing/2014/main" id="{0EC600BA-A48F-8FF9-BA2E-6DEADA98D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454527</xdr:colOff>
      <xdr:row>30</xdr:row>
      <xdr:rowOff>153234</xdr:rowOff>
    </xdr:from>
    <xdr:to>
      <xdr:col>17</xdr:col>
      <xdr:colOff>113631</xdr:colOff>
      <xdr:row>52</xdr:row>
      <xdr:rowOff>133683</xdr:rowOff>
    </xdr:to>
    <xdr:graphicFrame macro="">
      <xdr:nvGraphicFramePr>
        <xdr:cNvPr id="4" name="Chart 1">
          <a:extLst>
            <a:ext uri="{FF2B5EF4-FFF2-40B4-BE49-F238E27FC236}">
              <a16:creationId xmlns:a16="http://schemas.microsoft.com/office/drawing/2014/main" id="{BB1AED00-C5BB-5492-021D-5391CBEA2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266370</xdr:colOff>
      <xdr:row>2</xdr:row>
      <xdr:rowOff>5731</xdr:rowOff>
    </xdr:from>
    <xdr:to>
      <xdr:col>31</xdr:col>
      <xdr:colOff>409824</xdr:colOff>
      <xdr:row>27</xdr:row>
      <xdr:rowOff>22664</xdr:rowOff>
    </xdr:to>
    <xdr:graphicFrame macro="">
      <xdr:nvGraphicFramePr>
        <xdr:cNvPr id="5" name="Chart 3">
          <a:extLst>
            <a:ext uri="{FF2B5EF4-FFF2-40B4-BE49-F238E27FC236}">
              <a16:creationId xmlns:a16="http://schemas.microsoft.com/office/drawing/2014/main" id="{BBC9C193-41F0-F677-E889-450AAAC10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571948</xdr:colOff>
      <xdr:row>63</xdr:row>
      <xdr:rowOff>93564</xdr:rowOff>
    </xdr:from>
    <xdr:to>
      <xdr:col>18</xdr:col>
      <xdr:colOff>344787</xdr:colOff>
      <xdr:row>93</xdr:row>
      <xdr:rowOff>17699</xdr:rowOff>
    </xdr:to>
    <xdr:graphicFrame macro="">
      <xdr:nvGraphicFramePr>
        <xdr:cNvPr id="6" name="Chart 4">
          <a:extLst>
            <a:ext uri="{FF2B5EF4-FFF2-40B4-BE49-F238E27FC236}">
              <a16:creationId xmlns:a16="http://schemas.microsoft.com/office/drawing/2014/main" id="{6EAA493A-1E19-26DF-8A89-C8D6F3C6E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438790</xdr:colOff>
      <xdr:row>30</xdr:row>
      <xdr:rowOff>157670</xdr:rowOff>
    </xdr:from>
    <xdr:to>
      <xdr:col>51</xdr:col>
      <xdr:colOff>263583</xdr:colOff>
      <xdr:row>59</xdr:row>
      <xdr:rowOff>144834</xdr:rowOff>
    </xdr:to>
    <xdr:graphicFrame macro="">
      <xdr:nvGraphicFramePr>
        <xdr:cNvPr id="7" name="Chart 5">
          <a:extLst>
            <a:ext uri="{FF2B5EF4-FFF2-40B4-BE49-F238E27FC236}">
              <a16:creationId xmlns:a16="http://schemas.microsoft.com/office/drawing/2014/main" id="{D119D30D-D01F-6DF4-395E-D46FDD64C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88249</xdr:colOff>
      <xdr:row>54</xdr:row>
      <xdr:rowOff>104531</xdr:rowOff>
    </xdr:from>
    <xdr:to>
      <xdr:col>17</xdr:col>
      <xdr:colOff>146539</xdr:colOff>
      <xdr:row>62</xdr:row>
      <xdr:rowOff>175638</xdr:rowOff>
    </xdr:to>
    <xdr:sp macro="" textlink="">
      <xdr:nvSpPr>
        <xdr:cNvPr id="3" name="TextBox 2">
          <a:extLst>
            <a:ext uri="{FF2B5EF4-FFF2-40B4-BE49-F238E27FC236}">
              <a16:creationId xmlns:a16="http://schemas.microsoft.com/office/drawing/2014/main" id="{D0AFFE31-F235-EB48-C515-4351E11EF2E9}"/>
            </a:ext>
          </a:extLst>
        </xdr:cNvPr>
        <xdr:cNvSpPr txBox="1"/>
      </xdr:nvSpPr>
      <xdr:spPr>
        <a:xfrm>
          <a:off x="696228" y="10318574"/>
          <a:ext cx="9785949" cy="15842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The 2 charts above display</a:t>
          </a:r>
          <a:r>
            <a:rPr lang="en-GB" sz="1400" b="1" baseline="0"/>
            <a:t> total profit and total sales for each sales rep. What is immediately obvious is that sales reps with more sales have generated more profit compared to those with less sales. For example, the 7 sales reps with 10 or less total sales all have under £200,000 in profit generated. Then the 5 sales reps with 50+ sales all have generated over  £880,000 in profits so it is clear to see that more sales is one of the main drivers of total profit. But, this is not by any means evidence to say volume drives profits purely as the sales reps with the highest total profit may be selling only the products with the highest profit margins which will be investigated below.</a:t>
          </a:r>
          <a:endParaRPr lang="en-GB" sz="1400" b="1"/>
        </a:p>
      </xdr:txBody>
    </xdr:sp>
    <xdr:clientData/>
  </xdr:twoCellAnchor>
  <xdr:twoCellAnchor>
    <xdr:from>
      <xdr:col>32</xdr:col>
      <xdr:colOff>407478</xdr:colOff>
      <xdr:row>2</xdr:row>
      <xdr:rowOff>2160</xdr:rowOff>
    </xdr:from>
    <xdr:to>
      <xdr:col>41</xdr:col>
      <xdr:colOff>283722</xdr:colOff>
      <xdr:row>29</xdr:row>
      <xdr:rowOff>52917</xdr:rowOff>
    </xdr:to>
    <xdr:sp macro="" textlink="">
      <xdr:nvSpPr>
        <xdr:cNvPr id="10" name="TextBox 9">
          <a:extLst>
            <a:ext uri="{FF2B5EF4-FFF2-40B4-BE49-F238E27FC236}">
              <a16:creationId xmlns:a16="http://schemas.microsoft.com/office/drawing/2014/main" id="{00A35E4D-216D-37F2-3AD0-06B11C96860D}"/>
            </a:ext>
          </a:extLst>
        </xdr:cNvPr>
        <xdr:cNvSpPr txBox="1"/>
      </xdr:nvSpPr>
      <xdr:spPr>
        <a:xfrm>
          <a:off x="20050145" y="361993"/>
          <a:ext cx="5400744" cy="49085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This</a:t>
          </a:r>
          <a:r>
            <a:rPr lang="en-GB" sz="1400" b="1" baseline="0"/>
            <a:t> plot shows the number of sales against the average profit per sale for each sales rep where each data point represents a sales rep. Looking at the data points we can see quite a weak logarithmic relationship. A logarithmic best fit was chosen to account for the lower number of sales and profit as we can see that with lower sales the average profit per sales is smaller then as sales increase we can see that average profit per sale also increases but the increase reduces very quickly and sales of 50+ have the same average profit per sale as some sales total of between 10-20 roughly. So the logarithmic line of best fit was used to capture the very left tail of data. But as I said, this is a weak relationship demonstrated by the R^2 value of ~0.27. Plotting this again with the 'outlier' removed we see a weaker logarithmic relationship with R^2 dropping by nearly 0.08, showing how influential that single data point is. The right hand chart is purely representative and cannot be used in place of the chart on the left hand side as although the data point is labeled as a outlier in this circumstance it cannot be removed as it is still a valid data point</a:t>
          </a:r>
        </a:p>
        <a:p>
          <a:r>
            <a:rPr lang="en-GB" sz="1400" b="1" baseline="0"/>
            <a:t>So what we can conclude is that the number of sales is weakly related to the average profit per sale for the sales reps and number of sales is likely not a driver of average profit per sale for each sales rep.</a:t>
          </a:r>
          <a:endParaRPr lang="en-GB" sz="1400" b="1"/>
        </a:p>
      </xdr:txBody>
    </xdr:sp>
    <xdr:clientData/>
  </xdr:twoCellAnchor>
  <xdr:oneCellAnchor>
    <xdr:from>
      <xdr:col>42</xdr:col>
      <xdr:colOff>84667</xdr:colOff>
      <xdr:row>60</xdr:row>
      <xdr:rowOff>2646</xdr:rowOff>
    </xdr:from>
    <xdr:ext cx="5834062" cy="749821"/>
    <xdr:sp macro="" textlink="">
      <xdr:nvSpPr>
        <xdr:cNvPr id="11" name="TextBox 10">
          <a:extLst>
            <a:ext uri="{FF2B5EF4-FFF2-40B4-BE49-F238E27FC236}">
              <a16:creationId xmlns:a16="http://schemas.microsoft.com/office/drawing/2014/main" id="{A8787DEA-FEE8-CAB6-E360-A212A24210F0}"/>
            </a:ext>
          </a:extLst>
        </xdr:cNvPr>
        <xdr:cNvSpPr txBox="1"/>
      </xdr:nvSpPr>
      <xdr:spPr>
        <a:xfrm>
          <a:off x="25865667" y="10797646"/>
          <a:ext cx="5834062" cy="74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b="1"/>
            <a:t>This chart is a different representation</a:t>
          </a:r>
          <a:r>
            <a:rPr lang="en-GB" sz="1400" b="1" baseline="0"/>
            <a:t> to the chart above and puts a name to the data points. It just shows the names of each sales rep and assigns their actual average profit per sale.</a:t>
          </a:r>
          <a:endParaRPr lang="en-GB" sz="1400" b="1"/>
        </a:p>
      </xdr:txBody>
    </xdr:sp>
    <xdr:clientData/>
  </xdr:oneCellAnchor>
  <xdr:oneCellAnchor>
    <xdr:from>
      <xdr:col>11</xdr:col>
      <xdr:colOff>110626</xdr:colOff>
      <xdr:row>94</xdr:row>
      <xdr:rowOff>78914</xdr:rowOff>
    </xdr:from>
    <xdr:ext cx="10593659" cy="2355254"/>
    <xdr:sp macro="" textlink="">
      <xdr:nvSpPr>
        <xdr:cNvPr id="12" name="TextBox 11">
          <a:extLst>
            <a:ext uri="{FF2B5EF4-FFF2-40B4-BE49-F238E27FC236}">
              <a16:creationId xmlns:a16="http://schemas.microsoft.com/office/drawing/2014/main" id="{84FA0BE0-BD88-819D-6719-D1C7589EA6A9}"/>
            </a:ext>
          </a:extLst>
        </xdr:cNvPr>
        <xdr:cNvSpPr txBox="1"/>
      </xdr:nvSpPr>
      <xdr:spPr>
        <a:xfrm>
          <a:off x="6763007" y="17133200"/>
          <a:ext cx="10593659" cy="2355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400" b="1"/>
            <a:t>Looking</a:t>
          </a:r>
          <a:r>
            <a:rPr lang="en-GB" sz="1400" b="1" baseline="0"/>
            <a:t> at these 2 charts above we can see the average profits per sale for each category as well as the total number of sales for each category </a:t>
          </a:r>
        </a:p>
        <a:p>
          <a:r>
            <a:rPr lang="en-GB" sz="1400" b="1" baseline="0"/>
            <a:t>and we can use this to calculate the total profit for each category. What is immediately obvious is that there are 3 categories with a low number</a:t>
          </a:r>
        </a:p>
        <a:p>
          <a:r>
            <a:rPr lang="en-GB" sz="1400" b="1" baseline="0"/>
            <a:t>of sales in comparison to the others: Accessories, Other and Outdoors. Looking at their average profits per sale, Accessories and Outdoors are </a:t>
          </a:r>
        </a:p>
        <a:p>
          <a:r>
            <a:rPr lang="en-GB" sz="1400" b="1" baseline="0"/>
            <a:t>the most profitable on average per sale. This could be purely by chance though and there is no causal evidence to suggest that less sales in a </a:t>
          </a:r>
        </a:p>
        <a:p>
          <a:r>
            <a:rPr lang="en-GB" sz="1400" b="1" baseline="0"/>
            <a:t>category means on average it is more profitable. The 2 categories with the most sales (Clothing and Games) have 2 of the lowest average profit </a:t>
          </a:r>
        </a:p>
        <a:p>
          <a:r>
            <a:rPr lang="en-GB" sz="1400" b="1" baseline="0"/>
            <a:t>per sale,  which may suggest an inverse relationship between total sales and profit per sale but again this could be by chance and there is </a:t>
          </a:r>
        </a:p>
        <a:p>
          <a:r>
            <a:rPr lang="en-GB" sz="1400" b="1" baseline="0"/>
            <a:t>not enough data to prove this relationship. It is a possible relationship but proving it accurately with this data is not really possible.</a:t>
          </a:r>
        </a:p>
        <a:p>
          <a:endParaRPr lang="en-GB" sz="1400" b="1" baseline="0"/>
        </a:p>
        <a:p>
          <a:r>
            <a:rPr lang="en-GB" sz="1400" b="1" baseline="0"/>
            <a:t>So what we can say is that there appears to be no obvious relationship between the total number of sales in a category and the profit per sale in </a:t>
          </a:r>
        </a:p>
        <a:p>
          <a:r>
            <a:rPr lang="en-GB" sz="1400" b="1" baseline="0"/>
            <a:t>each category.</a:t>
          </a:r>
        </a:p>
      </xdr:txBody>
    </xdr:sp>
    <xdr:clientData/>
  </xdr:oneCellAnchor>
  <xdr:twoCellAnchor>
    <xdr:from>
      <xdr:col>19</xdr:col>
      <xdr:colOff>24151</xdr:colOff>
      <xdr:row>63</xdr:row>
      <xdr:rowOff>24902</xdr:rowOff>
    </xdr:from>
    <xdr:to>
      <xdr:col>37</xdr:col>
      <xdr:colOff>589642</xdr:colOff>
      <xdr:row>93</xdr:row>
      <xdr:rowOff>45356</xdr:rowOff>
    </xdr:to>
    <xdr:graphicFrame macro="">
      <xdr:nvGraphicFramePr>
        <xdr:cNvPr id="13" name="Chart 1">
          <a:extLst>
            <a:ext uri="{FF2B5EF4-FFF2-40B4-BE49-F238E27FC236}">
              <a16:creationId xmlns:a16="http://schemas.microsoft.com/office/drawing/2014/main" id="{CAEF551A-D891-C5F4-94C2-5598B9E3C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321611</xdr:colOff>
      <xdr:row>109</xdr:row>
      <xdr:rowOff>120163</xdr:rowOff>
    </xdr:from>
    <xdr:to>
      <xdr:col>20</xdr:col>
      <xdr:colOff>472830</xdr:colOff>
      <xdr:row>141</xdr:row>
      <xdr:rowOff>171660</xdr:rowOff>
    </xdr:to>
    <xdr:graphicFrame macro="">
      <xdr:nvGraphicFramePr>
        <xdr:cNvPr id="14" name="Chart 3">
          <a:extLst>
            <a:ext uri="{FF2B5EF4-FFF2-40B4-BE49-F238E27FC236}">
              <a16:creationId xmlns:a16="http://schemas.microsoft.com/office/drawing/2014/main" id="{C3932F87-770F-158D-FA32-3B269ECA0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21</xdr:col>
      <xdr:colOff>469900</xdr:colOff>
      <xdr:row>111</xdr:row>
      <xdr:rowOff>139700</xdr:rowOff>
    </xdr:from>
    <xdr:ext cx="7251700" cy="1188146"/>
    <xdr:sp macro="" textlink="">
      <xdr:nvSpPr>
        <xdr:cNvPr id="15" name="TextBox 14">
          <a:extLst>
            <a:ext uri="{FF2B5EF4-FFF2-40B4-BE49-F238E27FC236}">
              <a16:creationId xmlns:a16="http://schemas.microsoft.com/office/drawing/2014/main" id="{C3674C3A-2DDD-3312-CEB0-F49D8A31DF30}"/>
            </a:ext>
          </a:extLst>
        </xdr:cNvPr>
        <xdr:cNvSpPr txBox="1"/>
      </xdr:nvSpPr>
      <xdr:spPr>
        <a:xfrm>
          <a:off x="13311011" y="21024144"/>
          <a:ext cx="7251700" cy="1188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400" b="1"/>
            <a:t>This chart on the left shows</a:t>
          </a:r>
          <a:r>
            <a:rPr lang="en-GB" sz="1400" b="1" baseline="0"/>
            <a:t> total profit per sales rep and shows the makeup of each sales rep's sales by looking at how much each category contributes. There is no clear trend except for what we established above: more sales equates to more total profits. There is not any pattern with catrgory weightings and total profit of any significance and if we overlay total sales we see the same shape for both charts with sales reps in the same position on the x-axis.</a:t>
          </a:r>
          <a:endParaRPr lang="en-GB" sz="1400" b="1"/>
        </a:p>
      </xdr:txBody>
    </xdr:sp>
    <xdr:clientData/>
  </xdr:oneCellAnchor>
  <xdr:twoCellAnchor>
    <xdr:from>
      <xdr:col>42</xdr:col>
      <xdr:colOff>5465</xdr:colOff>
      <xdr:row>1</xdr:row>
      <xdr:rowOff>20236</xdr:rowOff>
    </xdr:from>
    <xdr:to>
      <xdr:col>53</xdr:col>
      <xdr:colOff>0</xdr:colOff>
      <xdr:row>26</xdr:row>
      <xdr:rowOff>162820</xdr:rowOff>
    </xdr:to>
    <xdr:graphicFrame macro="">
      <xdr:nvGraphicFramePr>
        <xdr:cNvPr id="8" name="Chart 1">
          <a:extLst>
            <a:ext uri="{FF2B5EF4-FFF2-40B4-BE49-F238E27FC236}">
              <a16:creationId xmlns:a16="http://schemas.microsoft.com/office/drawing/2014/main" id="{BF1421E2-8795-85D0-6200-B0EF5F4A5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18</xdr:col>
      <xdr:colOff>269553</xdr:colOff>
      <xdr:row>31</xdr:row>
      <xdr:rowOff>41901</xdr:rowOff>
    </xdr:from>
    <xdr:ext cx="8660961" cy="2503121"/>
    <xdr:sp macro="" textlink="">
      <xdr:nvSpPr>
        <xdr:cNvPr id="9" name="TextBox 8">
          <a:extLst>
            <a:ext uri="{FF2B5EF4-FFF2-40B4-BE49-F238E27FC236}">
              <a16:creationId xmlns:a16="http://schemas.microsoft.com/office/drawing/2014/main" id="{F3DC7F29-AF30-FD15-EB87-3664D5DF9E45}"/>
            </a:ext>
          </a:extLst>
        </xdr:cNvPr>
        <xdr:cNvSpPr txBox="1"/>
      </xdr:nvSpPr>
      <xdr:spPr>
        <a:xfrm>
          <a:off x="11155267" y="5666187"/>
          <a:ext cx="8660961" cy="2503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a:t>Further inspecting this outllying</a:t>
          </a:r>
          <a:r>
            <a:rPr lang="en-GB" sz="1400" b="1" baseline="0"/>
            <a:t> data point this is the performance of the sales rep Cobby Andersen.</a:t>
          </a:r>
        </a:p>
        <a:p>
          <a:r>
            <a:rPr lang="en-GB" sz="1400" b="1" baseline="0"/>
            <a:t>They only have 5 sales: 1 in Appliances, 3 in Books and 1 in Games. Excluding 2 other sales reps, in the appliance</a:t>
          </a:r>
        </a:p>
        <a:p>
          <a:r>
            <a:rPr lang="en-GB" sz="1400" b="1" baseline="0"/>
            <a:t>and games categories their average profit per sale is the lowest by nearly £10,000 and considering the </a:t>
          </a:r>
        </a:p>
        <a:p>
          <a:r>
            <a:rPr lang="en-GB" sz="1400" b="1" baseline="0"/>
            <a:t>average is just under £19,000 this is a huge difference. Their average is below £10,000 in Appliances and Games</a:t>
          </a:r>
        </a:p>
        <a:p>
          <a:r>
            <a:rPr lang="en-GB" sz="1400" b="1" baseline="0"/>
            <a:t>but in Books they performed substantially better achieving just over £33,000 average. So the 2 categories they</a:t>
          </a:r>
        </a:p>
        <a:p>
          <a:r>
            <a:rPr lang="en-GB" sz="1400" b="1" baseline="0"/>
            <a:t>performed the worst in had a single sale only and looking at the source data the profits on all of their sales bar 1 was</a:t>
          </a:r>
        </a:p>
        <a:p>
          <a:r>
            <a:rPr lang="en-GB" sz="1400" b="1" baseline="0"/>
            <a:t>below £10,000, showing them to possibly just be a 'poor' sales rep as 80% of their sales are far below average.</a:t>
          </a:r>
        </a:p>
        <a:p>
          <a:r>
            <a:rPr lang="en-GB" sz="1400" b="1" baseline="0"/>
            <a:t>Looking at the next 2 'worst' performing sales reps which are Case Desorts and Perri Aldersley, we can see that 67%</a:t>
          </a:r>
        </a:p>
        <a:p>
          <a:r>
            <a:rPr lang="en-GB" sz="1400" b="1" baseline="0"/>
            <a:t>and 75% respectively of their sales fall below average. It is fair to say that Cobby Andersen is the 'worst' </a:t>
          </a:r>
        </a:p>
        <a:p>
          <a:r>
            <a:rPr lang="en-GB" sz="1400" b="1" baseline="0"/>
            <a:t>performing sales rep in this dataset but all 3 of these sales reps have small numbers of saes so why this is the </a:t>
          </a:r>
        </a:p>
        <a:p>
          <a:r>
            <a:rPr lang="en-GB" sz="1400" b="1" baseline="0"/>
            <a:t>case is not accurately determinable.</a:t>
          </a:r>
          <a:endParaRPr lang="en-GB" sz="1400" b="1"/>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0</xdr:colOff>
      <xdr:row>22</xdr:row>
      <xdr:rowOff>0</xdr:rowOff>
    </xdr:from>
    <xdr:to>
      <xdr:col>9</xdr:col>
      <xdr:colOff>0</xdr:colOff>
      <xdr:row>40</xdr:row>
      <xdr:rowOff>0</xdr:rowOff>
    </xdr:to>
    <xdr:graphicFrame macro="">
      <xdr:nvGraphicFramePr>
        <xdr:cNvPr id="2" name="DashOrdersProfit">
          <a:extLst>
            <a:ext uri="{FF2B5EF4-FFF2-40B4-BE49-F238E27FC236}">
              <a16:creationId xmlns:a16="http://schemas.microsoft.com/office/drawing/2014/main" id="{39008E63-739F-E4C9-6CC8-B2EB2462E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22</xdr:row>
      <xdr:rowOff>0</xdr:rowOff>
    </xdr:from>
    <xdr:to>
      <xdr:col>17</xdr:col>
      <xdr:colOff>0</xdr:colOff>
      <xdr:row>40</xdr:row>
      <xdr:rowOff>0</xdr:rowOff>
    </xdr:to>
    <xdr:graphicFrame macro="">
      <xdr:nvGraphicFramePr>
        <xdr:cNvPr id="3" name="DashScatterOrders">
          <a:extLst>
            <a:ext uri="{FF2B5EF4-FFF2-40B4-BE49-F238E27FC236}">
              <a16:creationId xmlns:a16="http://schemas.microsoft.com/office/drawing/2014/main" id="{5B857631-B94A-22BF-28E4-D05A3AB7B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40</xdr:row>
      <xdr:rowOff>0</xdr:rowOff>
    </xdr:from>
    <xdr:to>
      <xdr:col>9</xdr:col>
      <xdr:colOff>0</xdr:colOff>
      <xdr:row>57</xdr:row>
      <xdr:rowOff>0</xdr:rowOff>
    </xdr:to>
    <xdr:graphicFrame macro="">
      <xdr:nvGraphicFramePr>
        <xdr:cNvPr id="4" name="DashScatterAOV">
          <a:extLst>
            <a:ext uri="{FF2B5EF4-FFF2-40B4-BE49-F238E27FC236}">
              <a16:creationId xmlns:a16="http://schemas.microsoft.com/office/drawing/2014/main" id="{796A318B-701B-2B7D-7EF4-7A5A3497D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40</xdr:row>
      <xdr:rowOff>0</xdr:rowOff>
    </xdr:from>
    <xdr:to>
      <xdr:col>17</xdr:col>
      <xdr:colOff>0</xdr:colOff>
      <xdr:row>57</xdr:row>
      <xdr:rowOff>0</xdr:rowOff>
    </xdr:to>
    <xdr:graphicFrame macro="">
      <xdr:nvGraphicFramePr>
        <xdr:cNvPr id="5" name="DashMargin">
          <a:extLst>
            <a:ext uri="{FF2B5EF4-FFF2-40B4-BE49-F238E27FC236}">
              <a16:creationId xmlns:a16="http://schemas.microsoft.com/office/drawing/2014/main" id="{9C30DED8-97C6-922D-EE18-E784E0F0B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0.550707754628" backgroundQuery="1" createdVersion="8" refreshedVersion="8" minRefreshableVersion="3" recordCount="0" supportSubquery="1" supportAdvancedDrill="1" xr:uid="{75532214-2225-49EB-B270-04E3A50EE6E2}">
  <cacheSource type="external" connectionId="4"/>
  <cacheFields count="8">
    <cacheField name="[Sales-Export_2019-2020].[date (Year)].[date (Year)]" caption="date (Year)" numFmtId="0" hierarchy="21" level="1">
      <sharedItems count="2">
        <s v="2019"/>
        <s v="2020"/>
      </sharedItems>
    </cacheField>
    <cacheField name="[Measures].[Total Revenue]" caption="Total Revenue" numFmtId="0" hierarchy="36" level="32767"/>
    <cacheField name="[Measures].[Total Sales]" caption="Total Sales" numFmtId="0" hierarchy="37" level="32767"/>
    <cacheField name="[Measures].[Share of Revenue]" caption="Share of Revenue" numFmtId="0" hierarchy="38" level="32767"/>
    <cacheField name="[Measures].[Difference in share of profits and sales]" caption="Difference in share of profits and sales" numFmtId="0" hierarchy="40" level="32767"/>
    <cacheField name="[Measures].[Avg Profit per Sale]" caption="Avg Profit per Sale" numFmtId="0" hierarchy="41" level="32767"/>
    <cacheField name="[Measures].[Profit Margin]" caption="Profit Margin" numFmtId="0" hierarchy="44" level="32767"/>
    <cacheField name="[Measures].[Total Profit]" caption="Total Profit" numFmtId="0" hierarchy="42"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0"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0"/>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0" memberValueDatatype="130" unbalanced="0"/>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oneField="1">
      <fieldsUsage count="1">
        <fieldUsage x="1"/>
      </fieldsUsage>
    </cacheHierarchy>
    <cacheHierarchy uniqueName="[Measures].[Total Sales]" caption="Total Sales" measure="1" displayFolder="" measureGroup="Sales-Export_2019-2020" count="0" oneField="1">
      <fieldsUsage count="1">
        <fieldUsage x="2"/>
      </fieldsUsage>
    </cacheHierarchy>
    <cacheHierarchy uniqueName="[Measures].[Share of Revenue]" caption="Share of Revenue" measure="1" displayFolder="" measureGroup="Sales-Export_2019-2020" count="0" oneField="1">
      <fieldsUsage count="1">
        <fieldUsage x="3"/>
      </fieldsUsage>
    </cacheHierarchy>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oneField="1">
      <fieldsUsage count="1">
        <fieldUsage x="4"/>
      </fieldsUsage>
    </cacheHierarchy>
    <cacheHierarchy uniqueName="[Measures].[Avg Profit per Sale]" caption="Avg Profit per Sale" measure="1" displayFolder="" measureGroup="Sales-Export_2019-2020" count="0" oneField="1">
      <fieldsUsage count="1">
        <fieldUsage x="5"/>
      </fieldsUsage>
    </cacheHierarchy>
    <cacheHierarchy uniqueName="[Measures].[Total Profit]" caption="Total Profit" measure="1" displayFolder="" measureGroup="Sales-Export_2019-2020" count="0" oneField="1">
      <fieldsUsage count="1">
        <fieldUsage x="7"/>
      </fieldsUsage>
    </cacheHierarchy>
    <cacheHierarchy uniqueName="[Measures].[Share of Profit]" caption="Share of Profit" measure="1" displayFolder="" measureGroup="Sales-Export_2019-2020" count="0"/>
    <cacheHierarchy uniqueName="[Measures].[Profit Margin]" caption="Profit Margin" measure="1" displayFolder="" measureGroup="Sales-Export_2019-2020" count="0" oneField="1">
      <fieldsUsage count="1">
        <fieldUsage x="6"/>
      </fieldsUsage>
    </cacheHierarchy>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0.581285416665" backgroundQuery="1" createdVersion="8" refreshedVersion="8" minRefreshableVersion="3" recordCount="0" supportSubquery="1" supportAdvancedDrill="1" xr:uid="{B9E97AAB-444D-4D27-B331-F53F7A4EB4B9}">
  <cacheSource type="external" connectionId="4"/>
  <cacheFields count="3">
    <cacheField name="[Sales-Export_2019-2020].[date (Month)].[date (Month)]" caption="date (Month)" numFmtId="0" hierarchy="23" level="1">
      <sharedItems count="12">
        <s v="Jan"/>
        <s v="Feb"/>
        <s v="Mar"/>
        <s v="Apr"/>
        <s v="May"/>
        <s v="Jun"/>
        <s v="Jul"/>
        <s v="Aug"/>
        <s v="Sep"/>
        <s v="Oct"/>
        <s v="Nov"/>
        <s v="Dec"/>
      </sharedItems>
    </cacheField>
    <cacheField name="[Sales-Export_2019-2020].[date (Year)].[date (Year)]" caption="date (Year)" numFmtId="0" hierarchy="21" level="1">
      <sharedItems count="2">
        <s v="2019"/>
        <s v="2020"/>
      </sharedItems>
    </cacheField>
    <cacheField name="[Measures].[Difference in share of profits and sales]" caption="Difference in share of profits and sales" numFmtId="0" hierarchy="40"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0"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1"/>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2" memberValueDatatype="130" unbalanced="0">
      <fieldsUsage count="2">
        <fieldUsage x="-1"/>
        <fieldUsage x="0"/>
      </fieldsUsage>
    </cacheHierarchy>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oneField="1">
      <fieldsUsage count="1">
        <fieldUsage x="2"/>
      </fieldsUsage>
    </cacheHierarchy>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0.865639930555" backgroundQuery="1" createdVersion="8" refreshedVersion="8" minRefreshableVersion="3" recordCount="0" supportSubquery="1" supportAdvancedDrill="1" xr:uid="{6D6BF164-DAEE-4595-84C5-02DB9CD039DF}">
  <cacheSource type="external" connectionId="4"/>
  <cacheFields count="3">
    <cacheField name="[Sales-Export_2019-2020].[date (Year)].[date (Year)]" caption="date (Year)" numFmtId="0" hierarchy="21" level="1">
      <sharedItems count="2">
        <s v="2019"/>
        <s v="2020"/>
      </sharedItems>
    </cacheField>
    <cacheField name="[Sales-Export_2019-2020].[date (Month)].[date (Month)]" caption="date (Month)" numFmtId="0" hierarchy="23" level="1">
      <sharedItems count="12">
        <s v="Jan"/>
        <s v="Feb"/>
        <s v="Mar"/>
        <s v="Apr"/>
        <s v="May"/>
        <s v="Jun"/>
        <s v="Jul"/>
        <s v="Aug"/>
        <s v="Sep"/>
        <s v="Oct"/>
        <s v="Nov"/>
        <s v="Dec"/>
      </sharedItems>
    </cacheField>
    <cacheField name="[Measures].[Average of order_value_GBP 2]" caption="Average of order_value_GBP 2" numFmtId="0" hierarchy="58"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0"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0"/>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2" memberValueDatatype="130" unbalanced="0">
      <fieldsUsage count="2">
        <fieldUsage x="-1"/>
        <fieldUsage x="1"/>
      </fieldsUsage>
    </cacheHierarchy>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0.579768171294" backgroundQuery="1" createdVersion="8" refreshedVersion="8" minRefreshableVersion="3" recordCount="0" supportSubquery="1" supportAdvancedDrill="1" xr:uid="{9BF13724-7D5A-420D-AD84-8A71BE499C87}">
  <cacheSource type="external" connectionId="4"/>
  <cacheFields count="3">
    <cacheField name="[Sales-Export_2019-2020].[date (Month)].[date (Month)]" caption="date (Month)" numFmtId="0" hierarchy="23" level="1">
      <sharedItems count="12">
        <s v="Jan"/>
        <s v="Feb"/>
        <s v="Mar"/>
        <s v="Apr"/>
        <s v="May"/>
        <s v="Jun"/>
        <s v="Jul"/>
        <s v="Aug"/>
        <s v="Sep"/>
        <s v="Oct"/>
        <s v="Nov"/>
        <s v="Dec"/>
      </sharedItems>
    </cacheField>
    <cacheField name="[Sales-Export_2019-2020].[date (Year)].[date (Year)]" caption="date (Year)" numFmtId="0" hierarchy="21" level="1">
      <sharedItems count="2">
        <s v="2019"/>
        <s v="2020"/>
      </sharedItems>
    </cacheField>
    <cacheField name="[Measures].[Avg Profit per Sale]" caption="Avg Profit per Sale" numFmtId="0" hierarchy="41"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0"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1"/>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2" memberValueDatatype="130" unbalanced="0">
      <fieldsUsage count="2">
        <fieldUsage x="-1"/>
        <fieldUsage x="0"/>
      </fieldsUsage>
    </cacheHierarchy>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oneField="1">
      <fieldsUsage count="1">
        <fieldUsage x="2"/>
      </fieldsUsage>
    </cacheHierarchy>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0.565062268521" backgroundQuery="1" createdVersion="8" refreshedVersion="8" minRefreshableVersion="3" recordCount="0" supportSubquery="1" supportAdvancedDrill="1" xr:uid="{70C30754-A2F3-4E2F-9641-2D1FEB6B8BB9}">
  <cacheSource type="external" connectionId="4"/>
  <cacheFields count="6">
    <cacheField name="[Sales-Export_2019-2020].[date (Year)].[date (Year)]" caption="date (Year)" numFmtId="0" hierarchy="21" level="1">
      <sharedItems count="2">
        <s v="2019"/>
        <s v="2020"/>
      </sharedItems>
    </cacheField>
    <cacheField name="[Sales-Export_2019-2020].[date (Month)].[date (Month)]" caption="date (Month)" numFmtId="0" hierarchy="23" level="1">
      <sharedItems count="12">
        <s v="Jan"/>
        <s v="Feb"/>
        <s v="Mar"/>
        <s v="Apr"/>
        <s v="May"/>
        <s v="Jun"/>
        <s v="Jul"/>
        <s v="Aug"/>
        <s v="Sep"/>
        <s v="Oct"/>
        <s v="Nov"/>
        <s v="Dec"/>
      </sharedItems>
    </cacheField>
    <cacheField name="[Measures].[Count of order_id 2]" caption="Count of order_id 2" numFmtId="0" hierarchy="59" level="32767"/>
    <cacheField name="[Measures].[Sum of order_value_GBP 2]" caption="Sum of order_value_GBP 2" numFmtId="0" hierarchy="57" level="32767"/>
    <cacheField name="[Measures].[Sum of cost 2]" caption="Sum of cost 2" numFmtId="0" hierarchy="53" level="32767"/>
    <cacheField name="[Measures].[Sum of Profit 2]" caption="Sum of Profit 2" numFmtId="0" hierarchy="61"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0"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0"/>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2" memberValueDatatype="130" unbalanced="0">
      <fieldsUsage count="2">
        <fieldUsage x="-1"/>
        <fieldUsage x="1"/>
      </fieldsUsage>
    </cacheHierarchy>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oneField="1" hidden="1">
      <fieldsUsage count="1">
        <fieldUsage x="4"/>
      </fieldsUsage>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oneField="1" hidden="1">
      <fieldsUsage count="1">
        <fieldUsage x="3"/>
      </fieldsUsage>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oneField="1" hidden="1">
      <fieldsUsage count="1">
        <fieldUsage x="2"/>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oneField="1" hidden="1">
      <fieldsUsage count="1">
        <fieldUsage x="5"/>
      </fieldsUsage>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0.551601041669" backgroundQuery="1" createdVersion="8" refreshedVersion="8" minRefreshableVersion="3" recordCount="0" supportSubquery="1" supportAdvancedDrill="1" xr:uid="{7D6D04B2-CE3A-4A66-926B-AD5001116035}">
  <cacheSource type="external" connectionId="4"/>
  <cacheFields count="3">
    <cacheField name="[Sales-Export_2019-2020].[date (Year)].[date (Year)]" caption="date (Year)" numFmtId="0" hierarchy="21" level="1">
      <sharedItems count="2">
        <s v="2019"/>
        <s v="2020"/>
      </sharedItems>
    </cacheField>
    <cacheField name="[Sales-Export_2019-2020].[date (Month)].[date (Month)]" caption="date (Month)" numFmtId="0" hierarchy="23" level="1">
      <sharedItems count="12">
        <s v="Jan"/>
        <s v="Feb"/>
        <s v="Mar"/>
        <s v="Apr"/>
        <s v="May"/>
        <s v="Jun"/>
        <s v="Jul"/>
        <s v="Aug"/>
        <s v="Sep"/>
        <s v="Oct"/>
        <s v="Nov"/>
        <s v="Dec"/>
      </sharedItems>
    </cacheField>
    <cacheField name="[Measures].[Sum of Profit 2]" caption="Sum of Profit 2" numFmtId="0" hierarchy="61"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0"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0"/>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2" memberValueDatatype="130" unbalanced="0">
      <fieldsUsage count="2">
        <fieldUsage x="-1"/>
        <fieldUsage x="1"/>
      </fieldsUsage>
    </cacheHierarchy>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0.550879629627" backgroundQuery="1" createdVersion="8" refreshedVersion="8" minRefreshableVersion="3" recordCount="0" supportSubquery="1" supportAdvancedDrill="1" xr:uid="{6E8D7037-CD5D-4BF2-880B-4E0BB2C3164C}">
  <cacheSource type="external" connectionId="4"/>
  <cacheFields count="3">
    <cacheField name="[Sales-Export_2019-2020].[date (Month)].[date (Month)]" caption="date (Month)" numFmtId="0" hierarchy="23" level="1">
      <sharedItems count="12">
        <s v="Jan"/>
        <s v="Feb"/>
        <s v="Mar"/>
        <s v="Apr"/>
        <s v="May"/>
        <s v="Jun"/>
        <s v="Jul"/>
        <s v="Aug"/>
        <s v="Sep"/>
        <s v="Oct"/>
        <s v="Nov"/>
        <s v="Dec"/>
      </sharedItems>
    </cacheField>
    <cacheField name="[Sales-Export_2019-2020].[date (Year)].[date (Year)]" caption="date (Year)" numFmtId="0" hierarchy="21" level="1">
      <sharedItems count="2">
        <s v="2019"/>
        <s v="2020"/>
      </sharedItems>
    </cacheField>
    <cacheField name="[Measures].[Profit Margin]" caption="Profit Margin" numFmtId="0" hierarchy="44"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0"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1"/>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2" memberValueDatatype="130" unbalanced="0">
      <fieldsUsage count="2">
        <fieldUsage x="-1"/>
        <fieldUsage x="0"/>
      </fieldsUsage>
    </cacheHierarchy>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oneField="1">
      <fieldsUsage count="1">
        <fieldUsage x="2"/>
      </fieldsUsage>
    </cacheHierarchy>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0.550697916668" backgroundQuery="1" createdVersion="8" refreshedVersion="8" minRefreshableVersion="3" recordCount="0" supportSubquery="1" supportAdvancedDrill="1" xr:uid="{A5EC3769-6F8C-4A60-8FF1-D4268B25A81D}">
  <cacheSource type="external" connectionId="4"/>
  <cacheFields count="3">
    <cacheField name="[Measures].[Count of order_id 2]" caption="Count of order_id 2" numFmtId="0" hierarchy="59" level="32767"/>
    <cacheField name="[Sales-Export_2019-2020].[date (Year)].[date (Year)]" caption="date (Year)" numFmtId="0" hierarchy="21" level="1">
      <sharedItems count="2">
        <s v="2019"/>
        <s v="2020"/>
      </sharedItems>
    </cacheField>
    <cacheField name="[Sales-Export_2019-2020].[date (Month)].[date (Month)]" caption="date (Month)" numFmtId="0" hierarchy="23" level="1">
      <sharedItems count="12">
        <s v="Jan"/>
        <s v="Feb"/>
        <s v="Mar"/>
        <s v="Apr"/>
        <s v="May"/>
        <s v="Jun"/>
        <s v="Jul"/>
        <s v="Aug"/>
        <s v="Sep"/>
        <s v="Oct"/>
        <s v="Nov"/>
        <s v="Dec"/>
      </sharedItems>
    </cacheField>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0"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1"/>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2" memberValueDatatype="130" unbalanced="0">
      <fieldsUsage count="2">
        <fieldUsage x="-1"/>
        <fieldUsage x="2"/>
      </fieldsUsage>
    </cacheHierarchy>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0.55069398148" backgroundQuery="1" createdVersion="8" refreshedVersion="8" minRefreshableVersion="3" recordCount="0" supportSubquery="1" supportAdvancedDrill="1" xr:uid="{3EFFF71F-65F3-40A4-ACEC-F5C4DD49DB36}">
  <cacheSource type="external" connectionId="4"/>
  <cacheFields count="3">
    <cacheField name="[Sales-Export_2019-2020].[date (Month)].[date (Month)]" caption="date (Month)" numFmtId="0" hierarchy="23" level="1">
      <sharedItems count="12">
        <s v="Jan"/>
        <s v="Feb"/>
        <s v="Mar"/>
        <s v="Apr"/>
        <s v="May"/>
        <s v="Jun"/>
        <s v="Jul"/>
        <s v="Aug"/>
        <s v="Sep"/>
        <s v="Oct"/>
        <s v="Nov"/>
        <s v="Dec"/>
      </sharedItems>
    </cacheField>
    <cacheField name="[Sales-Export_2019-2020].[date (Year)].[date (Year)]" caption="date (Year)" numFmtId="0" hierarchy="21" level="1">
      <sharedItems count="2">
        <s v="2019"/>
        <s v="2020"/>
      </sharedItems>
    </cacheField>
    <cacheField name="[Measures].[Sum of order_value_GBP 2]" caption="Sum of order_value_GBP 2" numFmtId="0" hierarchy="57"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0"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1"/>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2" memberValueDatatype="130" unbalanced="0">
      <fieldsUsage count="2">
        <fieldUsage x="-1"/>
        <fieldUsage x="0"/>
      </fieldsUsage>
    </cacheHierarchy>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0.550702430555" backgroundQuery="1" createdVersion="8" refreshedVersion="8" minRefreshableVersion="3" recordCount="0" supportSubquery="1" supportAdvancedDrill="1" xr:uid="{B25858DB-05C1-4C6D-B98D-71C10C75DDB1}">
  <cacheSource type="external" connectionId="4"/>
  <cacheFields count="6">
    <cacheField name="[Sales-Export_2019-2020].[category].[category]" caption="category" numFmtId="0" hierarchy="15" level="1">
      <sharedItems count="10">
        <s v="Accessories"/>
        <s v="Appliances"/>
        <s v="Beauty"/>
        <s v="Books"/>
        <s v="Clothing"/>
        <s v="Electronics"/>
        <s v="Games"/>
        <s v="Other"/>
        <s v="Outdoors"/>
        <s v="Smartphones"/>
      </sharedItems>
    </cacheField>
    <cacheField name="[Sales-Export_2019-2020].[date (Year)].[date (Year)]" caption="date (Year)" numFmtId="0" hierarchy="21" level="1">
      <sharedItems count="2">
        <s v="2019"/>
        <s v="2020"/>
      </sharedItems>
    </cacheField>
    <cacheField name="[Measures].[Count of order_id 2]" caption="Count of order_id 2" numFmtId="0" hierarchy="59" level="32767"/>
    <cacheField name="[Measures].[Average of cost]" caption="Average of cost" numFmtId="0" hierarchy="55" level="32767"/>
    <cacheField name="[Measures].[Average of order_value_GBP 2]" caption="Average of order_value_GBP 2" numFmtId="0" hierarchy="58" level="32767"/>
    <cacheField name="[Measures].[Average of Profit 2]" caption="Average of Profit 2" numFmtId="0" hierarchy="63"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2" memberValueDatatype="130" unbalanced="0">
      <fieldsUsage count="2">
        <fieldUsage x="-1"/>
        <fieldUsage x="0"/>
      </fieldsUsage>
    </cacheHierarchy>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1"/>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0" memberValueDatatype="130" unbalanced="0"/>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oneField="1" hidden="1">
      <fieldsUsage count="1">
        <fieldUsage x="3"/>
      </fieldsUsage>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oneField="1" hidden="1">
      <fieldsUsage count="1">
        <fieldUsage x="4"/>
      </fieldsUsage>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oneField="1" hidden="1">
      <fieldsUsage count="1">
        <fieldUsage x="2"/>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oneField="1" hidden="1">
      <fieldsUsage count="1">
        <fieldUsage x="5"/>
      </fieldsUsage>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2.393555439812" backgroundQuery="1" createdVersion="8" refreshedVersion="8" minRefreshableVersion="3" recordCount="0" supportSubquery="1" supportAdvancedDrill="1" xr:uid="{B8BDD451-12F6-4951-AF02-FAE609DCC657}">
  <cacheSource type="external" connectionId="4"/>
  <cacheFields count="2">
    <cacheField name="[Sales-Export_2019-2020].[category].[category]" caption="category" numFmtId="0" hierarchy="15" level="1">
      <sharedItems count="10">
        <s v="Accessories"/>
        <s v="Appliances"/>
        <s v="Beauty"/>
        <s v="Books"/>
        <s v="Clothing"/>
        <s v="Electronics"/>
        <s v="Games"/>
        <s v="Other"/>
        <s v="Outdoors"/>
        <s v="Smartphones"/>
      </sharedItems>
    </cacheField>
    <cacheField name="[Measures].[Count of order_id 2]" caption="Count of order_id 2" numFmtId="0" hierarchy="59"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2" memberValueDatatype="130" unbalanced="0">
      <fieldsUsage count="2">
        <fieldUsage x="-1"/>
        <fieldUsage x="0"/>
      </fieldsUsage>
    </cacheHierarchy>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0" memberValueDatatype="130" unbalanced="0"/>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0" memberValueDatatype="130" unbalanced="0"/>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2.390884490742" backgroundQuery="1" createdVersion="8" refreshedVersion="8" minRefreshableVersion="3" recordCount="0" supportSubquery="1" supportAdvancedDrill="1" xr:uid="{517ECFB9-53D2-45B5-A9A5-58CB5182875C}">
  <cacheSource type="external" connectionId="4"/>
  <cacheFields count="2">
    <cacheField name="[Sales-Export_2019-2020].[category].[category]" caption="category" numFmtId="0" hierarchy="15" level="1">
      <sharedItems count="10">
        <s v="Accessories"/>
        <s v="Appliances"/>
        <s v="Beauty"/>
        <s v="Books"/>
        <s v="Clothing"/>
        <s v="Electronics"/>
        <s v="Games"/>
        <s v="Other"/>
        <s v="Outdoors"/>
        <s v="Smartphones"/>
      </sharedItems>
    </cacheField>
    <cacheField name="[Measures].[Sum of Profit 2]" caption="Sum of Profit 2" numFmtId="0" hierarchy="61"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2" memberValueDatatype="130" unbalanced="0">
      <fieldsUsage count="2">
        <fieldUsage x="-1"/>
        <fieldUsage x="0"/>
      </fieldsUsage>
    </cacheHierarchy>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0" memberValueDatatype="130" unbalanced="0"/>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0" memberValueDatatype="130" unbalanced="0"/>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1.780078935182" backgroundQuery="1" createdVersion="8" refreshedVersion="8" minRefreshableVersion="3" recordCount="0" supportSubquery="1" supportAdvancedDrill="1" xr:uid="{F73217DF-70C3-4CA7-BDC5-DFB058887501}">
  <cacheSource type="external" connectionId="4"/>
  <cacheFields count="3">
    <cacheField name="[Sales-Export_2019-2020].[sales_rep].[sales_rep]" caption="sales_rep" numFmtId="0" hierarchy="18" level="1">
      <sharedItems count="35">
        <s v="Alyosha Meah"/>
        <s v="Amelina Piscopiello"/>
        <s v="Anita Woakes"/>
        <s v="Aurelie Wren"/>
        <s v="Avrit Chanders"/>
        <s v="Bank Coumbe"/>
        <s v="Bernadine Fullagar"/>
        <s v="Bertha Walbrook"/>
        <s v="Brynn Dempster"/>
        <s v="Bunnie Tonbridge"/>
        <s v="Caro Morfield"/>
        <s v="Case Desorts"/>
        <s v="Casie MacBain"/>
        <s v="Cobby Andersen"/>
        <s v="Collin Mackness"/>
        <s v="Corene Shirer"/>
        <s v="Crysta Halls"/>
        <s v="Genevra Charrisson"/>
        <s v="Hortense Gerring"/>
        <s v="Jay Morefield"/>
        <s v="Jocelyn Laurentino"/>
        <s v="Joshua Prevost"/>
        <s v="Madelon Bront"/>
        <s v="Maighdiln Upcraft"/>
        <s v="Manuel Goudie"/>
        <s v="Mellicent Mattys"/>
        <s v="Nero Harbisher"/>
        <s v="Ora Grennan"/>
        <s v="Palm Wetherald"/>
        <s v="Perri Aldersley"/>
        <s v="Shermy McGready"/>
        <s v="Smitty Culverhouse"/>
        <s v="Tarrah Castelletti"/>
        <s v="Wat Bowkley"/>
        <s v="Winny Agnolo"/>
      </sharedItems>
    </cacheField>
    <cacheField name="[Sales-Export_2019-2020].[date (Year)].[date (Year)]" caption="date (Year)" numFmtId="0" hierarchy="21" level="1">
      <sharedItems count="2">
        <s v="2019"/>
        <s v="2020"/>
      </sharedItems>
    </cacheField>
    <cacheField name="[Measures].[Count of order_id 2]" caption="Count of order_id 2" numFmtId="0" hierarchy="59"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0"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2" memberValueDatatype="130" unbalanced="0">
      <fieldsUsage count="2">
        <fieldUsage x="-1"/>
        <fieldUsage x="0"/>
      </fieldsUsage>
    </cacheHierarchy>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1"/>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0" memberValueDatatype="130" unbalanced="0"/>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oneField="1" hidden="1">
      <fieldsUsage count="1">
        <fieldUsage x="2"/>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1.855206365741" backgroundQuery="1" createdVersion="8" refreshedVersion="8" minRefreshableVersion="3" recordCount="0" supportSubquery="1" supportAdvancedDrill="1" xr:uid="{4948DFD8-F420-497A-8034-2E353C40F411}">
  <cacheSource type="external" connectionId="4"/>
  <cacheFields count="2">
    <cacheField name="[Sales-Export_2019-2020].[sales_rep].[sales_rep]" caption="sales_rep" numFmtId="0" hierarchy="18" level="1">
      <sharedItems count="35">
        <s v="Alyosha Meah"/>
        <s v="Amelina Piscopiello"/>
        <s v="Anita Woakes"/>
        <s v="Aurelie Wren"/>
        <s v="Avrit Chanders"/>
        <s v="Bank Coumbe"/>
        <s v="Bernadine Fullagar"/>
        <s v="Bertha Walbrook"/>
        <s v="Brynn Dempster"/>
        <s v="Bunnie Tonbridge"/>
        <s v="Caro Morfield"/>
        <s v="Case Desorts"/>
        <s v="Casie MacBain"/>
        <s v="Cobby Andersen"/>
        <s v="Collin Mackness"/>
        <s v="Corene Shirer"/>
        <s v="Crysta Halls"/>
        <s v="Genevra Charrisson"/>
        <s v="Hortense Gerring"/>
        <s v="Jay Morefield"/>
        <s v="Jocelyn Laurentino"/>
        <s v="Joshua Prevost"/>
        <s v="Madelon Bront"/>
        <s v="Maighdiln Upcraft"/>
        <s v="Manuel Goudie"/>
        <s v="Mellicent Mattys"/>
        <s v="Nero Harbisher"/>
        <s v="Ora Grennan"/>
        <s v="Palm Wetherald"/>
        <s v="Perri Aldersley"/>
        <s v="Shermy McGready"/>
        <s v="Smitty Culverhouse"/>
        <s v="Tarrah Castelletti"/>
        <s v="Wat Bowkley"/>
        <s v="Winny Agnolo"/>
      </sharedItems>
    </cacheField>
    <cacheField name="[Measures].[Avg Profit per Sale]" caption="Avg Profit per Sale" numFmtId="0" hierarchy="41"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0"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2" memberValueDatatype="130" unbalanced="0">
      <fieldsUsage count="2">
        <fieldUsage x="-1"/>
        <fieldUsage x="0"/>
      </fieldsUsage>
    </cacheHierarchy>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0" memberValueDatatype="130" unbalanced="0"/>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0" memberValueDatatype="130" unbalanced="0"/>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oneField="1">
      <fieldsUsage count="1">
        <fieldUsage x="1"/>
      </fieldsUsage>
    </cacheHierarchy>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2.423044907409" backgroundQuery="1" createdVersion="8" refreshedVersion="8" minRefreshableVersion="3" recordCount="0" supportSubquery="1" supportAdvancedDrill="1" xr:uid="{D21375FC-2A0F-43D0-8D10-8087B6B86DD9}">
  <cacheSource type="external" connectionId="4"/>
  <cacheFields count="3">
    <cacheField name="[Sales-Export_2019-2020].[sales_rep].[sales_rep]" caption="sales_rep" numFmtId="0" hierarchy="18" level="1">
      <sharedItems count="35">
        <s v="Alyosha Meah"/>
        <s v="Amelina Piscopiello"/>
        <s v="Anita Woakes"/>
        <s v="Aurelie Wren"/>
        <s v="Avrit Chanders"/>
        <s v="Bank Coumbe"/>
        <s v="Bernadine Fullagar"/>
        <s v="Bertha Walbrook"/>
        <s v="Brynn Dempster"/>
        <s v="Bunnie Tonbridge"/>
        <s v="Caro Morfield"/>
        <s v="Case Desorts"/>
        <s v="Casie MacBain"/>
        <s v="Cobby Andersen"/>
        <s v="Collin Mackness"/>
        <s v="Corene Shirer"/>
        <s v="Crysta Halls"/>
        <s v="Genevra Charrisson"/>
        <s v="Hortense Gerring"/>
        <s v="Jay Morefield"/>
        <s v="Jocelyn Laurentino"/>
        <s v="Joshua Prevost"/>
        <s v="Madelon Bront"/>
        <s v="Maighdiln Upcraft"/>
        <s v="Manuel Goudie"/>
        <s v="Mellicent Mattys"/>
        <s v="Nero Harbisher"/>
        <s v="Ora Grennan"/>
        <s v="Palm Wetherald"/>
        <s v="Perri Aldersley"/>
        <s v="Shermy McGready"/>
        <s v="Smitty Culverhouse"/>
        <s v="Tarrah Castelletti"/>
        <s v="Wat Bowkley"/>
        <s v="Winny Agnolo"/>
      </sharedItems>
    </cacheField>
    <cacheField name="[Sales-Export_2019-2020].[category].[category]" caption="category" numFmtId="0" hierarchy="15" level="1">
      <sharedItems count="10">
        <s v="Accessories"/>
        <s v="Appliances"/>
        <s v="Beauty"/>
        <s v="Books"/>
        <s v="Clothing"/>
        <s v="Electronics"/>
        <s v="Games"/>
        <s v="Other"/>
        <s v="Outdoors"/>
        <s v="Smartphones"/>
      </sharedItems>
    </cacheField>
    <cacheField name="[Measures].[Count of order_id 2]" caption="Count of order_id 2" numFmtId="0" hierarchy="59"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2" memberValueDatatype="130" unbalanced="0">
      <fieldsUsage count="2">
        <fieldUsage x="-1"/>
        <fieldUsage x="1"/>
      </fieldsUsage>
    </cacheHierarchy>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2" memberValueDatatype="130" unbalanced="0">
      <fieldsUsage count="2">
        <fieldUsage x="-1"/>
        <fieldUsage x="0"/>
      </fieldsUsage>
    </cacheHierarchy>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0" memberValueDatatype="130" unbalanced="0"/>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0" memberValueDatatype="130" unbalanced="0"/>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oneField="1" hidden="1">
      <fieldsUsage count="1">
        <fieldUsage x="2"/>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1.847995949072" backgroundQuery="1" createdVersion="8" refreshedVersion="8" minRefreshableVersion="3" recordCount="0" supportSubquery="1" supportAdvancedDrill="1" xr:uid="{FFFB8CB4-11FD-4592-ACB8-6DC8B0D8BC87}">
  <cacheSource type="external" connectionId="4"/>
  <cacheFields count="2">
    <cacheField name="[Sales-Export_2019-2020].[category].[category]" caption="category" numFmtId="0" hierarchy="15" level="1">
      <sharedItems count="10">
        <s v="Accessories"/>
        <s v="Appliances"/>
        <s v="Beauty"/>
        <s v="Books"/>
        <s v="Clothing"/>
        <s v="Electronics"/>
        <s v="Games"/>
        <s v="Other"/>
        <s v="Outdoors"/>
        <s v="Smartphones"/>
      </sharedItems>
    </cacheField>
    <cacheField name="[Measures].[Avg Profit per Sale]" caption="Avg Profit per Sale" numFmtId="0" hierarchy="41"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2" memberValueDatatype="130" unbalanced="0">
      <fieldsUsage count="2">
        <fieldUsage x="-1"/>
        <fieldUsage x="0"/>
      </fieldsUsage>
    </cacheHierarchy>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0" memberValueDatatype="130" unbalanced="0"/>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0" memberValueDatatype="130" unbalanced="0"/>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oneField="1">
      <fieldsUsage count="1">
        <fieldUsage x="1"/>
      </fieldsUsage>
    </cacheHierarchy>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1.834251736109" backgroundQuery="1" createdVersion="8" refreshedVersion="8" minRefreshableVersion="3" recordCount="0" supportSubquery="1" supportAdvancedDrill="1" xr:uid="{9A621E5A-11FD-4CCA-99AA-B6B7BF7348EF}">
  <cacheSource type="external" connectionId="4"/>
  <cacheFields count="3">
    <cacheField name="[Sales-Export_2019-2020].[sales_rep].[sales_rep]" caption="sales_rep" numFmtId="0" hierarchy="18" level="1">
      <sharedItems count="35">
        <s v="Alyosha Meah"/>
        <s v="Amelina Piscopiello"/>
        <s v="Anita Woakes"/>
        <s v="Aurelie Wren"/>
        <s v="Avrit Chanders"/>
        <s v="Bank Coumbe"/>
        <s v="Bernadine Fullagar"/>
        <s v="Bertha Walbrook"/>
        <s v="Brynn Dempster"/>
        <s v="Bunnie Tonbridge"/>
        <s v="Caro Morfield"/>
        <s v="Case Desorts"/>
        <s v="Casie MacBain"/>
        <s v="Cobby Andersen"/>
        <s v="Collin Mackness"/>
        <s v="Corene Shirer"/>
        <s v="Crysta Halls"/>
        <s v="Genevra Charrisson"/>
        <s v="Hortense Gerring"/>
        <s v="Jay Morefield"/>
        <s v="Jocelyn Laurentino"/>
        <s v="Joshua Prevost"/>
        <s v="Madelon Bront"/>
        <s v="Maighdiln Upcraft"/>
        <s v="Manuel Goudie"/>
        <s v="Mellicent Mattys"/>
        <s v="Nero Harbisher"/>
        <s v="Ora Grennan"/>
        <s v="Palm Wetherald"/>
        <s v="Perri Aldersley"/>
        <s v="Shermy McGready"/>
        <s v="Smitty Culverhouse"/>
        <s v="Tarrah Castelletti"/>
        <s v="Wat Bowkley"/>
        <s v="Winny Agnolo"/>
      </sharedItems>
    </cacheField>
    <cacheField name="[Measures].[Avg Profit per Sale]" caption="Avg Profit per Sale" numFmtId="0" hierarchy="41" level="32767"/>
    <cacheField name="[Measures].[Count of order_id 2]" caption="Count of order_id 2" numFmtId="0" hierarchy="59"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0"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2" memberValueDatatype="130" unbalanced="0">
      <fieldsUsage count="2">
        <fieldUsage x="-1"/>
        <fieldUsage x="0"/>
      </fieldsUsage>
    </cacheHierarchy>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0" memberValueDatatype="130" unbalanced="0"/>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0" memberValueDatatype="130" unbalanced="0"/>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oneField="1">
      <fieldsUsage count="1">
        <fieldUsage x="1"/>
      </fieldsUsage>
    </cacheHierarchy>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oneField="1" hidden="1">
      <fieldsUsage count="1">
        <fieldUsage x="2"/>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2.61563252315" backgroundQuery="1" createdVersion="8" refreshedVersion="8" minRefreshableVersion="3" recordCount="0" supportSubquery="1" supportAdvancedDrill="1" xr:uid="{BF2701F9-84A4-4AED-8675-FF2926ADB53A}">
  <cacheSource type="external" connectionId="4"/>
  <cacheFields count="4">
    <cacheField name="[Sales-Export_2019-2020].[date (Year)].[date (Year)]" caption="date (Year)" numFmtId="0" hierarchy="21" level="1">
      <sharedItems count="2">
        <s v="2019"/>
        <s v="2020"/>
      </sharedItems>
    </cacheField>
    <cacheField name="[Sales-Export_2019-2020].[date (Month)].[date (Month)]" caption="date (Month)" numFmtId="0" hierarchy="23" level="1">
      <sharedItems count="12">
        <s v="Jan"/>
        <s v="Feb"/>
        <s v="Mar"/>
        <s v="Apr"/>
        <s v="May"/>
        <s v="Jun"/>
        <s v="Jul"/>
        <s v="Aug"/>
        <s v="Sep"/>
        <s v="Oct"/>
        <s v="Nov"/>
        <s v="Dec"/>
      </sharedItems>
    </cacheField>
    <cacheField name="[Measures].[Average of order_value_GBP 2]" caption="Average of order_value_GBP 2" numFmtId="0" hierarchy="58" level="32767"/>
    <cacheField name="[Measures].[Average of Profit 2]" caption="Average of Profit 2" numFmtId="0" hierarchy="63"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2"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0"/>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2" memberValueDatatype="130" unbalanced="0">
      <fieldsUsage count="2">
        <fieldUsage x="-1"/>
        <fieldUsage x="1"/>
      </fieldsUsage>
    </cacheHierarchy>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oneField="1" hidden="1">
      <fieldsUsage count="1">
        <fieldUsage x="3"/>
      </fieldsUsage>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3.720111574075" backgroundQuery="1" createdVersion="8" refreshedVersion="8" minRefreshableVersion="3" recordCount="0" supportSubquery="1" supportAdvancedDrill="1" xr:uid="{2DF9F380-2F2D-46B1-9309-C9F4AD051C95}">
  <cacheSource type="external" connectionId="4"/>
  <cacheFields count="5">
    <cacheField name="[Sales-Export_2019-2020].[customer_name].[customer_name]" caption="customer_name" numFmtId="0" hierarchy="16" level="1">
      <sharedItems count="75">
        <s v="Abbott, Roberts and Torp"/>
        <s v="Altenwerth-Konopelski"/>
        <s v="Armstrong-Little"/>
        <s v="Bashirian, Okuneva and Bechtelar"/>
        <s v="Baumbach Group"/>
        <s v="Christiansen, Donnelly and Bechtelar"/>
        <s v="Connelly-Mohr"/>
        <s v="Considine-Fisher"/>
        <s v="Corwin and Sons"/>
        <s v="Dibbert Inc"/>
        <s v="Dickinson, Hyatt and Berge"/>
        <s v="Farrell, Swaniawski and Crist"/>
        <s v="Fisher, Morar and Skiles"/>
        <s v="Franecki-White"/>
        <s v="Friesen and Sons"/>
        <s v="Friesen-Rath"/>
        <s v="Gislason-Stanton"/>
        <s v="Gleichner-Green"/>
        <s v="Goldner-Dibbert"/>
        <s v="Gorczany-Lehner"/>
        <s v="Hamill, Kulas and Roob"/>
        <s v="Hane Inc"/>
        <s v="Hartmann, Hane and Pfannerstill"/>
        <s v="Heaney, Gulgowski and Kshlerin"/>
        <s v="Hegmann Group"/>
        <s v="Hermiston, Simonis and Wisoky"/>
        <s v="Hessel-Stiedemann"/>
        <s v="Hilll-Vandervort"/>
        <s v="Homenick-Marvin"/>
        <s v="Jacobson, Marvin and Brown"/>
        <s v="Johns and Sons"/>
        <s v="Keeling, Monahan and Pollich"/>
        <s v="Kihn Inc"/>
        <s v="Kirlin and Sons"/>
        <s v="Konopelski LLC"/>
        <s v="Labadie and Sons"/>
        <s v="Larkin-Collier"/>
        <s v="Leffler, Prohaska and Streich"/>
        <s v="Lind, Mueller and Stoltenberg"/>
        <s v="Littel-Blick"/>
        <s v="Lubowitz, McLaughlin and Erdman"/>
        <s v="Lueilwitz, Kerluke and Lesch"/>
        <s v="Marquardt-Kuvalis"/>
        <s v="McClure Inc"/>
        <s v="McGlynn-Bergstrom"/>
        <s v="McGlynn-Prosacco"/>
        <s v="Morissette Group"/>
        <s v="Murray, Reichel and Nolan"/>
        <s v="O'Connell-Mitchell"/>
        <s v="Parisian, Steuber and Satterfield"/>
        <s v="Rath-Schroeder"/>
        <s v="Romaguera-Dietrich"/>
        <s v="Romaguera-Haley"/>
        <s v="Rowe, Hermiston and Kessler"/>
        <s v="Schmitt, Purdy and Johnson"/>
        <s v="Schoen-Keeling"/>
        <s v="Schowalter, Lesch and Beahan"/>
        <s v="Schuster Inc"/>
        <s v="Shanahan, Schaden and Parker"/>
        <s v="Smith Group"/>
        <s v="Spencer, Rogahn and Muller"/>
        <s v="Stamm Inc"/>
        <s v="Stamm-Zulauf"/>
        <s v="Stehr LLC"/>
        <s v="Stehr-Bogan"/>
        <s v="Swaniawski, Runolfsson and Green"/>
        <s v="Tillman and Sons"/>
        <s v="Tromp LLC"/>
        <s v="Walter LLC"/>
        <s v="West-Cummings"/>
        <s v="Wisoky Inc"/>
        <s v="Wiza and Sons"/>
        <s v="Wunsch LLC"/>
        <s v="Wyman Group"/>
        <s v="Zieme, Bailey and Herzog"/>
      </sharedItems>
    </cacheField>
    <cacheField name="[Measures].[Average of order_value_GBP 2]" caption="Average of order_value_GBP 2" numFmtId="0" hierarchy="58" level="32767"/>
    <cacheField name="[Measures].[Count of order_id 2]" caption="Count of order_id 2" numFmtId="0" hierarchy="59" level="32767"/>
    <cacheField name="[Sales-Export_2019-2020].[category].[category]" caption="category" numFmtId="0" hierarchy="15" level="1">
      <sharedItems containsSemiMixedTypes="0" containsNonDate="0" containsString="0"/>
    </cacheField>
    <cacheField name="[Measures].[Average of Profit 2]" caption="Average of Profit 2" numFmtId="0" hierarchy="63"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2" memberValueDatatype="130" unbalanced="0">
      <fieldsUsage count="2">
        <fieldUsage x="-1"/>
        <fieldUsage x="3"/>
      </fieldsUsage>
    </cacheHierarchy>
    <cacheHierarchy uniqueName="[Sales-Export_2019-2020].[customer_name]" caption="customer_name" attribute="1" defaultMemberUniqueName="[Sales-Export_2019-2020].[customer_name].[All]" allUniqueName="[Sales-Export_2019-2020].[customer_name].[All]" dimensionUniqueName="[Sales-Export_2019-2020]" displayFolder="" count="2" memberValueDatatype="130" unbalanced="0">
      <fieldsUsage count="2">
        <fieldUsage x="-1"/>
        <fieldUsage x="0"/>
      </fieldsUsage>
    </cacheHierarchy>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0" memberValueDatatype="130" unbalanced="0"/>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0" memberValueDatatype="130" unbalanced="0"/>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oneField="1" hidden="1">
      <fieldsUsage count="1">
        <fieldUsage x="2"/>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oneField="1" hidden="1">
      <fieldsUsage count="1">
        <fieldUsage x="4"/>
      </fieldsUsage>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4.355423032408" backgroundQuery="1" createdVersion="8" refreshedVersion="8" minRefreshableVersion="3" recordCount="0" supportSubquery="1" supportAdvancedDrill="1" xr:uid="{02D2DBE2-E891-4176-BA4C-BD16790022F8}">
  <cacheSource type="external" connectionId="4"/>
  <cacheFields count="3">
    <cacheField name="[Sales-Export_2019-2020].[sales_rep].[sales_rep]" caption="sales_rep" numFmtId="0" hierarchy="18" level="1">
      <sharedItems count="35">
        <s v="Alyosha Meah"/>
        <s v="Amelina Piscopiello"/>
        <s v="Anita Woakes"/>
        <s v="Aurelie Wren"/>
        <s v="Avrit Chanders"/>
        <s v="Bank Coumbe"/>
        <s v="Bernadine Fullagar"/>
        <s v="Bertha Walbrook"/>
        <s v="Brynn Dempster"/>
        <s v="Bunnie Tonbridge"/>
        <s v="Caro Morfield"/>
        <s v="Case Desorts"/>
        <s v="Casie MacBain"/>
        <s v="Cobby Andersen"/>
        <s v="Collin Mackness"/>
        <s v="Corene Shirer"/>
        <s v="Crysta Halls"/>
        <s v="Genevra Charrisson"/>
        <s v="Hortense Gerring"/>
        <s v="Jay Morefield"/>
        <s v="Jocelyn Laurentino"/>
        <s v="Joshua Prevost"/>
        <s v="Madelon Bront"/>
        <s v="Maighdiln Upcraft"/>
        <s v="Manuel Goudie"/>
        <s v="Mellicent Mattys"/>
        <s v="Nero Harbisher"/>
        <s v="Ora Grennan"/>
        <s v="Palm Wetherald"/>
        <s v="Perri Aldersley"/>
        <s v="Shermy McGready"/>
        <s v="Smitty Culverhouse"/>
        <s v="Tarrah Castelletti"/>
        <s v="Wat Bowkley"/>
        <s v="Winny Agnolo"/>
      </sharedItems>
    </cacheField>
    <cacheField name="[Measures].[Total Profit]" caption="Total Profit" numFmtId="0" hierarchy="42" level="32767"/>
    <cacheField name="[Sales-Export_2019-2020].[date (Year)].[date (Year)]" caption="date (Year)" numFmtId="0" hierarchy="21" level="1">
      <sharedItems count="2">
        <s v="2019"/>
        <s v="2020"/>
      </sharedItems>
    </cacheField>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0"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2" memberValueDatatype="130" unbalanced="0">
      <fieldsUsage count="2">
        <fieldUsage x="-1"/>
        <fieldUsage x="0"/>
      </fieldsUsage>
    </cacheHierarchy>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2"/>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0" memberValueDatatype="130" unbalanced="0"/>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oneField="1">
      <fieldsUsage count="1">
        <fieldUsage x="1"/>
      </fieldsUsage>
    </cacheHierarchy>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4.355750578703" backgroundQuery="1" createdVersion="8" refreshedVersion="8" minRefreshableVersion="3" recordCount="0" supportSubquery="1" supportAdvancedDrill="1" xr:uid="{3BF191F0-2B49-4CD0-AF70-9AD59B1955E3}">
  <cacheSource type="external" connectionId="4"/>
  <cacheFields count="3">
    <cacheField name="[Sales-Export_2019-2020].[sales_rep].[sales_rep]" caption="sales_rep" numFmtId="0" hierarchy="18" level="1">
      <sharedItems count="35">
        <s v="Alyosha Meah"/>
        <s v="Amelina Piscopiello"/>
        <s v="Anita Woakes"/>
        <s v="Aurelie Wren"/>
        <s v="Avrit Chanders"/>
        <s v="Bank Coumbe"/>
        <s v="Bernadine Fullagar"/>
        <s v="Bertha Walbrook"/>
        <s v="Brynn Dempster"/>
        <s v="Bunnie Tonbridge"/>
        <s v="Caro Morfield"/>
        <s v="Case Desorts"/>
        <s v="Casie MacBain"/>
        <s v="Cobby Andersen"/>
        <s v="Collin Mackness"/>
        <s v="Corene Shirer"/>
        <s v="Crysta Halls"/>
        <s v="Genevra Charrisson"/>
        <s v="Hortense Gerring"/>
        <s v="Jay Morefield"/>
        <s v="Jocelyn Laurentino"/>
        <s v="Joshua Prevost"/>
        <s v="Madelon Bront"/>
        <s v="Maighdiln Upcraft"/>
        <s v="Manuel Goudie"/>
        <s v="Mellicent Mattys"/>
        <s v="Nero Harbisher"/>
        <s v="Ora Grennan"/>
        <s v="Palm Wetherald"/>
        <s v="Perri Aldersley"/>
        <s v="Shermy McGready"/>
        <s v="Smitty Culverhouse"/>
        <s v="Tarrah Castelletti"/>
        <s v="Wat Bowkley"/>
        <s v="Winny Agnolo"/>
      </sharedItems>
    </cacheField>
    <cacheField name="[Sales-Export_2019-2020].[date (Year)].[date (Year)]" caption="date (Year)" numFmtId="0" hierarchy="21" level="1">
      <sharedItems count="2">
        <s v="2019"/>
        <s v="2020"/>
      </sharedItems>
    </cacheField>
    <cacheField name="[Measures].[Sum of order_value_GBP 2]" caption="Sum of order_value_GBP 2" numFmtId="0" hierarchy="57"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0"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2" memberValueDatatype="130" unbalanced="0">
      <fieldsUsage count="2">
        <fieldUsage x="-1"/>
        <fieldUsage x="0"/>
      </fieldsUsage>
    </cacheHierarchy>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1"/>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0" memberValueDatatype="130" unbalanced="0"/>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4.360383912041" backgroundQuery="1" createdVersion="8" refreshedVersion="8" minRefreshableVersion="3" recordCount="0" supportSubquery="1" supportAdvancedDrill="1" xr:uid="{96A817AE-AF4E-4C94-B28B-8603BB24455A}">
  <cacheSource type="external" connectionId="4"/>
  <cacheFields count="3">
    <cacheField name="[Sales-Export_2019-2020].[sales_rep].[sales_rep]" caption="sales_rep" numFmtId="0" hierarchy="18" level="1">
      <sharedItems count="35">
        <s v="Alyosha Meah"/>
        <s v="Amelina Piscopiello"/>
        <s v="Anita Woakes"/>
        <s v="Aurelie Wren"/>
        <s v="Avrit Chanders"/>
        <s v="Bank Coumbe"/>
        <s v="Bernadine Fullagar"/>
        <s v="Bertha Walbrook"/>
        <s v="Brynn Dempster"/>
        <s v="Bunnie Tonbridge"/>
        <s v="Caro Morfield"/>
        <s v="Case Desorts"/>
        <s v="Casie MacBain"/>
        <s v="Cobby Andersen"/>
        <s v="Collin Mackness"/>
        <s v="Corene Shirer"/>
        <s v="Crysta Halls"/>
        <s v="Genevra Charrisson"/>
        <s v="Hortense Gerring"/>
        <s v="Jay Morefield"/>
        <s v="Jocelyn Laurentino"/>
        <s v="Joshua Prevost"/>
        <s v="Madelon Bront"/>
        <s v="Maighdiln Upcraft"/>
        <s v="Manuel Goudie"/>
        <s v="Mellicent Mattys"/>
        <s v="Nero Harbisher"/>
        <s v="Ora Grennan"/>
        <s v="Palm Wetherald"/>
        <s v="Perri Aldersley"/>
        <s v="Shermy McGready"/>
        <s v="Smitty Culverhouse"/>
        <s v="Tarrah Castelletti"/>
        <s v="Wat Bowkley"/>
        <s v="Winny Agnolo"/>
      </sharedItems>
    </cacheField>
    <cacheField name="[Sales-Export_2019-2020].[date (Year)].[date (Year)]" caption="date (Year)" numFmtId="0" hierarchy="21" level="1">
      <sharedItems count="2">
        <s v="2019"/>
        <s v="2020"/>
      </sharedItems>
    </cacheField>
    <cacheField name="[Measures].[Average of Profit 2]" caption="Average of Profit 2" numFmtId="0" hierarchy="63"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0" memberValueDatatype="130" unbalanced="0"/>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2" memberValueDatatype="130" unbalanced="0">
      <fieldsUsage count="2">
        <fieldUsage x="-1"/>
        <fieldUsage x="0"/>
      </fieldsUsage>
    </cacheHierarchy>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1"/>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0" memberValueDatatype="130" unbalanced="0"/>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Cohen" refreshedDate="46304.627010069446" backgroundQuery="1" createdVersion="8" refreshedVersion="8" minRefreshableVersion="3" recordCount="0" supportSubquery="1" supportAdvancedDrill="1" xr:uid="{20C010CF-9E87-47A5-B1CD-CD48B8F1E3B0}">
  <cacheSource type="external" connectionId="4"/>
  <cacheFields count="5">
    <cacheField name="[Sales-Export_2019-2020].[category].[category]" caption="category" numFmtId="0" hierarchy="15" level="1">
      <sharedItems count="10">
        <s v="Accessories"/>
        <s v="Appliances"/>
        <s v="Beauty"/>
        <s v="Books"/>
        <s v="Clothing"/>
        <s v="Electronics"/>
        <s v="Games"/>
        <s v="Other"/>
        <s v="Outdoors"/>
        <s v="Smartphones"/>
      </sharedItems>
    </cacheField>
    <cacheField name="[Sales-Export_2019-2020].[date (Year)].[date (Year)]" caption="date (Year)" numFmtId="0" hierarchy="21" level="1">
      <sharedItems count="2">
        <s v="2019"/>
        <s v="2020"/>
      </sharedItems>
    </cacheField>
    <cacheField name="[Sales-Export_2019-2020].[date (Month)].[date (Month)]" caption="date (Month)" numFmtId="0" hierarchy="23" level="1">
      <sharedItems count="12">
        <s v="Jan"/>
        <s v="Feb"/>
        <s v="Mar"/>
        <s v="Apr"/>
        <s v="May"/>
        <s v="Jun"/>
        <s v="Jul"/>
        <s v="Aug"/>
        <s v="Sep"/>
        <s v="Oct"/>
        <s v="Nov"/>
        <s v="Dec"/>
      </sharedItems>
    </cacheField>
    <cacheField name="[Measures].[Count of order_id 2]" caption="Count of order_id 2" numFmtId="0" hierarchy="59" level="32767"/>
    <cacheField name="[Measures].[Average of order_value_GBP 2]" caption="Average of order_value_GBP 2" numFmtId="0" hierarchy="58" level="32767"/>
  </cacheFields>
  <cacheHierarchies count="65">
    <cacheHierarchy uniqueName="[Sales_Export_2019_2020__2].[country]" caption="country" attribute="1" defaultMemberUniqueName="[Sales_Export_2019_2020__2].[country].[All]" allUniqueName="[Sales_Export_2019_2020__2].[country].[All]" dimensionUniqueName="[Sales_Export_2019_2020__2]" displayFolder="" count="0" memberValueDatatype="130" unbalanced="0"/>
    <cacheHierarchy uniqueName="[Sales_Export_2019_2020__2].[order_value_GBP]" caption="order_value_GBP" attribute="1" defaultMemberUniqueName="[Sales_Export_2019_2020__2].[order_value_GBP].[All]" allUniqueName="[Sales_Export_2019_2020__2].[order_value_GBP].[All]" dimensionUniqueName="[Sales_Export_2019_2020__2]" displayFolder="" count="0" memberValueDatatype="5" unbalanced="0"/>
    <cacheHierarchy uniqueName="[Sales_Export_2019_2020__2].[cost]" caption="cost" attribute="1" defaultMemberUniqueName="[Sales_Export_2019_2020__2].[cost].[All]" allUniqueName="[Sales_Export_2019_2020__2].[cost].[All]" dimensionUniqueName="[Sales_Export_2019_2020__2]" displayFolder="" count="0" memberValueDatatype="5" unbalanced="0"/>
    <cacheHierarchy uniqueName="[Sales_Export_2019_2020__2].[date]" caption="date" attribute="1" time="1" defaultMemberUniqueName="[Sales_Export_2019_2020__2].[date].[All]" allUniqueName="[Sales_Export_2019_2020__2].[date].[All]" dimensionUniqueName="[Sales_Export_2019_2020__2]" displayFolder="" count="0" memberValueDatatype="7" unbalanced="0"/>
    <cacheHierarchy uniqueName="[Sales_Export_2019_2020__2].[category]" caption="category" attribute="1" defaultMemberUniqueName="[Sales_Export_2019_2020__2].[category].[All]" allUniqueName="[Sales_Export_2019_2020__2].[category].[All]" dimensionUniqueName="[Sales_Export_2019_2020__2]" displayFolder="" count="0" memberValueDatatype="130" unbalanced="0"/>
    <cacheHierarchy uniqueName="[Sales_Export_2019_2020__2].[customer_name]" caption="customer_name" attribute="1" defaultMemberUniqueName="[Sales_Export_2019_2020__2].[customer_name].[All]" allUniqueName="[Sales_Export_2019_2020__2].[customer_name].[All]" dimensionUniqueName="[Sales_Export_2019_2020__2]" displayFolder="" count="0" memberValueDatatype="130" unbalanced="0"/>
    <cacheHierarchy uniqueName="[Sales_Export_2019_2020__2].[sales_manager]" caption="sales_manager" attribute="1" defaultMemberUniqueName="[Sales_Export_2019_2020__2].[sales_manager].[All]" allUniqueName="[Sales_Export_2019_2020__2].[sales_manager].[All]" dimensionUniqueName="[Sales_Export_2019_2020__2]" displayFolder="" count="0" memberValueDatatype="130" unbalanced="0"/>
    <cacheHierarchy uniqueName="[Sales_Export_2019_2020__2].[sales_rep]" caption="sales_rep" attribute="1" defaultMemberUniqueName="[Sales_Export_2019_2020__2].[sales_rep].[All]" allUniqueName="[Sales_Export_2019_2020__2].[sales_rep].[All]" dimensionUniqueName="[Sales_Export_2019_2020__2]" displayFolder="" count="0" memberValueDatatype="130" unbalanced="0"/>
    <cacheHierarchy uniqueName="[Sales_Export_2019_2020__2].[device_type]" caption="device_type" attribute="1" defaultMemberUniqueName="[Sales_Export_2019_2020__2].[device_type].[All]" allUniqueName="[Sales_Export_2019_2020__2].[device_type].[All]" dimensionUniqueName="[Sales_Export_2019_2020__2]" displayFolder="" count="0" memberValueDatatype="130" unbalanced="0"/>
    <cacheHierarchy uniqueName="[Sales_Export_2019_2020__2].[order_id]" caption="order_id" attribute="1" defaultMemberUniqueName="[Sales_Export_2019_2020__2].[order_id].[All]" allUniqueName="[Sales_Export_2019_2020__2].[order_id].[All]" dimensionUniqueName="[Sales_Export_2019_2020__2]" displayFolder="" count="0" memberValueDatatype="130" unbalanced="0"/>
    <cacheHierarchy uniqueName="[Sales_Export_2019_2020__2].[profit]" caption="profit" attribute="1" defaultMemberUniqueName="[Sales_Export_2019_2020__2].[profit].[All]" allUniqueName="[Sales_Export_2019_2020__2].[profit].[All]" dimensionUniqueName="[Sales_Export_2019_2020__2]" displayFolder="" count="0" memberValueDatatype="5" unbalanced="0"/>
    <cacheHierarchy uniqueName="[Sales-Export_2019-2020].[country]" caption="country" attribute="1" defaultMemberUniqueName="[Sales-Export_2019-2020].[country].[All]" allUniqueName="[Sales-Export_2019-2020].[country].[All]" dimensionUniqueName="[Sales-Export_2019-2020]" displayFolder="" count="0" memberValueDatatype="130" unbalanced="0"/>
    <cacheHierarchy uniqueName="[Sales-Export_2019-2020].[order_value_GBP]" caption="order_value_GBP" attribute="1" defaultMemberUniqueName="[Sales-Export_2019-2020].[order_value_GBP].[All]" allUniqueName="[Sales-Export_2019-2020].[order_value_GBP].[All]" dimensionUniqueName="[Sales-Export_2019-2020]" displayFolder="" count="0" memberValueDatatype="5" unbalanced="0"/>
    <cacheHierarchy uniqueName="[Sales-Export_2019-2020].[cost]" caption="cost" attribute="1" defaultMemberUniqueName="[Sales-Export_2019-2020].[cost].[All]" allUniqueName="[Sales-Export_2019-2020].[cost].[All]" dimensionUniqueName="[Sales-Export_2019-2020]" displayFolder="" count="0" memberValueDatatype="5" unbalanced="0"/>
    <cacheHierarchy uniqueName="[Sales-Export_2019-2020].[date]" caption="date" attribute="1" time="1" defaultMemberUniqueName="[Sales-Export_2019-2020].[date].[All]" allUniqueName="[Sales-Export_2019-2020].[date].[All]" dimensionUniqueName="[Sales-Export_2019-2020]" displayFolder="" count="0" memberValueDatatype="7" unbalanced="0"/>
    <cacheHierarchy uniqueName="[Sales-Export_2019-2020].[category]" caption="category" attribute="1" defaultMemberUniqueName="[Sales-Export_2019-2020].[category].[All]" allUniqueName="[Sales-Export_2019-2020].[category].[All]" dimensionUniqueName="[Sales-Export_2019-2020]" displayFolder="" count="2" memberValueDatatype="130" unbalanced="0">
      <fieldsUsage count="2">
        <fieldUsage x="-1"/>
        <fieldUsage x="0"/>
      </fieldsUsage>
    </cacheHierarchy>
    <cacheHierarchy uniqueName="[Sales-Export_2019-2020].[customer_name]" caption="customer_name" attribute="1" defaultMemberUniqueName="[Sales-Export_2019-2020].[customer_name].[All]" allUniqueName="[Sales-Export_2019-2020].[customer_name].[All]" dimensionUniqueName="[Sales-Export_2019-2020]" displayFolder="" count="0" memberValueDatatype="130" unbalanced="0"/>
    <cacheHierarchy uniqueName="[Sales-Export_2019-2020].[sales_manager]" caption="sales_manager" attribute="1" defaultMemberUniqueName="[Sales-Export_2019-2020].[sales_manager].[All]" allUniqueName="[Sales-Export_2019-2020].[sales_manager].[All]" dimensionUniqueName="[Sales-Export_2019-2020]" displayFolder="" count="0" memberValueDatatype="130" unbalanced="0"/>
    <cacheHierarchy uniqueName="[Sales-Export_2019-2020].[sales_rep]" caption="sales_rep" attribute="1" defaultMemberUniqueName="[Sales-Export_2019-2020].[sales_rep].[All]" allUniqueName="[Sales-Export_2019-2020].[sales_rep].[All]" dimensionUniqueName="[Sales-Export_2019-2020]" displayFolder="" count="0" memberValueDatatype="130" unbalanced="0"/>
    <cacheHierarchy uniqueName="[Sales-Export_2019-2020].[device_type]" caption="device_type" attribute="1" defaultMemberUniqueName="[Sales-Export_2019-2020].[device_type].[All]" allUniqueName="[Sales-Export_2019-2020].[device_type].[All]" dimensionUniqueName="[Sales-Export_2019-2020]" displayFolder="" count="0" memberValueDatatype="130" unbalanced="0"/>
    <cacheHierarchy uniqueName="[Sales-Export_2019-2020].[order_id]" caption="order_id" attribute="1" defaultMemberUniqueName="[Sales-Export_2019-2020].[order_id].[All]" allUniqueName="[Sales-Export_2019-2020].[order_id].[All]" dimensionUniqueName="[Sales-Export_2019-2020]" displayFolder="" count="0" memberValueDatatype="130" unbalanced="0"/>
    <cacheHierarchy uniqueName="[Sales-Export_2019-2020].[date (Year)]" caption="date (Year)" attribute="1" defaultMemberUniqueName="[Sales-Export_2019-2020].[date (Year)].[All]" allUniqueName="[Sales-Export_2019-2020].[date (Year)].[All]" dimensionUniqueName="[Sales-Export_2019-2020]" displayFolder="" count="2" memberValueDatatype="130" unbalanced="0">
      <fieldsUsage count="2">
        <fieldUsage x="-1"/>
        <fieldUsage x="1"/>
      </fieldsUsage>
    </cacheHierarchy>
    <cacheHierarchy uniqueName="[Sales-Export_2019-2020].[date (Quarter)]" caption="date (Quarter)" attribute="1" defaultMemberUniqueName="[Sales-Export_2019-2020].[date (Quarter)].[All]" allUniqueName="[Sales-Export_2019-2020].[date (Quarter)].[All]" dimensionUniqueName="[Sales-Export_2019-2020]" displayFolder="" count="0" memberValueDatatype="130" unbalanced="0"/>
    <cacheHierarchy uniqueName="[Sales-Export_2019-2020].[date (Month)]" caption="date (Month)" attribute="1" defaultMemberUniqueName="[Sales-Export_2019-2020].[date (Month)].[All]" allUniqueName="[Sales-Export_2019-2020].[date (Month)].[All]" dimensionUniqueName="[Sales-Export_2019-2020]" displayFolder="" count="2" memberValueDatatype="130" unbalanced="0">
      <fieldsUsage count="2">
        <fieldUsage x="-1"/>
        <fieldUsage x="2"/>
      </fieldsUsage>
    </cacheHierarchy>
    <cacheHierarchy uniqueName="[Sales-Export_2019-2020].[Profit]" caption="Profit" attribute="1" defaultMemberUniqueName="[Sales-Export_2019-2020].[Profit].[All]" allUniqueName="[Sales-Export_2019-2020].[Profit].[All]" dimensionUniqueName="[Sales-Export_2019-2020]" displayFolder="" count="0" memberValueDatatype="5" unbalanced="0"/>
    <cacheHierarchy uniqueName="[Sales-Export_2019-2020  3].[country]" caption="country" attribute="1" defaultMemberUniqueName="[Sales-Export_2019-2020  3].[country].[All]" allUniqueName="[Sales-Export_2019-2020  3].[country].[All]" dimensionUniqueName="[Sales-Export_2019-2020  3]" displayFolder="" count="0" memberValueDatatype="130" unbalanced="0"/>
    <cacheHierarchy uniqueName="[Sales-Export_2019-2020  3].[order_value_GBP]" caption="order_value_GBP" attribute="1" defaultMemberUniqueName="[Sales-Export_2019-2020  3].[order_value_GBP].[All]" allUniqueName="[Sales-Export_2019-2020  3].[order_value_GBP].[All]" dimensionUniqueName="[Sales-Export_2019-2020  3]" displayFolder="" count="0" memberValueDatatype="6" unbalanced="0"/>
    <cacheHierarchy uniqueName="[Sales-Export_2019-2020  3].[cost]" caption="cost" attribute="1" defaultMemberUniqueName="[Sales-Export_2019-2020  3].[cost].[All]" allUniqueName="[Sales-Export_2019-2020  3].[cost].[All]" dimensionUniqueName="[Sales-Export_2019-2020  3]" displayFolder="" count="0" memberValueDatatype="6" unbalanced="0"/>
    <cacheHierarchy uniqueName="[Sales-Export_2019-2020  3].[date]" caption="date" attribute="1" time="1" defaultMemberUniqueName="[Sales-Export_2019-2020  3].[date].[All]" allUniqueName="[Sales-Export_2019-2020  3].[date].[All]" dimensionUniqueName="[Sales-Export_2019-2020  3]" displayFolder="" count="0" memberValueDatatype="7" unbalanced="0"/>
    <cacheHierarchy uniqueName="[Sales-Export_2019-2020  3].[category]" caption="category" attribute="1" defaultMemberUniqueName="[Sales-Export_2019-2020  3].[category].[All]" allUniqueName="[Sales-Export_2019-2020  3].[category].[All]" dimensionUniqueName="[Sales-Export_2019-2020  3]" displayFolder="" count="0" memberValueDatatype="130" unbalanced="0"/>
    <cacheHierarchy uniqueName="[Sales-Export_2019-2020  3].[customer_name]" caption="customer_name" attribute="1" defaultMemberUniqueName="[Sales-Export_2019-2020  3].[customer_name].[All]" allUniqueName="[Sales-Export_2019-2020  3].[customer_name].[All]" dimensionUniqueName="[Sales-Export_2019-2020  3]" displayFolder="" count="0" memberValueDatatype="130" unbalanced="0"/>
    <cacheHierarchy uniqueName="[Sales-Export_2019-2020  3].[sales_manager]" caption="sales_manager" attribute="1" defaultMemberUniqueName="[Sales-Export_2019-2020  3].[sales_manager].[All]" allUniqueName="[Sales-Export_2019-2020  3].[sales_manager].[All]" dimensionUniqueName="[Sales-Export_2019-2020  3]" displayFolder="" count="0" memberValueDatatype="130" unbalanced="0"/>
    <cacheHierarchy uniqueName="[Sales-Export_2019-2020  3].[sales_rep]" caption="sales_rep" attribute="1" defaultMemberUniqueName="[Sales-Export_2019-2020  3].[sales_rep].[All]" allUniqueName="[Sales-Export_2019-2020  3].[sales_rep].[All]" dimensionUniqueName="[Sales-Export_2019-2020  3]" displayFolder="" count="0" memberValueDatatype="130" unbalanced="0"/>
    <cacheHierarchy uniqueName="[Sales-Export_2019-2020  3].[device_type]" caption="device_type" attribute="1" defaultMemberUniqueName="[Sales-Export_2019-2020  3].[device_type].[All]" allUniqueName="[Sales-Export_2019-2020  3].[device_type].[All]" dimensionUniqueName="[Sales-Export_2019-2020  3]" displayFolder="" count="0" memberValueDatatype="130" unbalanced="0"/>
    <cacheHierarchy uniqueName="[Sales-Export_2019-2020  3].[order_id]" caption="order_id" attribute="1" defaultMemberUniqueName="[Sales-Export_2019-2020  3].[order_id].[All]" allUniqueName="[Sales-Export_2019-2020  3].[order_id].[All]" dimensionUniqueName="[Sales-Export_2019-2020  3]" displayFolder="" count="0" memberValueDatatype="130" unbalanced="0"/>
    <cacheHierarchy uniqueName="[Sales-Export_2019-2020].[date (Month Index)]" caption="date (Month Index)" attribute="1" defaultMemberUniqueName="[Sales-Export_2019-2020].[date (Month Index)].[All]" allUniqueName="[Sales-Export_2019-2020].[date (Month Index)].[All]" dimensionUniqueName="[Sales-Export_2019-2020]" displayFolder="" count="0" memberValueDatatype="20" unbalanced="0" hidden="1"/>
    <cacheHierarchy uniqueName="[Measures].[Total Revenue]" caption="Total Revenue" measure="1" displayFolder="" measureGroup="Sales-Export_2019-2020" count="0"/>
    <cacheHierarchy uniqueName="[Measures].[Total Sales]" caption="Total Sales" measure="1" displayFolder="" measureGroup="Sales-Export_2019-2020" count="0"/>
    <cacheHierarchy uniqueName="[Measures].[Share of Revenue]" caption="Share of Revenue" measure="1" displayFolder="" measureGroup="Sales-Export_2019-2020" count="0"/>
    <cacheHierarchy uniqueName="[Measures].[Share of Sales]" caption="Share of Sales" measure="1" displayFolder="" measureGroup="Sales-Export_2019-2020" count="0"/>
    <cacheHierarchy uniqueName="[Measures].[Difference in share of profits and sales]" caption="Difference in share of profits and sales" measure="1" displayFolder="" measureGroup="Sales-Export_2019-2020" count="0"/>
    <cacheHierarchy uniqueName="[Measures].[Avg Profit per Sale]" caption="Avg Profit per Sale" measure="1" displayFolder="" measureGroup="Sales-Export_2019-2020" count="0"/>
    <cacheHierarchy uniqueName="[Measures].[Total Profit]" caption="Total Profit" measure="1" displayFolder="" measureGroup="Sales-Export_2019-2020" count="0"/>
    <cacheHierarchy uniqueName="[Measures].[Share of Profit]" caption="Share of Profit" measure="1" displayFolder="" measureGroup="Sales-Export_2019-2020" count="0"/>
    <cacheHierarchy uniqueName="[Measures].[Profit Margin]" caption="Profit Margin" measure="1" displayFolder="" measureGroup="Sales-Export_2019-2020" count="0"/>
    <cacheHierarchy uniqueName="[Measures].[Avg Order Size]" caption="Avg Order Size" measure="1" displayFolder="" measureGroup="Sales-Export_2019-2020" count="0"/>
    <cacheHierarchy uniqueName="[Measures].[__XL_Count Sales-Export_2019-2020]" caption="__XL_Count Sales-Export_2019-2020" measure="1" displayFolder="" measureGroup="Sales-Export_2019-2020" count="0" hidden="1"/>
    <cacheHierarchy uniqueName="[Measures].[__XL_Count Sales-Export_2019-2020  3]" caption="__XL_Count Sales-Export_2019-2020  3" measure="1" displayFolder="" measureGroup="Sales-Export_2019-2020  3" count="0" hidden="1"/>
    <cacheHierarchy uniqueName="[Measures].[__XL_Count Sales_Export_2019_2020__2]" caption="__XL_Count Sales_Export_2019_2020__2" measure="1" displayFolder="" measureGroup="Sales_Export_2019_2020__2" count="0" hidden="1"/>
    <cacheHierarchy uniqueName="[Measures].[__No measures defined]" caption="__No measures defined" measure="1" displayFolder="" count="0" hidden="1"/>
    <cacheHierarchy uniqueName="[Measures].[Sum of profit]" caption="Sum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Sales_Export_2019_2020__2" count="0" hidden="1">
      <extLst>
        <ext xmlns:x15="http://schemas.microsoft.com/office/spreadsheetml/2010/11/main" uri="{B97F6D7D-B522-45F9-BDA1-12C45D357490}">
          <x15:cacheHierarchy aggregatedColumn="9"/>
        </ext>
      </extLst>
    </cacheHierarchy>
    <cacheHierarchy uniqueName="[Measures].[Sum of cost]" caption="Sum of cost" measure="1" displayFolder="" measureGroup="Sales_Export_2019_2020__2" count="0" hidden="1">
      <extLst>
        <ext xmlns:x15="http://schemas.microsoft.com/office/spreadsheetml/2010/11/main" uri="{B97F6D7D-B522-45F9-BDA1-12C45D357490}">
          <x15:cacheHierarchy aggregatedColumn="2"/>
        </ext>
      </extLst>
    </cacheHierarchy>
    <cacheHierarchy uniqueName="[Measures].[Sum of cost 2]" caption="Sum of cost 2" measure="1" displayFolder="" measureGroup="Sales-Export_2019-2020" count="0" hidden="1">
      <extLst>
        <ext xmlns:x15="http://schemas.microsoft.com/office/spreadsheetml/2010/11/main" uri="{B97F6D7D-B522-45F9-BDA1-12C45D357490}">
          <x15:cacheHierarchy aggregatedColumn="13"/>
        </ext>
      </extLst>
    </cacheHierarchy>
    <cacheHierarchy uniqueName="[Measures].[Sum of order_value_GBP]" caption="Sum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Average of cost]" caption="Average of cost" measure="1" displayFolder="" measureGroup="Sales-Export_2019-2020" count="0" hidden="1">
      <extLst>
        <ext xmlns:x15="http://schemas.microsoft.com/office/spreadsheetml/2010/11/main" uri="{B97F6D7D-B522-45F9-BDA1-12C45D357490}">
          <x15:cacheHierarchy aggregatedColumn="13"/>
        </ext>
      </extLst>
    </cacheHierarchy>
    <cacheHierarchy uniqueName="[Measures].[Average of order_value_GBP]" caption="Average of order_value_GBP" measure="1" displayFolder="" measureGroup="Sales_Export_2019_2020__2" count="0" hidden="1">
      <extLst>
        <ext xmlns:x15="http://schemas.microsoft.com/office/spreadsheetml/2010/11/main" uri="{B97F6D7D-B522-45F9-BDA1-12C45D357490}">
          <x15:cacheHierarchy aggregatedColumn="1"/>
        </ext>
      </extLst>
    </cacheHierarchy>
    <cacheHierarchy uniqueName="[Measures].[Sum of order_value_GBP 2]" caption="Sum of order_value_GBP 2" measure="1" displayFolder="" measureGroup="Sales-Export_2019-2020" count="0" hidden="1">
      <extLst>
        <ext xmlns:x15="http://schemas.microsoft.com/office/spreadsheetml/2010/11/main" uri="{B97F6D7D-B522-45F9-BDA1-12C45D357490}">
          <x15:cacheHierarchy aggregatedColumn="12"/>
        </ext>
      </extLst>
    </cacheHierarchy>
    <cacheHierarchy uniqueName="[Measures].[Average of order_value_GBP 2]" caption="Average of order_value_GBP 2" measure="1" displayFolder="" measureGroup="Sales-Export_2019-2020" count="0" oneField="1" hidden="1">
      <fieldsUsage count="1">
        <fieldUsage x="4"/>
      </fieldsUsage>
      <extLst>
        <ext xmlns:x15="http://schemas.microsoft.com/office/spreadsheetml/2010/11/main" uri="{B97F6D7D-B522-45F9-BDA1-12C45D357490}">
          <x15:cacheHierarchy aggregatedColumn="12"/>
        </ext>
      </extLst>
    </cacheHierarchy>
    <cacheHierarchy uniqueName="[Measures].[Count of order_id 2]" caption="Count of order_id 2" measure="1" displayFolder="" measureGroup="Sales-Export_2019-2020" count="0" oneField="1" hidden="1">
      <fieldsUsage count="1">
        <fieldUsage x="3"/>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les_Export_2019_2020__2" count="0" hidden="1">
      <extLst>
        <ext xmlns:x15="http://schemas.microsoft.com/office/spreadsheetml/2010/11/main" uri="{B97F6D7D-B522-45F9-BDA1-12C45D357490}">
          <x15:cacheHierarchy aggregatedColumn="10"/>
        </ext>
      </extLst>
    </cacheHierarchy>
    <cacheHierarchy uniqueName="[Measures].[Sum of Profit 2]" caption="Sum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date (Year)]" caption="Count of date (Year)" measure="1" displayFolder="" measureGroup="Sales-Export_2019-2020" count="0" hidden="1">
      <extLst>
        <ext xmlns:x15="http://schemas.microsoft.com/office/spreadsheetml/2010/11/main" uri="{B97F6D7D-B522-45F9-BDA1-12C45D357490}">
          <x15:cacheHierarchy aggregatedColumn="21"/>
        </ext>
      </extLst>
    </cacheHierarchy>
    <cacheHierarchy uniqueName="[Measures].[Average of Profit 2]" caption="Average of Profit 2" measure="1" displayFolder="" measureGroup="Sales-Export_2019-2020" count="0" hidden="1">
      <extLst>
        <ext xmlns:x15="http://schemas.microsoft.com/office/spreadsheetml/2010/11/main" uri="{B97F6D7D-B522-45F9-BDA1-12C45D357490}">
          <x15:cacheHierarchy aggregatedColumn="24"/>
        </ext>
      </extLst>
    </cacheHierarchy>
    <cacheHierarchy uniqueName="[Measures].[Count of category]" caption="Count of category" measure="1" displayFolder="" measureGroup="Sales-Export_2019-2020" count="0" hidden="1">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Sales_Export_2019_2020__2" uniqueName="[Sales_Export_2019_2020__2]" caption="Sales_Export_2019_2020__2"/>
    <dimension name="Sales-Export_2019-2020" uniqueName="[Sales-Export_2019-2020]" caption="Sales-Export_2019-2020"/>
    <dimension name="Sales-Export_2019-2020  3" uniqueName="[Sales-Export_2019-2020  3]" caption="Sales-Export_2019-2020  3"/>
  </dimensions>
  <measureGroups count="3">
    <measureGroup name="Sales_Export_2019_2020__2" caption="Sales_Export_2019_2020__2"/>
    <measureGroup name="Sales-Export_2019-2020" caption="Sales-Export_2019-2020"/>
    <measureGroup name="Sales-Export_2019-2020  3" caption="Sales-Export_2019-2020  3"/>
  </measureGroups>
  <maps count="4">
    <map measureGroup="0" dimension="1"/>
    <map measureGroup="1"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BA7246-FA30-44AA-9E02-94229CDFFCBB}" name="PivotTable11" cacheId="0" applyNumberFormats="0" applyBorderFormats="0" applyFontFormats="0" applyPatternFormats="0" applyAlignmentFormats="0" applyWidthHeightFormats="1" dataCaption="Values" tag="2574f524-22db-42ce-84f0-55b0d26274f1" updatedVersion="8" minRefreshableVersion="3" useAutoFormatting="1" itemPrintTitles="1" createdVersion="8" indent="0" outline="1" outlineData="1" multipleFieldFilters="0" rowHeaderCaption="Year">
  <location ref="I20:P23" firstHeaderRow="0" firstDataRow="1" firstDataCol="1"/>
  <pivotFields count="8">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1">
    <field x="-2"/>
  </colFields>
  <colItems count="7">
    <i>
      <x/>
    </i>
    <i i="1">
      <x v="1"/>
    </i>
    <i i="2">
      <x v="2"/>
    </i>
    <i i="3">
      <x v="3"/>
    </i>
    <i i="4">
      <x v="4"/>
    </i>
    <i i="5">
      <x v="5"/>
    </i>
    <i i="6">
      <x v="6"/>
    </i>
  </colItems>
  <dataFields count="7">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167735-5A46-4785-A532-481B18EF345B}" name="Profit Margin by Month per Year" cacheId="6" applyNumberFormats="0" applyBorderFormats="0" applyFontFormats="0" applyPatternFormats="0" applyAlignmentFormats="0" applyWidthHeightFormats="1" dataCaption="Values" tag="d22b082c-8536-4073-8f59-3f9f660b1ed1" updatedVersion="8" minRefreshableVersion="3" useAutoFormatting="1" itemPrintTitles="1" createdVersion="8" indent="0" outline="1" outlineData="1" multipleFieldFilters="0" chartFormat="6">
  <location ref="P37:S51"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name="Profit Margin by Month" fld="2" subtotal="count"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rofit Margin by Month"/>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3D10C4-12C1-4B68-B846-0428AD33C77B}" name="PivotTable4" cacheId="1" applyNumberFormats="0" applyBorderFormats="0" applyFontFormats="0" applyPatternFormats="0" applyAlignmentFormats="0" applyWidthHeightFormats="1" dataCaption="Values" tag="071514fa-5c7c-4520-ae13-869de8e9c374" updatedVersion="8" minRefreshableVersion="3" useAutoFormatting="1" itemPrintTitles="1" createdVersion="8" indent="0" outline="1" outlineData="1" multipleFieldFilters="0" chartFormat="6">
  <location ref="G36:J50"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fld="2" subtotal="count" baseField="0" baseItem="0"/>
  </dataFields>
  <chartFormats count="2">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680CDF-9B57-4FC6-BA90-1ADDCCCD38D1}" name="Average Order Value by Month per Year" cacheId="2" applyNumberFormats="0" applyBorderFormats="0" applyFontFormats="0" applyPatternFormats="0" applyAlignmentFormats="0" applyWidthHeightFormats="1" dataCaption="Values" tag="4d9c9621-aee3-46e8-8f04-d67ab19addb0" updatedVersion="8" minRefreshableVersion="3" itemPrintTitles="1" createdVersion="8" indent="0" outline="1" outlineData="1" multipleFieldFilters="0" chartFormat="6" rowHeaderCaption="Month" colHeaderCaption="Year">
  <location ref="L19:O33"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1"/>
  </rowFields>
  <rowItems count="13">
    <i>
      <x/>
    </i>
    <i>
      <x v="1"/>
    </i>
    <i>
      <x v="2"/>
    </i>
    <i>
      <x v="3"/>
    </i>
    <i>
      <x v="4"/>
    </i>
    <i>
      <x v="5"/>
    </i>
    <i>
      <x v="6"/>
    </i>
    <i>
      <x v="7"/>
    </i>
    <i>
      <x v="8"/>
    </i>
    <i>
      <x v="9"/>
    </i>
    <i>
      <x v="10"/>
    </i>
    <i>
      <x v="11"/>
    </i>
    <i t="grand">
      <x/>
    </i>
  </rowItems>
  <colFields count="1">
    <field x="0"/>
  </colFields>
  <colItems count="3">
    <i>
      <x/>
    </i>
    <i>
      <x v="1"/>
    </i>
    <i t="grand">
      <x/>
    </i>
  </colItems>
  <dataFields count="1">
    <dataField name="Average Order Value by Month" fld="2" subtotal="average" baseField="0"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3E2317-5D16-4522-A27E-6852752EF734}" name="PivotTable1"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s average order val in each cat">
  <location ref="AE56:AH132" firstHeaderRow="0" firstDataRow="1" firstDataCol="1"/>
  <pivotFields count="5">
    <pivotField axis="axisRow" allDrilled="1" subtotalTop="0" showAll="0" dataSourceSort="1" defaultSubtotal="0" defaultAttributeDrillState="1">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t="grand">
      <x/>
    </i>
  </rowItems>
  <colFields count="1">
    <field x="-2"/>
  </colFields>
  <colItems count="3">
    <i>
      <x/>
    </i>
    <i i="1">
      <x v="1"/>
    </i>
    <i i="2">
      <x v="2"/>
    </i>
  </colItems>
  <dataFields count="3">
    <dataField name="Average Order Value" fld="1" subtotal="average" baseField="0" baseItem="0"/>
    <dataField name="Orders" fld="2" subtotal="count" baseField="0" baseItem="0"/>
    <dataField name="Average of Profit" fld="4" subtotal="average"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Export_2019-2020].[category].&amp;[Smartphon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rder Value"/>
    <pivotHierarchy dragToData="1"/>
    <pivotHierarchy dragToData="1"/>
    <pivotHierarchy dragToData="1"/>
    <pivotHierarchy dragToData="1"/>
    <pivotHierarchy dragToData="1" caption="Average of Profit"/>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F4D957-288A-45B0-9FED-D89B17D58217}" name="Revenue by Month per Year" cacheId="8" applyNumberFormats="0" applyBorderFormats="0" applyFontFormats="0" applyPatternFormats="0" applyAlignmentFormats="0" applyWidthHeightFormats="1" dataCaption="Values" tag="48df1398-9255-47cd-8808-f2b83068ce79" updatedVersion="8" minRefreshableVersion="3" useAutoFormatting="1" itemPrintTitles="1" createdVersion="8" indent="0" outline="1" outlineData="1" multipleFieldFilters="0" chartFormat="10" rowHeaderCaption="Month" colHeaderCaption="Year">
  <location ref="B19:E33" firstHeaderRow="1" firstDataRow="2" firstDataCol="1"/>
  <pivotFields count="3">
    <pivotField axis="axisRow" allDrilled="1" subtotalTop="0" showAll="0"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name="Monthly Revenue" fld="2" baseField="0" baseItem="0"/>
  </dataFields>
  <chartFormats count="4">
    <chartFormat chart="0" format="8" series="1">
      <pivotArea type="data" outline="0" fieldPosition="0">
        <references count="1">
          <reference field="1" count="1" selected="0">
            <x v="0"/>
          </reference>
        </references>
      </pivotArea>
    </chartFormat>
    <chartFormat chart="0" format="9" series="1">
      <pivotArea type="data" outline="0" fieldPosition="0">
        <references count="1">
          <reference field="1" count="1" selected="0">
            <x v="1"/>
          </reference>
        </references>
      </pivotArea>
    </chartFormat>
    <chartFormat chart="0" format="10" series="1">
      <pivotArea type="data" outline="0" fieldPosition="0">
        <references count="2">
          <reference field="4294967294" count="1" selected="0">
            <x v="0"/>
          </reference>
          <reference field="1" count="1" selected="0">
            <x v="1"/>
          </reference>
        </references>
      </pivotArea>
    </chartFormat>
    <chartFormat chart="0" format="11" series="1">
      <pivotArea type="data" outline="0" fieldPosition="0">
        <references count="2">
          <reference field="4294967294" count="1" selected="0">
            <x v="0"/>
          </reference>
          <reference field="1"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308EF1-E54C-4367-998D-EF5E068E75E4}" name="Avg Profit per Sale" cacheId="3" applyNumberFormats="0" applyBorderFormats="0" applyFontFormats="0" applyPatternFormats="0" applyAlignmentFormats="0" applyWidthHeightFormats="1" dataCaption="Values" tag="3d6984ce-c935-42cb-ac4f-03633fb6f880" updatedVersion="8" minRefreshableVersion="3" itemPrintTitles="1" createdVersion="8" indent="0" outline="1" outlineData="1" multipleFieldFilters="0" chartFormat="6" rowHeaderCaption="Customer" colHeaderCaption="Customer Analysis">
  <location ref="B36:E50"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fld="2" subtotal="count" baseField="0" baseItem="0"/>
  </dataFields>
  <chartFormats count="2">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altText="A"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0A5ABF-992F-4549-A875-B5DD3ABF4911}" name="Summary Table" cacheId="4" applyNumberFormats="0" applyBorderFormats="0" applyFontFormats="0" applyPatternFormats="0" applyAlignmentFormats="0" applyWidthHeightFormats="1" dataCaption="Values" tag="bdb8afca-ffff-494d-90d2-5f21696a4b22" updatedVersion="8" minRefreshableVersion="3" useAutoFormatting="1" subtotalHiddenItems="1" itemPrintTitles="1" createdVersion="8" indent="0" outline="1" outlineData="1" multipleFieldFilters="0" chartFormat="2" rowHeaderCaption="Month" colHeaderCaption="Monthly Summary">
  <location ref="B2:N17" firstHeaderRow="1" firstDataRow="3" firstDataCol="1"/>
  <pivotFields count="6">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13">
    <i>
      <x/>
    </i>
    <i>
      <x v="1"/>
    </i>
    <i>
      <x v="2"/>
    </i>
    <i>
      <x v="3"/>
    </i>
    <i>
      <x v="4"/>
    </i>
    <i>
      <x v="5"/>
    </i>
    <i>
      <x v="6"/>
    </i>
    <i>
      <x v="7"/>
    </i>
    <i>
      <x v="8"/>
    </i>
    <i>
      <x v="9"/>
    </i>
    <i>
      <x v="10"/>
    </i>
    <i>
      <x v="11"/>
    </i>
    <i t="grand">
      <x/>
    </i>
  </rowItems>
  <colFields count="2">
    <field x="0"/>
    <field x="-2"/>
  </colFields>
  <colItems count="12">
    <i>
      <x/>
      <x/>
    </i>
    <i r="1" i="1">
      <x v="1"/>
    </i>
    <i r="1" i="2">
      <x v="2"/>
    </i>
    <i r="1" i="3">
      <x v="3"/>
    </i>
    <i>
      <x v="1"/>
      <x/>
    </i>
    <i r="1" i="1">
      <x v="1"/>
    </i>
    <i r="1" i="2">
      <x v="2"/>
    </i>
    <i r="1" i="3">
      <x v="3"/>
    </i>
    <i t="grand">
      <x/>
    </i>
    <i t="grand" i="1">
      <x/>
    </i>
    <i t="grand" i="2">
      <x/>
    </i>
    <i t="grand" i="3">
      <x/>
    </i>
  </colItems>
  <dataFields count="4">
    <dataField name="Orders" fld="2" subtotal="count" baseField="0" baseItem="0"/>
    <dataField name="Revenue" fld="3" baseField="0" baseItem="0"/>
    <dataField name="Cost" fld="4" baseField="0" baseItem="0"/>
    <dataField name="Profit" fld="5" baseField="0" baseItem="0"/>
  </dataFields>
  <formats count="1">
    <format dxfId="8">
      <pivotArea type="origin" dataOnly="0" labelOnly="1" outline="0"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2">
    <colHierarchyUsage hierarchyUsage="2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B6CE70-F0A9-4BBD-A783-A5140C18073A}" name="PivotTable1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53:D80" firstHeaderRow="0" firstDataRow="1" firstDataCol="1"/>
  <pivotFields count="4">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dataFields count="2">
    <dataField name="Average Order Value" fld="2" subtotal="average" baseField="0" baseItem="0"/>
    <dataField name="Average Profit" fld="3" subtotal="average" baseField="0" baseItem="0"/>
  </dataFields>
  <chartFormats count="2">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AFF46A-A036-4579-B915-936DCF2CE064}" name="PivotTable2" cacheId="5" applyNumberFormats="0" applyBorderFormats="0" applyFontFormats="0" applyPatternFormats="0" applyAlignmentFormats="0" applyWidthHeightFormats="1" dataCaption="Values" tag="4b9a00e6-df06-4771-845a-c465a125bae9" updatedVersion="8" minRefreshableVersion="3" itemPrintTitles="1" createdVersion="8" indent="0" outline="1" outlineData="1" multipleFieldFilters="0" chartFormat="6">
  <location ref="V19:Y33"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1"/>
  </rowFields>
  <rowItems count="13">
    <i>
      <x/>
    </i>
    <i>
      <x v="1"/>
    </i>
    <i>
      <x v="2"/>
    </i>
    <i>
      <x v="3"/>
    </i>
    <i>
      <x v="4"/>
    </i>
    <i>
      <x v="5"/>
    </i>
    <i>
      <x v="6"/>
    </i>
    <i>
      <x v="7"/>
    </i>
    <i>
      <x v="8"/>
    </i>
    <i>
      <x v="9"/>
    </i>
    <i>
      <x v="10"/>
    </i>
    <i>
      <x v="11"/>
    </i>
    <i t="grand">
      <x/>
    </i>
  </rowItems>
  <colFields count="1">
    <field x="0"/>
  </colFields>
  <colItems count="3">
    <i>
      <x/>
    </i>
    <i>
      <x v="1"/>
    </i>
    <i t="grand">
      <x/>
    </i>
  </colItems>
  <dataFields count="1">
    <dataField name="Profit per Month" fld="2" baseField="0" baseItem="0"/>
  </dataField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FDDC70-4E08-44D3-A10E-94C008EC9D7A}" name="PivotTable11" cacheId="9" applyNumberFormats="0" applyBorderFormats="0" applyFontFormats="0" applyPatternFormats="0" applyAlignmentFormats="0" applyWidthHeightFormats="1" dataCaption="Values" tag="b00f7426-6e27-48d1-b03f-8565cd674744" updatedVersion="8" minRefreshableVersion="3" itemPrintTitles="1" createdVersion="8" indent="0" outline="1" outlineData="1" multipleFieldFilters="0" rowHeaderCaption="Category Breakdown" colHeaderCaption="Product Summary">
  <location ref="AE2:AQ15" firstHeaderRow="1" firstDataRow="3" firstDataCol="1"/>
  <pivotFields count="6">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2">
    <field x="1"/>
    <field x="-2"/>
  </colFields>
  <colItems count="12">
    <i>
      <x/>
      <x/>
    </i>
    <i r="1" i="1">
      <x v="1"/>
    </i>
    <i r="1" i="2">
      <x v="2"/>
    </i>
    <i r="1" i="3">
      <x v="3"/>
    </i>
    <i>
      <x v="1"/>
      <x/>
    </i>
    <i r="1" i="1">
      <x v="1"/>
    </i>
    <i r="1" i="2">
      <x v="2"/>
    </i>
    <i r="1" i="3">
      <x v="3"/>
    </i>
    <i t="grand">
      <x/>
    </i>
    <i t="grand" i="1">
      <x/>
    </i>
    <i t="grand" i="2">
      <x/>
    </i>
    <i t="grand" i="3">
      <x/>
    </i>
  </colItems>
  <dataFields count="4">
    <dataField name="Total Number of Sales" fld="2" subtotal="count" baseField="0" baseItem="0"/>
    <dataField name="Average Cost" fld="3" subtotal="average" baseField="0" baseItem="0"/>
    <dataField name="Average Order Value" fld="4" subtotal="average" baseField="0" baseItem="0"/>
    <dataField name="Average of Profit" fld="5" subtotal="average"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Cos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2">
    <colHierarchyUsage hierarchyUsage="2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E93477A-6FA8-445E-83A3-15B4A3BFF910}"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colHeaderCaption="Categories by Month">
  <location ref="AE18:CC32" firstHeaderRow="1" firstDataRow="4" firstDataCol="1"/>
  <pivotFields count="5">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2">
        <item x="0"/>
        <item x="1"/>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3">
    <field x="2"/>
    <field x="-2"/>
    <field x="1"/>
  </colFields>
  <colItems count="50">
    <i>
      <x/>
      <x/>
      <x/>
    </i>
    <i r="2">
      <x v="1"/>
    </i>
    <i r="1" i="1">
      <x v="1"/>
      <x/>
    </i>
    <i r="2" i="1">
      <x v="1"/>
    </i>
    <i>
      <x v="1"/>
      <x/>
      <x/>
    </i>
    <i r="2">
      <x v="1"/>
    </i>
    <i r="1" i="1">
      <x v="1"/>
      <x/>
    </i>
    <i r="2" i="1">
      <x v="1"/>
    </i>
    <i>
      <x v="2"/>
      <x/>
      <x/>
    </i>
    <i r="2">
      <x v="1"/>
    </i>
    <i r="1" i="1">
      <x v="1"/>
      <x/>
    </i>
    <i r="2" i="1">
      <x v="1"/>
    </i>
    <i>
      <x v="3"/>
      <x/>
      <x/>
    </i>
    <i r="2">
      <x v="1"/>
    </i>
    <i r="1" i="1">
      <x v="1"/>
      <x/>
    </i>
    <i r="2" i="1">
      <x v="1"/>
    </i>
    <i>
      <x v="4"/>
      <x/>
      <x/>
    </i>
    <i r="2">
      <x v="1"/>
    </i>
    <i r="1" i="1">
      <x v="1"/>
      <x/>
    </i>
    <i r="2" i="1">
      <x v="1"/>
    </i>
    <i>
      <x v="5"/>
      <x/>
      <x/>
    </i>
    <i r="2">
      <x v="1"/>
    </i>
    <i r="1" i="1">
      <x v="1"/>
      <x/>
    </i>
    <i r="2" i="1">
      <x v="1"/>
    </i>
    <i>
      <x v="6"/>
      <x/>
      <x/>
    </i>
    <i r="2">
      <x v="1"/>
    </i>
    <i r="1" i="1">
      <x v="1"/>
      <x/>
    </i>
    <i r="2" i="1">
      <x v="1"/>
    </i>
    <i>
      <x v="7"/>
      <x/>
      <x/>
    </i>
    <i r="2">
      <x v="1"/>
    </i>
    <i r="1" i="1">
      <x v="1"/>
      <x/>
    </i>
    <i r="2" i="1">
      <x v="1"/>
    </i>
    <i>
      <x v="8"/>
      <x/>
      <x/>
    </i>
    <i r="2">
      <x v="1"/>
    </i>
    <i r="1" i="1">
      <x v="1"/>
      <x/>
    </i>
    <i r="2" i="1">
      <x v="1"/>
    </i>
    <i>
      <x v="9"/>
      <x/>
      <x/>
    </i>
    <i r="2">
      <x v="1"/>
    </i>
    <i r="1" i="1">
      <x v="1"/>
      <x/>
    </i>
    <i r="2" i="1">
      <x v="1"/>
    </i>
    <i>
      <x v="10"/>
      <x/>
      <x/>
    </i>
    <i r="2">
      <x v="1"/>
    </i>
    <i r="1" i="1">
      <x v="1"/>
      <x/>
    </i>
    <i r="2" i="1">
      <x v="1"/>
    </i>
    <i>
      <x v="11"/>
      <x/>
      <x/>
    </i>
    <i r="2">
      <x v="1"/>
    </i>
    <i r="1" i="1">
      <x v="1"/>
      <x/>
    </i>
    <i r="2" i="1">
      <x v="1"/>
    </i>
    <i t="grand">
      <x/>
    </i>
    <i t="grand" i="1">
      <x/>
    </i>
  </colItems>
  <dataFields count="2">
    <dataField name="Makeup of Monthly Orders" fld="3" subtotal="count" baseField="0" baseItem="0"/>
    <dataField name="Average Order Value" fld="4" subtotal="average"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rder Val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3">
    <colHierarchyUsage hierarchyUsage="23"/>
    <colHierarchyUsage hierarchyUsage="-2"/>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ECD87D1-9CF8-4D5F-B1D9-809457201F43}" name="Total Sales by Month per Year" cacheId="7" applyNumberFormats="0" applyBorderFormats="0" applyFontFormats="0" applyPatternFormats="0" applyAlignmentFormats="0" applyWidthHeightFormats="1" dataCaption="Values" tag="14aa6ec7-5e7e-42d3-ba2e-f042f315883f" updatedVersion="8" minRefreshableVersion="3" useAutoFormatting="1" itemPrintTitles="1" createdVersion="8" indent="0" outline="1" outlineData="1" multipleFieldFilters="0" chartFormat="6" rowHeaderCaption="Month" colHeaderCaption="Year">
  <location ref="AA19:AD33"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Fields count="1">
    <field x="1"/>
  </colFields>
  <colItems count="3">
    <i>
      <x/>
    </i>
    <i>
      <x v="1"/>
    </i>
    <i t="grand">
      <x/>
    </i>
  </colItems>
  <dataFields count="1">
    <dataField name="Sales by Month" fld="0" subtotal="count"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3B3DCD5-5F19-43E5-8D80-BD4772FFE0B7}"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I45:J56"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B26A296-C565-40A3-98D4-D4C25F190392}" name="PivotTable1"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Sales Rep" colHeaderCaption="Year">
  <location ref="J2:M39" firstHeaderRow="1" firstDataRow="2" firstDataCol="1"/>
  <pivotFields count="3">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1"/>
  </colFields>
  <colItems count="3">
    <i>
      <x/>
    </i>
    <i>
      <x v="1"/>
    </i>
    <i t="grand">
      <x/>
    </i>
  </colItems>
  <dataFields count="1">
    <dataField name="Total Sales" fld="2" subtotal="count" baseField="0" baseItem="0"/>
  </dataFields>
  <chartFormats count="3">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umber of Sales"/>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7713C49-7E8E-44C1-80C7-80E19FD26747}" name="PivotTable5" cacheId="19" applyNumberFormats="0" applyBorderFormats="0" applyFontFormats="0" applyPatternFormats="0" applyAlignmentFormats="0" applyWidthHeightFormats="1" dataCaption="Values" tag="058ac97c-cc12-4440-9e8d-385fdbe423d5" updatedVersion="8" minRefreshableVersion="3" subtotalHiddenItems="1" itemPrintTitles="1" createdVersion="8" indent="0" outline="1" outlineData="1" multipleFieldFilters="0" chartFormat="12" rowHeaderCaption="Sales Rep Performance" colHeaderCaption="Year">
  <location ref="B2:E39" firstHeaderRow="1" firstDataRow="2" firstDataCol="1"/>
  <pivotFields count="3">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3">
    <i>
      <x/>
    </i>
    <i>
      <x v="1"/>
    </i>
    <i t="grand">
      <x/>
    </i>
  </colItems>
  <dataFields count="1">
    <dataField fld="1" subtotal="count" baseField="0" baseItem="0"/>
  </dataFields>
  <chartFormats count="3">
    <chartFormat chart="4" format="1" series="1">
      <pivotArea type="data" outline="0" fieldPosition="0">
        <references count="1">
          <reference field="4294967294" count="1" selected="0">
            <x v="0"/>
          </reference>
        </references>
      </pivotArea>
    </chartFormat>
    <chartFormat chart="4" format="2" series="1">
      <pivotArea type="data" outline="0" fieldPosition="0">
        <references count="2">
          <reference field="4294967294" count="1" selected="0">
            <x v="0"/>
          </reference>
          <reference field="2" count="1" selected="0">
            <x v="1"/>
          </reference>
        </references>
      </pivotArea>
    </chartFormat>
    <chartFormat chart="4" format="3" series="1">
      <pivotArea type="data" outline="0" fieldPosition="0">
        <references count="2">
          <reference field="4294967294" count="1" selected="0">
            <x v="0"/>
          </reference>
          <reference field="2"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activeTabTopLevelEntity name="[Sales_Export_2019_2020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55DC2AD-2E68-4E9B-8EE6-7ABA8D6C4D3C}"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3:G160" firstHeaderRow="1" firstDataRow="2" firstDataCol="1"/>
  <pivotFields count="3">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1"/>
  </colFields>
  <colItems count="3">
    <i>
      <x/>
    </i>
    <i>
      <x v="1"/>
    </i>
    <i t="grand">
      <x/>
    </i>
  </colItems>
  <dataFields count="1">
    <dataField name="Average of Profit" fld="2" subtotal="average"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9A49C0F-8320-4AAD-AC0E-2FD4C1130B08}"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ales Rep" colHeaderCaption="Category">
  <location ref="L45:W82" firstHeaderRow="1" firstDataRow="2" firstDataCol="1"/>
  <pivotFields count="3">
    <pivotField axis="axisRow" allDrilled="1" subtotalTop="0" showAll="0"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axis="axisCol"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1"/>
  </colFields>
  <colItems count="11">
    <i>
      <x/>
    </i>
    <i>
      <x v="1"/>
    </i>
    <i>
      <x v="2"/>
    </i>
    <i>
      <x v="3"/>
    </i>
    <i>
      <x v="4"/>
    </i>
    <i>
      <x v="5"/>
    </i>
    <i>
      <x v="6"/>
    </i>
    <i>
      <x v="7"/>
    </i>
    <i>
      <x v="8"/>
    </i>
    <i>
      <x v="9"/>
    </i>
    <i t="grand">
      <x/>
    </i>
  </colItems>
  <dataFields count="1">
    <dataField name="Sales per Category" fld="2" subtotal="count" baseField="0" baseItem="0"/>
  </dataFields>
  <formats count="3">
    <format dxfId="2">
      <pivotArea dataOnly="0" labelOnly="1" fieldPosition="0">
        <references count="1">
          <reference field="0" count="1">
            <x v="13"/>
          </reference>
        </references>
      </pivotArea>
    </format>
    <format dxfId="1">
      <pivotArea dataOnly="0" labelOnly="1" fieldPosition="0">
        <references count="1">
          <reference field="0" count="1">
            <x v="11"/>
          </reference>
        </references>
      </pivotArea>
    </format>
    <format dxfId="0">
      <pivotArea dataOnly="0" labelOnly="1" fieldPosition="0">
        <references count="1">
          <reference field="0" count="1">
            <x v="29"/>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5AD7285-6210-48ED-A89F-B7CD3E150A9B}" name="PivotTable7"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78:J89"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Total Profit" fld="1"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0E22235-DCD0-4044-9AE4-1AD9B8A789B7}"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2:AA39" firstHeaderRow="1" firstDataRow="2" firstDataCol="1"/>
  <pivotFields count="3">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1"/>
  </colFields>
  <colItems count="3">
    <i>
      <x/>
    </i>
    <i>
      <x v="1"/>
    </i>
    <i t="grand">
      <x/>
    </i>
  </colItems>
  <dataFields count="1">
    <dataField name="Sum of order_value_GBP" fld="2"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order_value_GBP"/>
    <pivotHierarchy dragToData="1" caption="Average of order_value_GBP"/>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2FF027F-408D-4445-B6CE-B7C788BB9B03}" name="PivotTable2"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Sales Rep">
  <location ref="B41:D77" firstHeaderRow="0" firstDataRow="1" firstDataCol="1"/>
  <pivotFields count="3">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dataField="1" subtotalTop="0" showAll="0" defaultSubtotal="0"/>
    <pivotField dataField="1" subtotalTop="0" showAll="0" defaultSubtota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2">
    <i>
      <x/>
    </i>
    <i i="1">
      <x v="1"/>
    </i>
  </colItems>
  <dataFields count="2">
    <dataField fld="1" subtotal="count" baseField="0" baseItem="0"/>
    <dataField name="Number of Sales" fld="2"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C1219B2-802C-4768-A175-490F0C60A563}"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79:C115" firstHeaderRow="1" firstDataRow="1" firstDataCol="1"/>
  <pivotFields count="2">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dataField="1" subtotalTop="0" showAll="0" defaultSubtota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fld="1"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43F92EE-E0A6-48CA-A502-D64C239106AE}" name="PivotTable8" cacheId="1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 rowHeaderCaption="Category">
  <location ref="I58:J69"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Total Sales" fld="1"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Export_2019-2020]"/>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A5A42354-0155-487B-A087-EDDA6E2B691E}" autoFormatId="16" applyNumberFormats="0" applyBorderFormats="0" applyFontFormats="0" applyPatternFormats="0" applyAlignmentFormats="0" applyWidthHeightFormats="0">
  <queryTableRefresh nextId="17" unboundColumnsRight="5">
    <queryTableFields count="15">
      <queryTableField id="1" name="country" tableColumnId="1"/>
      <queryTableField id="2" name="order_value_GBP" tableColumnId="2"/>
      <queryTableField id="3" name=" cost " tableColumnId="3"/>
      <queryTableField id="4" name="date" tableColumnId="4"/>
      <queryTableField id="5" name="category" tableColumnId="5"/>
      <queryTableField id="6" name="customer_name" tableColumnId="6"/>
      <queryTableField id="7" name="sales_manager" tableColumnId="7"/>
      <queryTableField id="8" name="sales_rep" tableColumnId="8"/>
      <queryTableField id="9" name="device_type" tableColumnId="9"/>
      <queryTableField id="10" name="order_id" tableColumnId="10"/>
      <queryTableField id="11" dataBound="0" tableColumnId="11"/>
      <queryTableField id="13" dataBound="0" tableColumnId="13"/>
      <queryTableField id="14" dataBound="0" tableColumnId="12"/>
      <queryTableField id="15" dataBound="0" tableColumnId="14"/>
      <queryTableField id="16" dataBound="0"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1727EA-55C7-4D8A-81F7-3158F18D7706}" name="Sales_Export_2019_2020__2" displayName="Sales_Export_2019_2020__2" ref="A1:O1001" tableType="queryTable" totalsRowShown="0">
  <autoFilter ref="A1:O1001" xr:uid="{331727EA-55C7-4D8A-81F7-3158F18D7706}"/>
  <sortState xmlns:xlrd2="http://schemas.microsoft.com/office/spreadsheetml/2017/richdata2" ref="A546:O909">
    <sortCondition ref="D2:D1001"/>
  </sortState>
  <tableColumns count="15">
    <tableColumn id="1" xr3:uid="{8D9F1A9E-B448-4275-B982-C75AD11F7232}" uniqueName="1" name="country" queryTableFieldId="1" dataDxfId="25"/>
    <tableColumn id="2" xr3:uid="{6670D932-F008-44B8-B1DF-1E193A1B265F}" uniqueName="2" name="order_value_GBP" queryTableFieldId="2" dataCellStyle="Currency"/>
    <tableColumn id="3" xr3:uid="{8D973104-06C9-4700-8891-FC17733B2310}" uniqueName="3" name=" cost " queryTableFieldId="3" dataCellStyle="Currency"/>
    <tableColumn id="4" xr3:uid="{A5E4436D-7918-43A8-9A5C-3324B9D0E5DB}" uniqueName="4" name="date" queryTableFieldId="4" dataDxfId="24"/>
    <tableColumn id="5" xr3:uid="{FD7CDE8E-C230-46C8-B4A3-1A809F22DAE8}" uniqueName="5" name="category" queryTableFieldId="5" dataDxfId="23"/>
    <tableColumn id="6" xr3:uid="{54734D08-9080-42C2-BE14-AFAE4A145B6F}" uniqueName="6" name="customer_name" queryTableFieldId="6" dataDxfId="22"/>
    <tableColumn id="7" xr3:uid="{1384C9A7-9894-459E-9375-6773C92A0F0E}" uniqueName="7" name="sales_manager" queryTableFieldId="7" dataDxfId="21"/>
    <tableColumn id="8" xr3:uid="{13968659-0304-456F-8BB3-AA086A1A964A}" uniqueName="8" name="sales_rep" queryTableFieldId="8" dataDxfId="20"/>
    <tableColumn id="9" xr3:uid="{7234ABF4-324E-49FB-9DFC-21697425A1F9}" uniqueName="9" name="device_type" queryTableFieldId="9" dataDxfId="19"/>
    <tableColumn id="10" xr3:uid="{E79809AE-9D37-4CB7-8BD3-701971EED8CA}" uniqueName="10" name="order_id" queryTableFieldId="10" dataDxfId="18"/>
    <tableColumn id="11" xr3:uid="{8D1B506B-B5F9-4B24-A79A-4CFE8FB40AD8}" uniqueName="11" name="profit" queryTableFieldId="11" dataCellStyle="Currency">
      <calculatedColumnFormula>Sales_Export_2019_2020__2[[#This Row],[order_value_GBP]]-Sales_Export_2019_2020__2[[#This Row],[ cost ]]</calculatedColumnFormula>
    </tableColumn>
    <tableColumn id="13" xr3:uid="{799E8EA4-D393-448D-BC3B-92D5946538AF}" uniqueName="13" name="Unique" queryTableFieldId="13" dataDxfId="17">
      <calculatedColumnFormula>COUNTIF(Sales_Export_2019_2020__2[order_id],Sales_Export_2019_2020__2[[#This Row],[order_id]])&gt;1</calculatedColumnFormula>
    </tableColumn>
    <tableColumn id="12" xr3:uid="{5FB46CD1-0BED-48E1-B6B2-52594261EF3D}" uniqueName="12" name="Order Size Bin" queryTableFieldId="14" dataDxfId="16">
      <calculatedColumnFormula>TEXT(FLOOR(B2,5000),"£#,##0")&amp;" - "&amp;TEXT(FLOOR(B2,5000)+4999,"£#,##0")</calculatedColumnFormula>
    </tableColumn>
    <tableColumn id="14" xr3:uid="{22EF148E-2EF9-4021-87B1-6338F0A307E5}" uniqueName="14" name="Order Size Classification" queryTableFieldId="15" dataDxfId="15">
      <calculatedColumnFormula array="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calculatedColumnFormula>
    </tableColumn>
    <tableColumn id="15" xr3:uid="{F912D23D-E0B1-4D05-AC32-FE20F5C1F051}" uniqueName="15" name="Bin Floor" queryTableFieldId="16" dataDxfId="14">
      <calculatedColumnFormula>FLOOR(Sales_Export_2019_2020__2[[#This Row],[order_value_GBP]],5000)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1BE2BE3-27BE-449D-9521-CE67FFF62F2D}" name="Table5" displayName="Table5" ref="B2:I6" totalsRowShown="0">
  <autoFilter ref="B2:I6" xr:uid="{B1BE2BE3-27BE-449D-9521-CE67FFF62F2D}"/>
  <tableColumns count="8">
    <tableColumn id="1" xr3:uid="{4DF64CA4-5315-4A94-B577-296894891199}" name=" " dataDxfId="13"/>
    <tableColumn id="2" xr3:uid="{362928F8-FA25-430B-976B-A09EB2A5093D}" name=" 2" dataDxfId="12"/>
    <tableColumn id="3" xr3:uid="{66268986-6B5B-41DC-BD78-557883F960E9}" name=" 3" dataDxfId="11"/>
    <tableColumn id="4" xr3:uid="{700BDFF4-D6DC-47E8-A7C2-9FFC50FFFD8B}" name=" 4" dataDxfId="10" dataCellStyle="Currency"/>
    <tableColumn id="5" xr3:uid="{7CABDF42-0F47-4AFE-B2F2-A51F3D1A877E}" name=" 5" dataDxfId="9"/>
    <tableColumn id="6" xr3:uid="{0635CCE0-87ED-495C-9CDD-5C88C687A42B}" name=" 6"/>
    <tableColumn id="7" xr3:uid="{8A122532-5050-4305-A380-3C5156FC1385}" name=" 7"/>
    <tableColumn id="8" xr3:uid="{CF9547D8-8E30-4FE6-BB9C-56C1D154B4D2}" name=" 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DBAC611-0DC8-4762-981E-640AC18911FF}">
  <we:reference id="wa200009404" version="1.0.0.8" store="en-US" storeType="OMEX"/>
  <we:alternateReferences>
    <we:reference id="wa200009404" version="1.0.0.8" store="wa200009404" storeType="OMEX"/>
  </we:alternateReferences>
  <we:properties>
    <we:property name="claude.fileId" value="&quot;bd54f917-5fb5-4993-b8f7-ad3ae9182d0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vmlDrawing" Target="../drawings/vmlDrawing1.v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26445-2AE2-437E-83A0-9013A1BDEA49}">
  <dimension ref="A1:O1001"/>
  <sheetViews>
    <sheetView tabSelected="1" topLeftCell="D1" zoomScale="92" workbookViewId="0">
      <selection activeCell="N972" sqref="N972"/>
    </sheetView>
  </sheetViews>
  <sheetFormatPr defaultRowHeight="14.5" x14ac:dyDescent="0.35"/>
  <cols>
    <col min="1" max="1" width="10.7265625" bestFit="1" customWidth="1"/>
    <col min="2" max="2" width="17.1796875" style="2" bestFit="1" customWidth="1"/>
    <col min="3" max="3" width="12.1796875" style="2" bestFit="1" customWidth="1"/>
    <col min="4" max="4" width="10.08984375" bestFit="1" customWidth="1"/>
    <col min="5" max="5" width="11.54296875" bestFit="1" customWidth="1"/>
    <col min="6" max="6" width="31" bestFit="1" customWidth="1"/>
    <col min="7" max="7" width="15.6328125" bestFit="1" customWidth="1"/>
    <col min="8" max="8" width="16.81640625" bestFit="1" customWidth="1"/>
    <col min="9" max="9" width="13.08984375" bestFit="1" customWidth="1"/>
    <col min="10" max="10" width="10.453125" bestFit="1" customWidth="1"/>
    <col min="11" max="11" width="11.1796875" style="2" bestFit="1" customWidth="1"/>
    <col min="12" max="12" width="0" hidden="1" customWidth="1"/>
    <col min="13" max="13" width="17.453125" bestFit="1" customWidth="1"/>
    <col min="14" max="14" width="23.81640625" bestFit="1" customWidth="1"/>
  </cols>
  <sheetData>
    <row r="1" spans="1:15" x14ac:dyDescent="0.35">
      <c r="A1" t="s">
        <v>0</v>
      </c>
      <c r="B1" s="2" t="s">
        <v>1</v>
      </c>
      <c r="C1" s="2" t="s">
        <v>2</v>
      </c>
      <c r="D1" t="s">
        <v>3</v>
      </c>
      <c r="E1" t="s">
        <v>4</v>
      </c>
      <c r="F1" t="s">
        <v>5</v>
      </c>
      <c r="G1" t="s">
        <v>6</v>
      </c>
      <c r="H1" t="s">
        <v>7</v>
      </c>
      <c r="I1" t="s">
        <v>8</v>
      </c>
      <c r="J1" t="s">
        <v>9</v>
      </c>
      <c r="K1" s="2" t="s">
        <v>1163</v>
      </c>
      <c r="L1" t="s">
        <v>1189</v>
      </c>
      <c r="M1" t="s">
        <v>1221</v>
      </c>
      <c r="N1" t="s">
        <v>1222</v>
      </c>
      <c r="O1" t="s">
        <v>1224</v>
      </c>
    </row>
    <row r="2" spans="1:15" x14ac:dyDescent="0.35">
      <c r="A2" t="s">
        <v>10</v>
      </c>
      <c r="B2" s="2">
        <v>17524.02</v>
      </c>
      <c r="C2" s="2">
        <v>14122.61</v>
      </c>
      <c r="D2" s="1">
        <v>43873</v>
      </c>
      <c r="E2" t="s">
        <v>11</v>
      </c>
      <c r="F2" t="s">
        <v>12</v>
      </c>
      <c r="G2" t="s">
        <v>13</v>
      </c>
      <c r="H2" t="s">
        <v>14</v>
      </c>
      <c r="I2" t="s">
        <v>15</v>
      </c>
      <c r="J2" t="s">
        <v>16</v>
      </c>
      <c r="K2" s="2">
        <f>Sales_Export_2019_2020__2[[#This Row],[order_value_GBP]]-Sales_Export_2019_2020__2[[#This Row],[ cost ]]</f>
        <v>3401.41</v>
      </c>
      <c r="L2" t="b">
        <f>COUNTIF(Sales_Export_2019_2020__2[order_id],Sales_Export_2019_2020__2[[#This Row],[order_id]])&gt;1</f>
        <v>0</v>
      </c>
      <c r="M2" t="str">
        <f t="shared" ref="M2:M65" si="0">TEXT(FLOOR(B2,5000),"£#,##0")&amp;" - "&amp;TEXT(FLOOR(B2,5000)+4999,"£#,##0")</f>
        <v>£15,000 - £19,999</v>
      </c>
      <c r="N2" t="str" cm="1">
        <f t="array" ref="N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
        <f>FLOOR(Sales_Export_2019_2020__2[[#This Row],[order_value_GBP]],5000)</f>
        <v>15000</v>
      </c>
    </row>
    <row r="3" spans="1:15" x14ac:dyDescent="0.35">
      <c r="A3" t="s">
        <v>17</v>
      </c>
      <c r="B3" s="2">
        <v>116563.4</v>
      </c>
      <c r="C3" s="2">
        <v>92807.78</v>
      </c>
      <c r="D3" s="1">
        <v>43734</v>
      </c>
      <c r="E3" t="s">
        <v>18</v>
      </c>
      <c r="F3" t="s">
        <v>19</v>
      </c>
      <c r="G3" t="s">
        <v>20</v>
      </c>
      <c r="H3" t="s">
        <v>21</v>
      </c>
      <c r="I3" t="s">
        <v>15</v>
      </c>
      <c r="J3" t="s">
        <v>22</v>
      </c>
      <c r="K3" s="2">
        <f>Sales_Export_2019_2020__2[[#This Row],[order_value_GBP]]-Sales_Export_2019_2020__2[[#This Row],[ cost ]]</f>
        <v>23755.619999999995</v>
      </c>
      <c r="L3" t="b">
        <f>COUNTIF(Sales_Export_2019_2020__2[order_id],Sales_Export_2019_2020__2[[#This Row],[order_id]])&gt;1</f>
        <v>0</v>
      </c>
      <c r="M3" t="str">
        <f t="shared" si="0"/>
        <v>£115,000 - £119,999</v>
      </c>
      <c r="N3" t="str" cm="1">
        <f t="array" ref="N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
        <f>FLOOR(Sales_Export_2019_2020__2[[#This Row],[order_value_GBP]],5000)</f>
        <v>115000</v>
      </c>
    </row>
    <row r="4" spans="1:15" x14ac:dyDescent="0.35">
      <c r="A4" t="s">
        <v>23</v>
      </c>
      <c r="B4" s="2">
        <v>296465.56</v>
      </c>
      <c r="C4" s="2">
        <v>257480.34</v>
      </c>
      <c r="D4" s="1">
        <v>43657</v>
      </c>
      <c r="E4" t="s">
        <v>24</v>
      </c>
      <c r="F4" t="s">
        <v>25</v>
      </c>
      <c r="G4" t="s">
        <v>26</v>
      </c>
      <c r="H4" t="s">
        <v>27</v>
      </c>
      <c r="I4" t="s">
        <v>28</v>
      </c>
      <c r="J4" t="s">
        <v>29</v>
      </c>
      <c r="K4" s="2">
        <f>Sales_Export_2019_2020__2[[#This Row],[order_value_GBP]]-Sales_Export_2019_2020__2[[#This Row],[ cost ]]</f>
        <v>38985.22</v>
      </c>
      <c r="L4" t="b">
        <f>COUNTIF(Sales_Export_2019_2020__2[order_id],Sales_Export_2019_2020__2[[#This Row],[order_id]])&gt;1</f>
        <v>0</v>
      </c>
      <c r="M4" t="str">
        <f t="shared" si="0"/>
        <v>£295,000 - £299,999</v>
      </c>
      <c r="N4" t="str" cm="1">
        <f t="array" ref="N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4">
        <f>FLOOR(Sales_Export_2019_2020__2[[#This Row],[order_value_GBP]],5000)</f>
        <v>295000</v>
      </c>
    </row>
    <row r="5" spans="1:15" x14ac:dyDescent="0.35">
      <c r="A5" t="s">
        <v>23</v>
      </c>
      <c r="B5" s="2">
        <v>74532.02</v>
      </c>
      <c r="C5" s="2">
        <v>59752.32</v>
      </c>
      <c r="D5" s="1">
        <v>43923</v>
      </c>
      <c r="E5" t="s">
        <v>30</v>
      </c>
      <c r="F5" t="s">
        <v>31</v>
      </c>
      <c r="G5" t="s">
        <v>26</v>
      </c>
      <c r="H5" t="s">
        <v>32</v>
      </c>
      <c r="I5" t="s">
        <v>28</v>
      </c>
      <c r="J5" t="s">
        <v>33</v>
      </c>
      <c r="K5" s="2">
        <f>Sales_Export_2019_2020__2[[#This Row],[order_value_GBP]]-Sales_Export_2019_2020__2[[#This Row],[ cost ]]</f>
        <v>14779.700000000004</v>
      </c>
      <c r="L5" t="b">
        <f>COUNTIF(Sales_Export_2019_2020__2[order_id],Sales_Export_2019_2020__2[[#This Row],[order_id]])&gt;1</f>
        <v>0</v>
      </c>
      <c r="M5" t="str">
        <f t="shared" si="0"/>
        <v>£70,000 - £74,999</v>
      </c>
      <c r="N5" t="str" cm="1">
        <f t="array" ref="N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
        <f>FLOOR(Sales_Export_2019_2020__2[[#This Row],[order_value_GBP]],5000)</f>
        <v>70000</v>
      </c>
    </row>
    <row r="6" spans="1:15" x14ac:dyDescent="0.35">
      <c r="A6" t="s">
        <v>34</v>
      </c>
      <c r="B6" s="2">
        <v>178763.42</v>
      </c>
      <c r="C6" s="2">
        <v>146621.76000000001</v>
      </c>
      <c r="D6" s="1">
        <v>43821</v>
      </c>
      <c r="E6" t="s">
        <v>18</v>
      </c>
      <c r="F6" t="s">
        <v>35</v>
      </c>
      <c r="G6" t="s">
        <v>36</v>
      </c>
      <c r="H6" t="s">
        <v>37</v>
      </c>
      <c r="I6" t="s">
        <v>38</v>
      </c>
      <c r="J6" t="s">
        <v>39</v>
      </c>
      <c r="K6" s="2">
        <f>Sales_Export_2019_2020__2[[#This Row],[order_value_GBP]]-Sales_Export_2019_2020__2[[#This Row],[ cost ]]</f>
        <v>32141.660000000003</v>
      </c>
      <c r="L6" t="b">
        <f>COUNTIF(Sales_Export_2019_2020__2[order_id],Sales_Export_2019_2020__2[[#This Row],[order_id]])&gt;1</f>
        <v>0</v>
      </c>
      <c r="M6" t="str">
        <f t="shared" si="0"/>
        <v>£175,000 - £179,999</v>
      </c>
      <c r="N6" t="str" cm="1">
        <f t="array" ref="N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6">
        <f>FLOOR(Sales_Export_2019_2020__2[[#This Row],[order_value_GBP]],5000)</f>
        <v>175000</v>
      </c>
    </row>
    <row r="7" spans="1:15" x14ac:dyDescent="0.35">
      <c r="A7" t="s">
        <v>34</v>
      </c>
      <c r="B7" s="2">
        <v>84900.24</v>
      </c>
      <c r="C7" s="2">
        <v>73701.899999999994</v>
      </c>
      <c r="D7" s="1">
        <v>44026</v>
      </c>
      <c r="E7" t="s">
        <v>24</v>
      </c>
      <c r="F7" t="s">
        <v>40</v>
      </c>
      <c r="G7" t="s">
        <v>36</v>
      </c>
      <c r="H7" t="s">
        <v>41</v>
      </c>
      <c r="I7" t="s">
        <v>28</v>
      </c>
      <c r="J7" t="s">
        <v>42</v>
      </c>
      <c r="K7" s="2">
        <f>Sales_Export_2019_2020__2[[#This Row],[order_value_GBP]]-Sales_Export_2019_2020__2[[#This Row],[ cost ]]</f>
        <v>11198.340000000011</v>
      </c>
      <c r="L7" t="b">
        <f>COUNTIF(Sales_Export_2019_2020__2[order_id],Sales_Export_2019_2020__2[[#This Row],[order_id]])&gt;1</f>
        <v>0</v>
      </c>
      <c r="M7" t="str">
        <f t="shared" si="0"/>
        <v>£80,000 - £84,999</v>
      </c>
      <c r="N7" t="str" cm="1">
        <f t="array" ref="N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
        <f>FLOOR(Sales_Export_2019_2020__2[[#This Row],[order_value_GBP]],5000)</f>
        <v>80000</v>
      </c>
    </row>
    <row r="8" spans="1:15" x14ac:dyDescent="0.35">
      <c r="A8" t="s">
        <v>23</v>
      </c>
      <c r="B8" s="2">
        <v>71620.08</v>
      </c>
      <c r="C8" s="2">
        <v>62245.01</v>
      </c>
      <c r="D8" s="1">
        <v>43501</v>
      </c>
      <c r="E8" t="s">
        <v>11</v>
      </c>
      <c r="F8" t="s">
        <v>43</v>
      </c>
      <c r="G8" t="s">
        <v>26</v>
      </c>
      <c r="H8" t="s">
        <v>27</v>
      </c>
      <c r="I8" t="s">
        <v>28</v>
      </c>
      <c r="J8" t="s">
        <v>44</v>
      </c>
      <c r="K8" s="2">
        <f>Sales_Export_2019_2020__2[[#This Row],[order_value_GBP]]-Sales_Export_2019_2020__2[[#This Row],[ cost ]]</f>
        <v>9375.07</v>
      </c>
      <c r="L8" t="b">
        <f>COUNTIF(Sales_Export_2019_2020__2[order_id],Sales_Export_2019_2020__2[[#This Row],[order_id]])&gt;1</f>
        <v>0</v>
      </c>
      <c r="M8" t="str">
        <f t="shared" si="0"/>
        <v>£70,000 - £74,999</v>
      </c>
      <c r="N8" t="str" cm="1">
        <f t="array" ref="N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
        <f>FLOOR(Sales_Export_2019_2020__2[[#This Row],[order_value_GBP]],5000)</f>
        <v>70000</v>
      </c>
    </row>
    <row r="9" spans="1:15" x14ac:dyDescent="0.35">
      <c r="A9" t="s">
        <v>45</v>
      </c>
      <c r="B9" s="2">
        <v>156585.22</v>
      </c>
      <c r="C9" s="2">
        <v>126599.15</v>
      </c>
      <c r="D9" s="1">
        <v>44073</v>
      </c>
      <c r="E9" t="s">
        <v>46</v>
      </c>
      <c r="F9" t="s">
        <v>47</v>
      </c>
      <c r="G9" t="s">
        <v>48</v>
      </c>
      <c r="H9" t="s">
        <v>49</v>
      </c>
      <c r="I9" t="s">
        <v>28</v>
      </c>
      <c r="J9" t="s">
        <v>50</v>
      </c>
      <c r="K9" s="2">
        <f>Sales_Export_2019_2020__2[[#This Row],[order_value_GBP]]-Sales_Export_2019_2020__2[[#This Row],[ cost ]]</f>
        <v>29986.070000000007</v>
      </c>
      <c r="L9" t="b">
        <f>COUNTIF(Sales_Export_2019_2020__2[order_id],Sales_Export_2019_2020__2[[#This Row],[order_id]])&gt;1</f>
        <v>0</v>
      </c>
      <c r="M9" t="str">
        <f t="shared" si="0"/>
        <v>£155,000 - £159,999</v>
      </c>
      <c r="N9" t="str" cm="1">
        <f t="array" ref="N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
        <f>FLOOR(Sales_Export_2019_2020__2[[#This Row],[order_value_GBP]],5000)</f>
        <v>155000</v>
      </c>
    </row>
    <row r="10" spans="1:15" x14ac:dyDescent="0.35">
      <c r="A10" t="s">
        <v>23</v>
      </c>
      <c r="B10" s="2">
        <v>78461.13</v>
      </c>
      <c r="C10" s="2">
        <v>63537.82</v>
      </c>
      <c r="D10" s="1">
        <v>43961</v>
      </c>
      <c r="E10" t="s">
        <v>51</v>
      </c>
      <c r="F10" t="s">
        <v>31</v>
      </c>
      <c r="G10" t="s">
        <v>26</v>
      </c>
      <c r="H10" t="s">
        <v>27</v>
      </c>
      <c r="I10" t="s">
        <v>15</v>
      </c>
      <c r="J10" t="s">
        <v>52</v>
      </c>
      <c r="K10" s="2">
        <f>Sales_Export_2019_2020__2[[#This Row],[order_value_GBP]]-Sales_Export_2019_2020__2[[#This Row],[ cost ]]</f>
        <v>14923.310000000005</v>
      </c>
      <c r="L10" t="b">
        <f>COUNTIF(Sales_Export_2019_2020__2[order_id],Sales_Export_2019_2020__2[[#This Row],[order_id]])&gt;1</f>
        <v>0</v>
      </c>
      <c r="M10" t="str">
        <f t="shared" si="0"/>
        <v>£75,000 - £79,999</v>
      </c>
      <c r="N10" t="str" cm="1">
        <f t="array" ref="N1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0">
        <f>FLOOR(Sales_Export_2019_2020__2[[#This Row],[order_value_GBP]],5000)</f>
        <v>75000</v>
      </c>
    </row>
    <row r="11" spans="1:15" x14ac:dyDescent="0.35">
      <c r="A11" t="s">
        <v>53</v>
      </c>
      <c r="B11" s="2">
        <v>64827.8</v>
      </c>
      <c r="C11" s="2">
        <v>56043.63</v>
      </c>
      <c r="D11" s="1">
        <v>43485</v>
      </c>
      <c r="E11" t="s">
        <v>51</v>
      </c>
      <c r="F11" t="s">
        <v>54</v>
      </c>
      <c r="G11" t="s">
        <v>55</v>
      </c>
      <c r="H11" t="s">
        <v>56</v>
      </c>
      <c r="I11" t="s">
        <v>28</v>
      </c>
      <c r="J11" t="s">
        <v>57</v>
      </c>
      <c r="K11" s="2">
        <f>Sales_Export_2019_2020__2[[#This Row],[order_value_GBP]]-Sales_Export_2019_2020__2[[#This Row],[ cost ]]</f>
        <v>8784.1700000000055</v>
      </c>
      <c r="L11" t="b">
        <f>COUNTIF(Sales_Export_2019_2020__2[order_id],Sales_Export_2019_2020__2[[#This Row],[order_id]])&gt;1</f>
        <v>0</v>
      </c>
      <c r="M11" t="str">
        <f t="shared" si="0"/>
        <v>£60,000 - £64,999</v>
      </c>
      <c r="N11" t="str" cm="1">
        <f t="array" ref="N1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1">
        <f>FLOOR(Sales_Export_2019_2020__2[[#This Row],[order_value_GBP]],5000)</f>
        <v>60000</v>
      </c>
    </row>
    <row r="12" spans="1:15" x14ac:dyDescent="0.35">
      <c r="A12" t="s">
        <v>10</v>
      </c>
      <c r="B12" s="2">
        <v>142664.34</v>
      </c>
      <c r="C12" s="2">
        <v>120808.16</v>
      </c>
      <c r="D12" s="1">
        <v>43589</v>
      </c>
      <c r="E12" t="s">
        <v>51</v>
      </c>
      <c r="F12" t="s">
        <v>58</v>
      </c>
      <c r="G12" t="s">
        <v>13</v>
      </c>
      <c r="H12" t="s">
        <v>14</v>
      </c>
      <c r="I12" t="s">
        <v>28</v>
      </c>
      <c r="J12" t="s">
        <v>59</v>
      </c>
      <c r="K12" s="2">
        <f>Sales_Export_2019_2020__2[[#This Row],[order_value_GBP]]-Sales_Export_2019_2020__2[[#This Row],[ cost ]]</f>
        <v>21856.179999999993</v>
      </c>
      <c r="L12" t="b">
        <f>COUNTIF(Sales_Export_2019_2020__2[order_id],Sales_Export_2019_2020__2[[#This Row],[order_id]])&gt;1</f>
        <v>0</v>
      </c>
      <c r="M12" t="str">
        <f t="shared" si="0"/>
        <v>£140,000 - £144,999</v>
      </c>
      <c r="N12" t="str" cm="1">
        <f t="array" ref="N1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2">
        <f>FLOOR(Sales_Export_2019_2020__2[[#This Row],[order_value_GBP]],5000)</f>
        <v>140000</v>
      </c>
    </row>
    <row r="13" spans="1:15" x14ac:dyDescent="0.35">
      <c r="A13" t="s">
        <v>45</v>
      </c>
      <c r="B13" s="2">
        <v>66673.19</v>
      </c>
      <c r="C13" s="2">
        <v>52811.83</v>
      </c>
      <c r="D13" s="1">
        <v>43519</v>
      </c>
      <c r="E13" t="s">
        <v>60</v>
      </c>
      <c r="F13" t="s">
        <v>54</v>
      </c>
      <c r="G13" t="s">
        <v>48</v>
      </c>
      <c r="H13" t="s">
        <v>49</v>
      </c>
      <c r="I13" t="s">
        <v>28</v>
      </c>
      <c r="J13" t="s">
        <v>61</v>
      </c>
      <c r="K13" s="2">
        <f>Sales_Export_2019_2020__2[[#This Row],[order_value_GBP]]-Sales_Export_2019_2020__2[[#This Row],[ cost ]]</f>
        <v>13861.36</v>
      </c>
      <c r="L13" t="b">
        <f>COUNTIF(Sales_Export_2019_2020__2[order_id],Sales_Export_2019_2020__2[[#This Row],[order_id]])&gt;1</f>
        <v>0</v>
      </c>
      <c r="M13" t="str">
        <f t="shared" si="0"/>
        <v>£65,000 - £69,999</v>
      </c>
      <c r="N13" t="str" cm="1">
        <f t="array" ref="N1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3">
        <f>FLOOR(Sales_Export_2019_2020__2[[#This Row],[order_value_GBP]],5000)</f>
        <v>65000</v>
      </c>
    </row>
    <row r="14" spans="1:15" x14ac:dyDescent="0.35">
      <c r="A14" t="s">
        <v>23</v>
      </c>
      <c r="B14" s="2">
        <v>136915.60999999999</v>
      </c>
      <c r="C14" s="2">
        <v>114790.05</v>
      </c>
      <c r="D14" s="1">
        <v>43834</v>
      </c>
      <c r="E14" t="s">
        <v>62</v>
      </c>
      <c r="F14" t="s">
        <v>31</v>
      </c>
      <c r="G14" t="s">
        <v>26</v>
      </c>
      <c r="H14" t="s">
        <v>32</v>
      </c>
      <c r="I14" t="s">
        <v>38</v>
      </c>
      <c r="J14" t="s">
        <v>63</v>
      </c>
      <c r="K14" s="2">
        <f>Sales_Export_2019_2020__2[[#This Row],[order_value_GBP]]-Sales_Export_2019_2020__2[[#This Row],[ cost ]]</f>
        <v>22125.559999999983</v>
      </c>
      <c r="L14" t="b">
        <f>COUNTIF(Sales_Export_2019_2020__2[order_id],Sales_Export_2019_2020__2[[#This Row],[order_id]])&gt;1</f>
        <v>0</v>
      </c>
      <c r="M14" t="str">
        <f t="shared" si="0"/>
        <v>£135,000 - £139,999</v>
      </c>
      <c r="N14" t="str" cm="1">
        <f t="array" ref="N1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4">
        <f>FLOOR(Sales_Export_2019_2020__2[[#This Row],[order_value_GBP]],5000)</f>
        <v>135000</v>
      </c>
    </row>
    <row r="15" spans="1:15" x14ac:dyDescent="0.35">
      <c r="A15" t="s">
        <v>45</v>
      </c>
      <c r="B15" s="2">
        <v>164971.70000000001</v>
      </c>
      <c r="C15" s="2">
        <v>132686.74</v>
      </c>
      <c r="D15" s="1">
        <v>43666</v>
      </c>
      <c r="E15" t="s">
        <v>46</v>
      </c>
      <c r="F15" t="s">
        <v>64</v>
      </c>
      <c r="G15" t="s">
        <v>48</v>
      </c>
      <c r="H15" t="s">
        <v>49</v>
      </c>
      <c r="I15" t="s">
        <v>28</v>
      </c>
      <c r="J15" t="s">
        <v>65</v>
      </c>
      <c r="K15" s="2">
        <f>Sales_Export_2019_2020__2[[#This Row],[order_value_GBP]]-Sales_Export_2019_2020__2[[#This Row],[ cost ]]</f>
        <v>32284.960000000021</v>
      </c>
      <c r="L15" t="b">
        <f>COUNTIF(Sales_Export_2019_2020__2[order_id],Sales_Export_2019_2020__2[[#This Row],[order_id]])&gt;1</f>
        <v>0</v>
      </c>
      <c r="M15" t="str">
        <f t="shared" si="0"/>
        <v>£160,000 - £164,999</v>
      </c>
      <c r="N15" t="str" cm="1">
        <f t="array" ref="N1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5">
        <f>FLOOR(Sales_Export_2019_2020__2[[#This Row],[order_value_GBP]],5000)</f>
        <v>160000</v>
      </c>
    </row>
    <row r="16" spans="1:15" x14ac:dyDescent="0.35">
      <c r="A16" t="s">
        <v>45</v>
      </c>
      <c r="B16" s="2">
        <v>149486.26999999999</v>
      </c>
      <c r="C16" s="2">
        <v>118662.2</v>
      </c>
      <c r="D16" s="1">
        <v>43683</v>
      </c>
      <c r="E16" t="s">
        <v>30</v>
      </c>
      <c r="F16" t="s">
        <v>35</v>
      </c>
      <c r="G16" t="s">
        <v>48</v>
      </c>
      <c r="H16" t="s">
        <v>66</v>
      </c>
      <c r="I16" t="s">
        <v>28</v>
      </c>
      <c r="J16" t="s">
        <v>67</v>
      </c>
      <c r="K16" s="2">
        <f>Sales_Export_2019_2020__2[[#This Row],[order_value_GBP]]-Sales_Export_2019_2020__2[[#This Row],[ cost ]]</f>
        <v>30824.069999999992</v>
      </c>
      <c r="L16" t="b">
        <f>COUNTIF(Sales_Export_2019_2020__2[order_id],Sales_Export_2019_2020__2[[#This Row],[order_id]])&gt;1</f>
        <v>0</v>
      </c>
      <c r="M16" t="str">
        <f t="shared" si="0"/>
        <v>£145,000 - £149,999</v>
      </c>
      <c r="N16" t="str" cm="1">
        <f t="array" ref="N1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6">
        <f>FLOOR(Sales_Export_2019_2020__2[[#This Row],[order_value_GBP]],5000)</f>
        <v>145000</v>
      </c>
    </row>
    <row r="17" spans="1:15" x14ac:dyDescent="0.35">
      <c r="A17" t="s">
        <v>10</v>
      </c>
      <c r="B17" s="2">
        <v>54078.92</v>
      </c>
      <c r="C17" s="2">
        <v>46102.28</v>
      </c>
      <c r="D17" s="1">
        <v>44143</v>
      </c>
      <c r="E17" t="s">
        <v>11</v>
      </c>
      <c r="F17" t="s">
        <v>68</v>
      </c>
      <c r="G17" t="s">
        <v>13</v>
      </c>
      <c r="H17" t="s">
        <v>69</v>
      </c>
      <c r="I17" t="s">
        <v>28</v>
      </c>
      <c r="J17" t="s">
        <v>70</v>
      </c>
      <c r="K17" s="2">
        <f>Sales_Export_2019_2020__2[[#This Row],[order_value_GBP]]-Sales_Export_2019_2020__2[[#This Row],[ cost ]]</f>
        <v>7976.6399999999994</v>
      </c>
      <c r="L17" t="b">
        <f>COUNTIF(Sales_Export_2019_2020__2[order_id],Sales_Export_2019_2020__2[[#This Row],[order_id]])&gt;1</f>
        <v>0</v>
      </c>
      <c r="M17" t="str">
        <f t="shared" si="0"/>
        <v>£50,000 - £54,999</v>
      </c>
      <c r="N17" t="str" cm="1">
        <f t="array" ref="N1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7">
        <f>FLOOR(Sales_Export_2019_2020__2[[#This Row],[order_value_GBP]],5000)</f>
        <v>50000</v>
      </c>
    </row>
    <row r="18" spans="1:15" x14ac:dyDescent="0.35">
      <c r="A18" t="s">
        <v>53</v>
      </c>
      <c r="B18" s="2">
        <v>107499.78</v>
      </c>
      <c r="C18" s="2">
        <v>91364.06</v>
      </c>
      <c r="D18" s="1">
        <v>43522</v>
      </c>
      <c r="E18" t="s">
        <v>60</v>
      </c>
      <c r="F18" t="s">
        <v>71</v>
      </c>
      <c r="G18" t="s">
        <v>55</v>
      </c>
      <c r="H18" t="s">
        <v>72</v>
      </c>
      <c r="I18" t="s">
        <v>28</v>
      </c>
      <c r="J18" t="s">
        <v>73</v>
      </c>
      <c r="K18" s="2">
        <f>Sales_Export_2019_2020__2[[#This Row],[order_value_GBP]]-Sales_Export_2019_2020__2[[#This Row],[ cost ]]</f>
        <v>16135.720000000001</v>
      </c>
      <c r="L18" t="b">
        <f>COUNTIF(Sales_Export_2019_2020__2[order_id],Sales_Export_2019_2020__2[[#This Row],[order_id]])&gt;1</f>
        <v>0</v>
      </c>
      <c r="M18" t="str">
        <f t="shared" si="0"/>
        <v>£105,000 - £109,999</v>
      </c>
      <c r="N18" t="str" cm="1">
        <f t="array" ref="N1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8">
        <f>FLOOR(Sales_Export_2019_2020__2[[#This Row],[order_value_GBP]],5000)</f>
        <v>105000</v>
      </c>
    </row>
    <row r="19" spans="1:15" x14ac:dyDescent="0.35">
      <c r="A19" t="s">
        <v>45</v>
      </c>
      <c r="B19" s="2">
        <v>29493.79</v>
      </c>
      <c r="C19" s="2">
        <v>24285.19</v>
      </c>
      <c r="D19" s="1">
        <v>43791</v>
      </c>
      <c r="E19" t="s">
        <v>18</v>
      </c>
      <c r="F19" t="s">
        <v>68</v>
      </c>
      <c r="G19" t="s">
        <v>48</v>
      </c>
      <c r="H19" t="s">
        <v>74</v>
      </c>
      <c r="I19" t="s">
        <v>28</v>
      </c>
      <c r="J19" t="s">
        <v>75</v>
      </c>
      <c r="K19" s="2">
        <f>Sales_Export_2019_2020__2[[#This Row],[order_value_GBP]]-Sales_Export_2019_2020__2[[#This Row],[ cost ]]</f>
        <v>5208.6000000000022</v>
      </c>
      <c r="L19" t="b">
        <f>COUNTIF(Sales_Export_2019_2020__2[order_id],Sales_Export_2019_2020__2[[#This Row],[order_id]])&gt;1</f>
        <v>0</v>
      </c>
      <c r="M19" t="str">
        <f t="shared" si="0"/>
        <v>£25,000 - £29,999</v>
      </c>
      <c r="N19" t="str" cm="1">
        <f t="array" ref="N1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9">
        <f>FLOOR(Sales_Export_2019_2020__2[[#This Row],[order_value_GBP]],5000)</f>
        <v>25000</v>
      </c>
    </row>
    <row r="20" spans="1:15" x14ac:dyDescent="0.35">
      <c r="A20" t="s">
        <v>23</v>
      </c>
      <c r="B20" s="2">
        <v>147656.51999999999</v>
      </c>
      <c r="C20" s="2">
        <v>124193.9</v>
      </c>
      <c r="D20" s="1">
        <v>43621</v>
      </c>
      <c r="E20" t="s">
        <v>60</v>
      </c>
      <c r="F20" t="s">
        <v>12</v>
      </c>
      <c r="G20" t="s">
        <v>26</v>
      </c>
      <c r="H20" t="s">
        <v>76</v>
      </c>
      <c r="I20" t="s">
        <v>28</v>
      </c>
      <c r="J20" t="s">
        <v>77</v>
      </c>
      <c r="K20" s="2">
        <f>Sales_Export_2019_2020__2[[#This Row],[order_value_GBP]]-Sales_Export_2019_2020__2[[#This Row],[ cost ]]</f>
        <v>23462.619999999995</v>
      </c>
      <c r="L20" t="b">
        <f>COUNTIF(Sales_Export_2019_2020__2[order_id],Sales_Export_2019_2020__2[[#This Row],[order_id]])&gt;1</f>
        <v>0</v>
      </c>
      <c r="M20" t="str">
        <f t="shared" si="0"/>
        <v>£145,000 - £149,999</v>
      </c>
      <c r="N20" t="str" cm="1">
        <f t="array" ref="N2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0">
        <f>FLOOR(Sales_Export_2019_2020__2[[#This Row],[order_value_GBP]],5000)</f>
        <v>145000</v>
      </c>
    </row>
    <row r="21" spans="1:15" x14ac:dyDescent="0.35">
      <c r="A21" t="s">
        <v>23</v>
      </c>
      <c r="B21" s="2">
        <v>156839.31</v>
      </c>
      <c r="C21" s="2">
        <v>134709.28</v>
      </c>
      <c r="D21" s="1">
        <v>43962</v>
      </c>
      <c r="E21" t="s">
        <v>60</v>
      </c>
      <c r="F21" t="s">
        <v>78</v>
      </c>
      <c r="G21" t="s">
        <v>26</v>
      </c>
      <c r="H21" t="s">
        <v>76</v>
      </c>
      <c r="I21" t="s">
        <v>28</v>
      </c>
      <c r="J21" t="s">
        <v>79</v>
      </c>
      <c r="K21" s="2">
        <f>Sales_Export_2019_2020__2[[#This Row],[order_value_GBP]]-Sales_Export_2019_2020__2[[#This Row],[ cost ]]</f>
        <v>22130.03</v>
      </c>
      <c r="L21" t="b">
        <f>COUNTIF(Sales_Export_2019_2020__2[order_id],Sales_Export_2019_2020__2[[#This Row],[order_id]])&gt;1</f>
        <v>0</v>
      </c>
      <c r="M21" t="str">
        <f t="shared" si="0"/>
        <v>£155,000 - £159,999</v>
      </c>
      <c r="N21" t="str" cm="1">
        <f t="array" ref="N2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1">
        <f>FLOOR(Sales_Export_2019_2020__2[[#This Row],[order_value_GBP]],5000)</f>
        <v>155000</v>
      </c>
    </row>
    <row r="22" spans="1:15" x14ac:dyDescent="0.35">
      <c r="A22" t="s">
        <v>34</v>
      </c>
      <c r="B22" s="2">
        <v>81412.100000000006</v>
      </c>
      <c r="C22" s="2">
        <v>64747.040000000001</v>
      </c>
      <c r="D22" s="1">
        <v>43775</v>
      </c>
      <c r="E22" t="s">
        <v>80</v>
      </c>
      <c r="F22" t="s">
        <v>35</v>
      </c>
      <c r="G22" t="s">
        <v>36</v>
      </c>
      <c r="H22" t="s">
        <v>37</v>
      </c>
      <c r="I22" t="s">
        <v>28</v>
      </c>
      <c r="J22" t="s">
        <v>81</v>
      </c>
      <c r="K22" s="2">
        <f>Sales_Export_2019_2020__2[[#This Row],[order_value_GBP]]-Sales_Export_2019_2020__2[[#This Row],[ cost ]]</f>
        <v>16665.060000000005</v>
      </c>
      <c r="L22" t="b">
        <f>COUNTIF(Sales_Export_2019_2020__2[order_id],Sales_Export_2019_2020__2[[#This Row],[order_id]])&gt;1</f>
        <v>0</v>
      </c>
      <c r="M22" t="str">
        <f t="shared" si="0"/>
        <v>£80,000 - £84,999</v>
      </c>
      <c r="N22" t="str" cm="1">
        <f t="array" ref="N2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2">
        <f>FLOOR(Sales_Export_2019_2020__2[[#This Row],[order_value_GBP]],5000)</f>
        <v>80000</v>
      </c>
    </row>
    <row r="23" spans="1:15" x14ac:dyDescent="0.35">
      <c r="A23" t="s">
        <v>10</v>
      </c>
      <c r="B23" s="2">
        <v>56717.53</v>
      </c>
      <c r="C23" s="2">
        <v>45101.78</v>
      </c>
      <c r="D23" s="1">
        <v>43534</v>
      </c>
      <c r="E23" t="s">
        <v>24</v>
      </c>
      <c r="F23" t="s">
        <v>35</v>
      </c>
      <c r="G23" t="s">
        <v>13</v>
      </c>
      <c r="H23" t="s">
        <v>82</v>
      </c>
      <c r="I23" t="s">
        <v>28</v>
      </c>
      <c r="J23" t="s">
        <v>83</v>
      </c>
      <c r="K23" s="2">
        <f>Sales_Export_2019_2020__2[[#This Row],[order_value_GBP]]-Sales_Export_2019_2020__2[[#This Row],[ cost ]]</f>
        <v>11615.75</v>
      </c>
      <c r="L23" t="b">
        <f>COUNTIF(Sales_Export_2019_2020__2[order_id],Sales_Export_2019_2020__2[[#This Row],[order_id]])&gt;1</f>
        <v>0</v>
      </c>
      <c r="M23" t="str">
        <f t="shared" si="0"/>
        <v>£55,000 - £59,999</v>
      </c>
      <c r="N23" t="str" cm="1">
        <f t="array" ref="N2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3">
        <f>FLOOR(Sales_Export_2019_2020__2[[#This Row],[order_value_GBP]],5000)</f>
        <v>55000</v>
      </c>
    </row>
    <row r="24" spans="1:15" x14ac:dyDescent="0.35">
      <c r="A24" t="s">
        <v>84</v>
      </c>
      <c r="B24" s="2">
        <v>17028.189999999999</v>
      </c>
      <c r="C24" s="2">
        <v>14102.75</v>
      </c>
      <c r="D24" s="1">
        <v>43868</v>
      </c>
      <c r="E24" t="s">
        <v>24</v>
      </c>
      <c r="F24" t="s">
        <v>35</v>
      </c>
      <c r="G24" t="s">
        <v>85</v>
      </c>
      <c r="H24" t="s">
        <v>86</v>
      </c>
      <c r="I24" t="s">
        <v>28</v>
      </c>
      <c r="J24" t="s">
        <v>87</v>
      </c>
      <c r="K24" s="2">
        <f>Sales_Export_2019_2020__2[[#This Row],[order_value_GBP]]-Sales_Export_2019_2020__2[[#This Row],[ cost ]]</f>
        <v>2925.4399999999987</v>
      </c>
      <c r="L24" t="b">
        <f>COUNTIF(Sales_Export_2019_2020__2[order_id],Sales_Export_2019_2020__2[[#This Row],[order_id]])&gt;1</f>
        <v>0</v>
      </c>
      <c r="M24" t="str">
        <f t="shared" si="0"/>
        <v>£15,000 - £19,999</v>
      </c>
      <c r="N24" t="str" cm="1">
        <f t="array" ref="N2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4">
        <f>FLOOR(Sales_Export_2019_2020__2[[#This Row],[order_value_GBP]],5000)</f>
        <v>15000</v>
      </c>
    </row>
    <row r="25" spans="1:15" x14ac:dyDescent="0.35">
      <c r="A25" t="s">
        <v>17</v>
      </c>
      <c r="B25" s="2">
        <v>236462.3</v>
      </c>
      <c r="C25" s="2">
        <v>205674.91</v>
      </c>
      <c r="D25" s="1">
        <v>44188</v>
      </c>
      <c r="E25" t="s">
        <v>24</v>
      </c>
      <c r="F25" t="s">
        <v>31</v>
      </c>
      <c r="G25" t="s">
        <v>20</v>
      </c>
      <c r="H25" t="s">
        <v>21</v>
      </c>
      <c r="I25" t="s">
        <v>28</v>
      </c>
      <c r="J25" t="s">
        <v>88</v>
      </c>
      <c r="K25" s="2">
        <f>Sales_Export_2019_2020__2[[#This Row],[order_value_GBP]]-Sales_Export_2019_2020__2[[#This Row],[ cost ]]</f>
        <v>30787.389999999985</v>
      </c>
      <c r="L25" t="b">
        <f>COUNTIF(Sales_Export_2019_2020__2[order_id],Sales_Export_2019_2020__2[[#This Row],[order_id]])&gt;1</f>
        <v>0</v>
      </c>
      <c r="M25" t="str">
        <f t="shared" si="0"/>
        <v>£235,000 - £239,999</v>
      </c>
      <c r="N25" t="str" cm="1">
        <f t="array" ref="N2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5">
        <f>FLOOR(Sales_Export_2019_2020__2[[#This Row],[order_value_GBP]],5000)</f>
        <v>235000</v>
      </c>
    </row>
    <row r="26" spans="1:15" x14ac:dyDescent="0.35">
      <c r="A26" t="s">
        <v>23</v>
      </c>
      <c r="B26" s="2">
        <v>172989.17</v>
      </c>
      <c r="C26" s="2">
        <v>142975.54999999999</v>
      </c>
      <c r="D26" s="1">
        <v>43992</v>
      </c>
      <c r="E26" t="s">
        <v>30</v>
      </c>
      <c r="F26" t="s">
        <v>89</v>
      </c>
      <c r="G26" t="s">
        <v>26</v>
      </c>
      <c r="H26" t="s">
        <v>90</v>
      </c>
      <c r="I26" t="s">
        <v>28</v>
      </c>
      <c r="J26" t="s">
        <v>91</v>
      </c>
      <c r="K26" s="2">
        <f>Sales_Export_2019_2020__2[[#This Row],[order_value_GBP]]-Sales_Export_2019_2020__2[[#This Row],[ cost ]]</f>
        <v>30013.620000000024</v>
      </c>
      <c r="L26" t="b">
        <f>COUNTIF(Sales_Export_2019_2020__2[order_id],Sales_Export_2019_2020__2[[#This Row],[order_id]])&gt;1</f>
        <v>0</v>
      </c>
      <c r="M26" t="str">
        <f t="shared" si="0"/>
        <v>£170,000 - £174,999</v>
      </c>
      <c r="N26" t="str" cm="1">
        <f t="array" ref="N2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6">
        <f>FLOOR(Sales_Export_2019_2020__2[[#This Row],[order_value_GBP]],5000)</f>
        <v>170000</v>
      </c>
    </row>
    <row r="27" spans="1:15" x14ac:dyDescent="0.35">
      <c r="A27" t="s">
        <v>10</v>
      </c>
      <c r="B27" s="2">
        <v>48179.57</v>
      </c>
      <c r="C27" s="2">
        <v>41405.519999999997</v>
      </c>
      <c r="D27" s="1">
        <v>44057</v>
      </c>
      <c r="E27" t="s">
        <v>11</v>
      </c>
      <c r="F27" t="s">
        <v>92</v>
      </c>
      <c r="G27" t="s">
        <v>13</v>
      </c>
      <c r="H27" t="s">
        <v>69</v>
      </c>
      <c r="I27" t="s">
        <v>28</v>
      </c>
      <c r="J27" t="s">
        <v>93</v>
      </c>
      <c r="K27" s="2">
        <f>Sales_Export_2019_2020__2[[#This Row],[order_value_GBP]]-Sales_Export_2019_2020__2[[#This Row],[ cost ]]</f>
        <v>6774.0500000000029</v>
      </c>
      <c r="L27" t="b">
        <f>COUNTIF(Sales_Export_2019_2020__2[order_id],Sales_Export_2019_2020__2[[#This Row],[order_id]])&gt;1</f>
        <v>0</v>
      </c>
      <c r="M27" t="str">
        <f t="shared" si="0"/>
        <v>£45,000 - £49,999</v>
      </c>
      <c r="N27" t="str" cm="1">
        <f t="array" ref="N2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7">
        <f>FLOOR(Sales_Export_2019_2020__2[[#This Row],[order_value_GBP]],5000)</f>
        <v>45000</v>
      </c>
    </row>
    <row r="28" spans="1:15" x14ac:dyDescent="0.35">
      <c r="A28" t="s">
        <v>23</v>
      </c>
      <c r="B28" s="2">
        <v>121318.55</v>
      </c>
      <c r="C28" s="2">
        <v>102890.26</v>
      </c>
      <c r="D28" s="1">
        <v>43900</v>
      </c>
      <c r="E28" t="s">
        <v>80</v>
      </c>
      <c r="F28" t="s">
        <v>94</v>
      </c>
      <c r="G28" t="s">
        <v>26</v>
      </c>
      <c r="H28" t="s">
        <v>32</v>
      </c>
      <c r="I28" t="s">
        <v>38</v>
      </c>
      <c r="J28" t="s">
        <v>95</v>
      </c>
      <c r="K28" s="2">
        <f>Sales_Export_2019_2020__2[[#This Row],[order_value_GBP]]-Sales_Export_2019_2020__2[[#This Row],[ cost ]]</f>
        <v>18428.290000000008</v>
      </c>
      <c r="L28" t="b">
        <f>COUNTIF(Sales_Export_2019_2020__2[order_id],Sales_Export_2019_2020__2[[#This Row],[order_id]])&gt;1</f>
        <v>0</v>
      </c>
      <c r="M28" t="str">
        <f t="shared" si="0"/>
        <v>£120,000 - £124,999</v>
      </c>
      <c r="N28" t="str" cm="1">
        <f t="array" ref="N2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8">
        <f>FLOOR(Sales_Export_2019_2020__2[[#This Row],[order_value_GBP]],5000)</f>
        <v>120000</v>
      </c>
    </row>
    <row r="29" spans="1:15" x14ac:dyDescent="0.35">
      <c r="A29" t="s">
        <v>96</v>
      </c>
      <c r="B29" s="2">
        <v>93153.98</v>
      </c>
      <c r="C29" s="2">
        <v>79702.55</v>
      </c>
      <c r="D29" s="1">
        <v>43924</v>
      </c>
      <c r="E29" t="s">
        <v>51</v>
      </c>
      <c r="F29" t="s">
        <v>97</v>
      </c>
      <c r="G29" t="s">
        <v>98</v>
      </c>
      <c r="H29" t="s">
        <v>99</v>
      </c>
      <c r="I29" t="s">
        <v>15</v>
      </c>
      <c r="J29" t="s">
        <v>100</v>
      </c>
      <c r="K29" s="2">
        <f>Sales_Export_2019_2020__2[[#This Row],[order_value_GBP]]-Sales_Export_2019_2020__2[[#This Row],[ cost ]]</f>
        <v>13451.429999999993</v>
      </c>
      <c r="L29" t="b">
        <f>COUNTIF(Sales_Export_2019_2020__2[order_id],Sales_Export_2019_2020__2[[#This Row],[order_id]])&gt;1</f>
        <v>0</v>
      </c>
      <c r="M29" t="str">
        <f t="shared" si="0"/>
        <v>£90,000 - £94,999</v>
      </c>
      <c r="N29" t="str" cm="1">
        <f t="array" ref="N2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9">
        <f>FLOOR(Sales_Export_2019_2020__2[[#This Row],[order_value_GBP]],5000)</f>
        <v>90000</v>
      </c>
    </row>
    <row r="30" spans="1:15" x14ac:dyDescent="0.35">
      <c r="A30" t="s">
        <v>101</v>
      </c>
      <c r="B30" s="2">
        <v>98289.32</v>
      </c>
      <c r="C30" s="2">
        <v>84116</v>
      </c>
      <c r="D30" s="1">
        <v>43511</v>
      </c>
      <c r="E30" t="s">
        <v>51</v>
      </c>
      <c r="F30" t="s">
        <v>102</v>
      </c>
      <c r="G30" t="s">
        <v>103</v>
      </c>
      <c r="H30" t="s">
        <v>104</v>
      </c>
      <c r="I30" t="s">
        <v>28</v>
      </c>
      <c r="J30" t="s">
        <v>105</v>
      </c>
      <c r="K30" s="2">
        <f>Sales_Export_2019_2020__2[[#This Row],[order_value_GBP]]-Sales_Export_2019_2020__2[[#This Row],[ cost ]]</f>
        <v>14173.320000000007</v>
      </c>
      <c r="L30" t="b">
        <f>COUNTIF(Sales_Export_2019_2020__2[order_id],Sales_Export_2019_2020__2[[#This Row],[order_id]])&gt;1</f>
        <v>0</v>
      </c>
      <c r="M30" t="str">
        <f t="shared" si="0"/>
        <v>£95,000 - £99,999</v>
      </c>
      <c r="N30" t="str" cm="1">
        <f t="array" ref="N3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0">
        <f>FLOOR(Sales_Export_2019_2020__2[[#This Row],[order_value_GBP]],5000)</f>
        <v>95000</v>
      </c>
    </row>
    <row r="31" spans="1:15" x14ac:dyDescent="0.35">
      <c r="A31" t="s">
        <v>106</v>
      </c>
      <c r="B31" s="2">
        <v>108920.56</v>
      </c>
      <c r="C31" s="2">
        <v>94270.74</v>
      </c>
      <c r="D31" s="1">
        <v>43654</v>
      </c>
      <c r="E31" t="s">
        <v>11</v>
      </c>
      <c r="F31" t="s">
        <v>58</v>
      </c>
      <c r="G31" t="s">
        <v>107</v>
      </c>
      <c r="H31" t="s">
        <v>108</v>
      </c>
      <c r="I31" t="s">
        <v>28</v>
      </c>
      <c r="J31" t="s">
        <v>109</v>
      </c>
      <c r="K31" s="2">
        <f>Sales_Export_2019_2020__2[[#This Row],[order_value_GBP]]-Sales_Export_2019_2020__2[[#This Row],[ cost ]]</f>
        <v>14649.819999999992</v>
      </c>
      <c r="L31" t="b">
        <f>COUNTIF(Sales_Export_2019_2020__2[order_id],Sales_Export_2019_2020__2[[#This Row],[order_id]])&gt;1</f>
        <v>0</v>
      </c>
      <c r="M31" t="str">
        <f t="shared" si="0"/>
        <v>£105,000 - £109,999</v>
      </c>
      <c r="N31" t="str" cm="1">
        <f t="array" ref="N3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1">
        <f>FLOOR(Sales_Export_2019_2020__2[[#This Row],[order_value_GBP]],5000)</f>
        <v>105000</v>
      </c>
    </row>
    <row r="32" spans="1:15" x14ac:dyDescent="0.35">
      <c r="A32" t="s">
        <v>23</v>
      </c>
      <c r="B32" s="2">
        <v>37273.839999999997</v>
      </c>
      <c r="C32" s="2">
        <v>31559.759999999998</v>
      </c>
      <c r="D32" s="1">
        <v>43850</v>
      </c>
      <c r="E32" t="s">
        <v>18</v>
      </c>
      <c r="F32" t="s">
        <v>110</v>
      </c>
      <c r="G32" t="s">
        <v>26</v>
      </c>
      <c r="H32" t="s">
        <v>32</v>
      </c>
      <c r="I32" t="s">
        <v>38</v>
      </c>
      <c r="J32" t="s">
        <v>111</v>
      </c>
      <c r="K32" s="2">
        <f>Sales_Export_2019_2020__2[[#This Row],[order_value_GBP]]-Sales_Export_2019_2020__2[[#This Row],[ cost ]]</f>
        <v>5714.0799999999981</v>
      </c>
      <c r="L32" t="b">
        <f>COUNTIF(Sales_Export_2019_2020__2[order_id],Sales_Export_2019_2020__2[[#This Row],[order_id]])&gt;1</f>
        <v>0</v>
      </c>
      <c r="M32" t="str">
        <f t="shared" si="0"/>
        <v>£35,000 - £39,999</v>
      </c>
      <c r="N32" t="str" cm="1">
        <f t="array" ref="N3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2">
        <f>FLOOR(Sales_Export_2019_2020__2[[#This Row],[order_value_GBP]],5000)</f>
        <v>35000</v>
      </c>
    </row>
    <row r="33" spans="1:15" x14ac:dyDescent="0.35">
      <c r="A33" t="s">
        <v>34</v>
      </c>
      <c r="B33" s="2">
        <v>221745.05</v>
      </c>
      <c r="C33" s="2">
        <v>190767.27</v>
      </c>
      <c r="D33" s="1">
        <v>43641</v>
      </c>
      <c r="E33" t="s">
        <v>51</v>
      </c>
      <c r="F33" t="s">
        <v>112</v>
      </c>
      <c r="G33" t="s">
        <v>36</v>
      </c>
      <c r="H33" t="s">
        <v>37</v>
      </c>
      <c r="I33" t="s">
        <v>15</v>
      </c>
      <c r="J33" t="s">
        <v>113</v>
      </c>
      <c r="K33" s="2">
        <f>Sales_Export_2019_2020__2[[#This Row],[order_value_GBP]]-Sales_Export_2019_2020__2[[#This Row],[ cost ]]</f>
        <v>30977.78</v>
      </c>
      <c r="L33" t="b">
        <f>COUNTIF(Sales_Export_2019_2020__2[order_id],Sales_Export_2019_2020__2[[#This Row],[order_id]])&gt;1</f>
        <v>0</v>
      </c>
      <c r="M33" t="str">
        <f t="shared" si="0"/>
        <v>£220,000 - £224,999</v>
      </c>
      <c r="N33" t="str" cm="1">
        <f t="array" ref="N3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33">
        <f>FLOOR(Sales_Export_2019_2020__2[[#This Row],[order_value_GBP]],5000)</f>
        <v>220000</v>
      </c>
    </row>
    <row r="34" spans="1:15" x14ac:dyDescent="0.35">
      <c r="A34" t="s">
        <v>84</v>
      </c>
      <c r="B34" s="2">
        <v>54566.99</v>
      </c>
      <c r="C34" s="2">
        <v>43757.27</v>
      </c>
      <c r="D34" s="1">
        <v>43913</v>
      </c>
      <c r="E34" t="s">
        <v>60</v>
      </c>
      <c r="F34" t="s">
        <v>114</v>
      </c>
      <c r="G34" t="s">
        <v>85</v>
      </c>
      <c r="H34" t="s">
        <v>86</v>
      </c>
      <c r="I34" t="s">
        <v>28</v>
      </c>
      <c r="J34" t="s">
        <v>115</v>
      </c>
      <c r="K34" s="2">
        <f>Sales_Export_2019_2020__2[[#This Row],[order_value_GBP]]-Sales_Export_2019_2020__2[[#This Row],[ cost ]]</f>
        <v>10809.720000000001</v>
      </c>
      <c r="L34" t="b">
        <f>COUNTIF(Sales_Export_2019_2020__2[order_id],Sales_Export_2019_2020__2[[#This Row],[order_id]])&gt;1</f>
        <v>0</v>
      </c>
      <c r="M34" t="str">
        <f t="shared" si="0"/>
        <v>£50,000 - £54,999</v>
      </c>
      <c r="N34" t="str" cm="1">
        <f t="array" ref="N3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4">
        <f>FLOOR(Sales_Export_2019_2020__2[[#This Row],[order_value_GBP]],5000)</f>
        <v>50000</v>
      </c>
    </row>
    <row r="35" spans="1:15" x14ac:dyDescent="0.35">
      <c r="A35" t="s">
        <v>23</v>
      </c>
      <c r="B35" s="2">
        <v>111639.29</v>
      </c>
      <c r="C35" s="2">
        <v>97204.33</v>
      </c>
      <c r="D35" s="1">
        <v>43766</v>
      </c>
      <c r="E35" t="s">
        <v>60</v>
      </c>
      <c r="F35" t="s">
        <v>116</v>
      </c>
      <c r="G35" t="s">
        <v>26</v>
      </c>
      <c r="H35" t="s">
        <v>90</v>
      </c>
      <c r="I35" t="s">
        <v>28</v>
      </c>
      <c r="J35" t="s">
        <v>117</v>
      </c>
      <c r="K35" s="2">
        <f>Sales_Export_2019_2020__2[[#This Row],[order_value_GBP]]-Sales_Export_2019_2020__2[[#This Row],[ cost ]]</f>
        <v>14434.959999999992</v>
      </c>
      <c r="L35" t="b">
        <f>COUNTIF(Sales_Export_2019_2020__2[order_id],Sales_Export_2019_2020__2[[#This Row],[order_id]])&gt;1</f>
        <v>0</v>
      </c>
      <c r="M35" t="str">
        <f t="shared" si="0"/>
        <v>£110,000 - £114,999</v>
      </c>
      <c r="N35" t="str" cm="1">
        <f t="array" ref="N3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5">
        <f>FLOOR(Sales_Export_2019_2020__2[[#This Row],[order_value_GBP]],5000)</f>
        <v>110000</v>
      </c>
    </row>
    <row r="36" spans="1:15" x14ac:dyDescent="0.35">
      <c r="A36" t="s">
        <v>10</v>
      </c>
      <c r="B36" s="2">
        <v>74273.539999999994</v>
      </c>
      <c r="C36" s="2">
        <v>61981.27</v>
      </c>
      <c r="D36" s="1">
        <v>43918</v>
      </c>
      <c r="E36" t="s">
        <v>30</v>
      </c>
      <c r="F36" t="s">
        <v>58</v>
      </c>
      <c r="G36" t="s">
        <v>13</v>
      </c>
      <c r="H36" t="s">
        <v>118</v>
      </c>
      <c r="I36" t="s">
        <v>28</v>
      </c>
      <c r="J36" t="s">
        <v>119</v>
      </c>
      <c r="K36" s="2">
        <f>Sales_Export_2019_2020__2[[#This Row],[order_value_GBP]]-Sales_Export_2019_2020__2[[#This Row],[ cost ]]</f>
        <v>12292.269999999997</v>
      </c>
      <c r="L36" t="b">
        <f>COUNTIF(Sales_Export_2019_2020__2[order_id],Sales_Export_2019_2020__2[[#This Row],[order_id]])&gt;1</f>
        <v>0</v>
      </c>
      <c r="M36" t="str">
        <f t="shared" si="0"/>
        <v>£70,000 - £74,999</v>
      </c>
      <c r="N36" t="str" cm="1">
        <f t="array" ref="N3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6">
        <f>FLOOR(Sales_Export_2019_2020__2[[#This Row],[order_value_GBP]],5000)</f>
        <v>70000</v>
      </c>
    </row>
    <row r="37" spans="1:15" x14ac:dyDescent="0.35">
      <c r="A37" t="s">
        <v>23</v>
      </c>
      <c r="B37" s="2">
        <v>95566.43</v>
      </c>
      <c r="C37" s="2">
        <v>80342.7</v>
      </c>
      <c r="D37" s="1">
        <v>43592</v>
      </c>
      <c r="E37" t="s">
        <v>24</v>
      </c>
      <c r="F37" t="s">
        <v>31</v>
      </c>
      <c r="G37" t="s">
        <v>26</v>
      </c>
      <c r="H37" t="s">
        <v>90</v>
      </c>
      <c r="I37" t="s">
        <v>28</v>
      </c>
      <c r="J37" t="s">
        <v>120</v>
      </c>
      <c r="K37" s="2">
        <f>Sales_Export_2019_2020__2[[#This Row],[order_value_GBP]]-Sales_Export_2019_2020__2[[#This Row],[ cost ]]</f>
        <v>15223.729999999996</v>
      </c>
      <c r="L37" t="b">
        <f>COUNTIF(Sales_Export_2019_2020__2[order_id],Sales_Export_2019_2020__2[[#This Row],[order_id]])&gt;1</f>
        <v>0</v>
      </c>
      <c r="M37" t="str">
        <f t="shared" si="0"/>
        <v>£95,000 - £99,999</v>
      </c>
      <c r="N37" t="str" cm="1">
        <f t="array" ref="N3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7">
        <f>FLOOR(Sales_Export_2019_2020__2[[#This Row],[order_value_GBP]],5000)</f>
        <v>95000</v>
      </c>
    </row>
    <row r="38" spans="1:15" x14ac:dyDescent="0.35">
      <c r="A38" t="s">
        <v>53</v>
      </c>
      <c r="B38" s="2">
        <v>28783.05</v>
      </c>
      <c r="C38" s="2">
        <v>24776.45</v>
      </c>
      <c r="D38" s="1">
        <v>43553</v>
      </c>
      <c r="E38" t="s">
        <v>24</v>
      </c>
      <c r="F38" t="s">
        <v>121</v>
      </c>
      <c r="G38" t="s">
        <v>55</v>
      </c>
      <c r="H38" t="s">
        <v>56</v>
      </c>
      <c r="I38" t="s">
        <v>28</v>
      </c>
      <c r="J38" t="s">
        <v>122</v>
      </c>
      <c r="K38" s="2">
        <f>Sales_Export_2019_2020__2[[#This Row],[order_value_GBP]]-Sales_Export_2019_2020__2[[#This Row],[ cost ]]</f>
        <v>4006.5999999999985</v>
      </c>
      <c r="L38" t="b">
        <f>COUNTIF(Sales_Export_2019_2020__2[order_id],Sales_Export_2019_2020__2[[#This Row],[order_id]])&gt;1</f>
        <v>0</v>
      </c>
      <c r="M38" t="str">
        <f t="shared" si="0"/>
        <v>£25,000 - £29,999</v>
      </c>
      <c r="N38" t="str" cm="1">
        <f t="array" ref="N3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8">
        <f>FLOOR(Sales_Export_2019_2020__2[[#This Row],[order_value_GBP]],5000)</f>
        <v>25000</v>
      </c>
    </row>
    <row r="39" spans="1:15" x14ac:dyDescent="0.35">
      <c r="A39" t="s">
        <v>45</v>
      </c>
      <c r="B39" s="2">
        <v>124414.74</v>
      </c>
      <c r="C39" s="2">
        <v>98959.48</v>
      </c>
      <c r="D39" s="1">
        <v>43629</v>
      </c>
      <c r="E39" t="s">
        <v>62</v>
      </c>
      <c r="F39" t="s">
        <v>123</v>
      </c>
      <c r="G39" t="s">
        <v>48</v>
      </c>
      <c r="H39" t="s">
        <v>49</v>
      </c>
      <c r="I39" t="s">
        <v>28</v>
      </c>
      <c r="J39" t="s">
        <v>124</v>
      </c>
      <c r="K39" s="2">
        <f>Sales_Export_2019_2020__2[[#This Row],[order_value_GBP]]-Sales_Export_2019_2020__2[[#This Row],[ cost ]]</f>
        <v>25455.260000000009</v>
      </c>
      <c r="L39" t="b">
        <f>COUNTIF(Sales_Export_2019_2020__2[order_id],Sales_Export_2019_2020__2[[#This Row],[order_id]])&gt;1</f>
        <v>0</v>
      </c>
      <c r="M39" t="str">
        <f t="shared" si="0"/>
        <v>£120,000 - £124,999</v>
      </c>
      <c r="N39" t="str" cm="1">
        <f t="array" ref="N3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9">
        <f>FLOOR(Sales_Export_2019_2020__2[[#This Row],[order_value_GBP]],5000)</f>
        <v>120000</v>
      </c>
    </row>
    <row r="40" spans="1:15" x14ac:dyDescent="0.35">
      <c r="A40" t="s">
        <v>23</v>
      </c>
      <c r="B40" s="2">
        <v>153029.72</v>
      </c>
      <c r="C40" s="2">
        <v>125117.1</v>
      </c>
      <c r="D40" s="1">
        <v>43858</v>
      </c>
      <c r="E40" t="s">
        <v>18</v>
      </c>
      <c r="F40" t="s">
        <v>114</v>
      </c>
      <c r="G40" t="s">
        <v>26</v>
      </c>
      <c r="H40" t="s">
        <v>76</v>
      </c>
      <c r="I40" t="s">
        <v>28</v>
      </c>
      <c r="J40" t="s">
        <v>125</v>
      </c>
      <c r="K40" s="2">
        <f>Sales_Export_2019_2020__2[[#This Row],[order_value_GBP]]-Sales_Export_2019_2020__2[[#This Row],[ cost ]]</f>
        <v>27912.619999999995</v>
      </c>
      <c r="L40" t="b">
        <f>COUNTIF(Sales_Export_2019_2020__2[order_id],Sales_Export_2019_2020__2[[#This Row],[order_id]])&gt;1</f>
        <v>0</v>
      </c>
      <c r="M40" t="str">
        <f t="shared" si="0"/>
        <v>£150,000 - £154,999</v>
      </c>
      <c r="N40" t="str" cm="1">
        <f t="array" ref="N4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0">
        <f>FLOOR(Sales_Export_2019_2020__2[[#This Row],[order_value_GBP]],5000)</f>
        <v>150000</v>
      </c>
    </row>
    <row r="41" spans="1:15" x14ac:dyDescent="0.35">
      <c r="A41" t="s">
        <v>10</v>
      </c>
      <c r="B41" s="2">
        <v>174919.64</v>
      </c>
      <c r="C41" s="2">
        <v>146845.04</v>
      </c>
      <c r="D41" s="1">
        <v>44138</v>
      </c>
      <c r="E41" t="s">
        <v>24</v>
      </c>
      <c r="F41" t="s">
        <v>126</v>
      </c>
      <c r="G41" t="s">
        <v>13</v>
      </c>
      <c r="H41" t="s">
        <v>118</v>
      </c>
      <c r="I41" t="s">
        <v>15</v>
      </c>
      <c r="J41" t="s">
        <v>127</v>
      </c>
      <c r="K41" s="2">
        <f>Sales_Export_2019_2020__2[[#This Row],[order_value_GBP]]-Sales_Export_2019_2020__2[[#This Row],[ cost ]]</f>
        <v>28074.600000000006</v>
      </c>
      <c r="L41" t="b">
        <f>COUNTIF(Sales_Export_2019_2020__2[order_id],Sales_Export_2019_2020__2[[#This Row],[order_id]])&gt;1</f>
        <v>0</v>
      </c>
      <c r="M41" t="str">
        <f t="shared" si="0"/>
        <v>£170,000 - £174,999</v>
      </c>
      <c r="N41" t="str" cm="1">
        <f t="array" ref="N4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1">
        <f>FLOOR(Sales_Export_2019_2020__2[[#This Row],[order_value_GBP]],5000)</f>
        <v>170000</v>
      </c>
    </row>
    <row r="42" spans="1:15" x14ac:dyDescent="0.35">
      <c r="A42" t="s">
        <v>53</v>
      </c>
      <c r="B42" s="2">
        <v>55804.05</v>
      </c>
      <c r="C42" s="2">
        <v>46401.07</v>
      </c>
      <c r="D42" s="1">
        <v>43529</v>
      </c>
      <c r="E42" t="s">
        <v>80</v>
      </c>
      <c r="F42" t="s">
        <v>71</v>
      </c>
      <c r="G42" t="s">
        <v>55</v>
      </c>
      <c r="H42" t="s">
        <v>128</v>
      </c>
      <c r="I42" t="s">
        <v>28</v>
      </c>
      <c r="J42" t="s">
        <v>129</v>
      </c>
      <c r="K42" s="2">
        <f>Sales_Export_2019_2020__2[[#This Row],[order_value_GBP]]-Sales_Export_2019_2020__2[[#This Row],[ cost ]]</f>
        <v>9402.9800000000032</v>
      </c>
      <c r="L42" t="b">
        <f>COUNTIF(Sales_Export_2019_2020__2[order_id],Sales_Export_2019_2020__2[[#This Row],[order_id]])&gt;1</f>
        <v>0</v>
      </c>
      <c r="M42" t="str">
        <f t="shared" si="0"/>
        <v>£55,000 - £59,999</v>
      </c>
      <c r="N42" t="str" cm="1">
        <f t="array" ref="N4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2">
        <f>FLOOR(Sales_Export_2019_2020__2[[#This Row],[order_value_GBP]],5000)</f>
        <v>55000</v>
      </c>
    </row>
    <row r="43" spans="1:15" x14ac:dyDescent="0.35">
      <c r="A43" t="s">
        <v>53</v>
      </c>
      <c r="B43" s="2">
        <v>89160.66</v>
      </c>
      <c r="C43" s="2">
        <v>75367.509999999995</v>
      </c>
      <c r="D43" s="1">
        <v>43787</v>
      </c>
      <c r="E43" t="s">
        <v>30</v>
      </c>
      <c r="F43" t="s">
        <v>126</v>
      </c>
      <c r="G43" t="s">
        <v>55</v>
      </c>
      <c r="H43" t="s">
        <v>128</v>
      </c>
      <c r="I43" t="s">
        <v>28</v>
      </c>
      <c r="J43" t="s">
        <v>130</v>
      </c>
      <c r="K43" s="2">
        <f>Sales_Export_2019_2020__2[[#This Row],[order_value_GBP]]-Sales_Export_2019_2020__2[[#This Row],[ cost ]]</f>
        <v>13793.150000000009</v>
      </c>
      <c r="L43" t="b">
        <f>COUNTIF(Sales_Export_2019_2020__2[order_id],Sales_Export_2019_2020__2[[#This Row],[order_id]])&gt;1</f>
        <v>0</v>
      </c>
      <c r="M43" t="str">
        <f t="shared" si="0"/>
        <v>£85,000 - £89,999</v>
      </c>
      <c r="N43" t="str" cm="1">
        <f t="array" ref="N4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3">
        <f>FLOOR(Sales_Export_2019_2020__2[[#This Row],[order_value_GBP]],5000)</f>
        <v>85000</v>
      </c>
    </row>
    <row r="44" spans="1:15" x14ac:dyDescent="0.35">
      <c r="A44" t="s">
        <v>45</v>
      </c>
      <c r="B44" s="2">
        <v>27987.13</v>
      </c>
      <c r="C44" s="2">
        <v>24001.759999999998</v>
      </c>
      <c r="D44" s="1">
        <v>43550</v>
      </c>
      <c r="E44" t="s">
        <v>18</v>
      </c>
      <c r="F44" t="s">
        <v>123</v>
      </c>
      <c r="G44" t="s">
        <v>48</v>
      </c>
      <c r="H44" t="s">
        <v>66</v>
      </c>
      <c r="I44" t="s">
        <v>28</v>
      </c>
      <c r="J44" t="s">
        <v>131</v>
      </c>
      <c r="K44" s="2">
        <f>Sales_Export_2019_2020__2[[#This Row],[order_value_GBP]]-Sales_Export_2019_2020__2[[#This Row],[ cost ]]</f>
        <v>3985.3700000000026</v>
      </c>
      <c r="L44" t="b">
        <f>COUNTIF(Sales_Export_2019_2020__2[order_id],Sales_Export_2019_2020__2[[#This Row],[order_id]])&gt;1</f>
        <v>0</v>
      </c>
      <c r="M44" t="str">
        <f t="shared" si="0"/>
        <v>£25,000 - £29,999</v>
      </c>
      <c r="N44" t="str" cm="1">
        <f t="array" ref="N4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4">
        <f>FLOOR(Sales_Export_2019_2020__2[[#This Row],[order_value_GBP]],5000)</f>
        <v>25000</v>
      </c>
    </row>
    <row r="45" spans="1:15" x14ac:dyDescent="0.35">
      <c r="A45" t="s">
        <v>53</v>
      </c>
      <c r="B45" s="2">
        <v>18326.41</v>
      </c>
      <c r="C45" s="2">
        <v>15067.97</v>
      </c>
      <c r="D45" s="1">
        <v>43499</v>
      </c>
      <c r="E45" t="s">
        <v>18</v>
      </c>
      <c r="F45" t="s">
        <v>132</v>
      </c>
      <c r="G45" t="s">
        <v>55</v>
      </c>
      <c r="H45" t="s">
        <v>133</v>
      </c>
      <c r="I45" t="s">
        <v>28</v>
      </c>
      <c r="J45" t="s">
        <v>134</v>
      </c>
      <c r="K45" s="2">
        <f>Sales_Export_2019_2020__2[[#This Row],[order_value_GBP]]-Sales_Export_2019_2020__2[[#This Row],[ cost ]]</f>
        <v>3258.4400000000005</v>
      </c>
      <c r="L45" t="b">
        <f>COUNTIF(Sales_Export_2019_2020__2[order_id],Sales_Export_2019_2020__2[[#This Row],[order_id]])&gt;1</f>
        <v>0</v>
      </c>
      <c r="M45" t="str">
        <f t="shared" si="0"/>
        <v>£15,000 - £19,999</v>
      </c>
      <c r="N45" t="str" cm="1">
        <f t="array" ref="N4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5">
        <f>FLOOR(Sales_Export_2019_2020__2[[#This Row],[order_value_GBP]],5000)</f>
        <v>15000</v>
      </c>
    </row>
    <row r="46" spans="1:15" x14ac:dyDescent="0.35">
      <c r="A46" t="s">
        <v>84</v>
      </c>
      <c r="B46" s="2">
        <v>62708.6</v>
      </c>
      <c r="C46" s="2">
        <v>51414.78</v>
      </c>
      <c r="D46" s="1">
        <v>43706</v>
      </c>
      <c r="E46" t="s">
        <v>60</v>
      </c>
      <c r="F46" t="s">
        <v>135</v>
      </c>
      <c r="G46" t="s">
        <v>85</v>
      </c>
      <c r="H46" t="s">
        <v>86</v>
      </c>
      <c r="I46" t="s">
        <v>28</v>
      </c>
      <c r="J46" t="s">
        <v>136</v>
      </c>
      <c r="K46" s="2">
        <f>Sales_Export_2019_2020__2[[#This Row],[order_value_GBP]]-Sales_Export_2019_2020__2[[#This Row],[ cost ]]</f>
        <v>11293.82</v>
      </c>
      <c r="L46" t="b">
        <f>COUNTIF(Sales_Export_2019_2020__2[order_id],Sales_Export_2019_2020__2[[#This Row],[order_id]])&gt;1</f>
        <v>0</v>
      </c>
      <c r="M46" t="str">
        <f t="shared" si="0"/>
        <v>£60,000 - £64,999</v>
      </c>
      <c r="N46" t="str" cm="1">
        <f t="array" ref="N4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6">
        <f>FLOOR(Sales_Export_2019_2020__2[[#This Row],[order_value_GBP]],5000)</f>
        <v>60000</v>
      </c>
    </row>
    <row r="47" spans="1:15" x14ac:dyDescent="0.35">
      <c r="A47" t="s">
        <v>45</v>
      </c>
      <c r="B47" s="2">
        <v>124668.36</v>
      </c>
      <c r="C47" s="2">
        <v>103998.35</v>
      </c>
      <c r="D47" s="1">
        <v>44140</v>
      </c>
      <c r="E47" t="s">
        <v>18</v>
      </c>
      <c r="F47" t="s">
        <v>31</v>
      </c>
      <c r="G47" t="s">
        <v>48</v>
      </c>
      <c r="H47" t="s">
        <v>49</v>
      </c>
      <c r="I47" t="s">
        <v>28</v>
      </c>
      <c r="J47" t="s">
        <v>137</v>
      </c>
      <c r="K47" s="2">
        <f>Sales_Export_2019_2020__2[[#This Row],[order_value_GBP]]-Sales_Export_2019_2020__2[[#This Row],[ cost ]]</f>
        <v>20670.009999999995</v>
      </c>
      <c r="L47" t="b">
        <f>COUNTIF(Sales_Export_2019_2020__2[order_id],Sales_Export_2019_2020__2[[#This Row],[order_id]])&gt;1</f>
        <v>0</v>
      </c>
      <c r="M47" t="str">
        <f t="shared" si="0"/>
        <v>£120,000 - £124,999</v>
      </c>
      <c r="N47" t="str" cm="1">
        <f t="array" ref="N4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7">
        <f>FLOOR(Sales_Export_2019_2020__2[[#This Row],[order_value_GBP]],5000)</f>
        <v>120000</v>
      </c>
    </row>
    <row r="48" spans="1:15" x14ac:dyDescent="0.35">
      <c r="A48" t="s">
        <v>138</v>
      </c>
      <c r="B48" s="2">
        <v>109390.57</v>
      </c>
      <c r="C48" s="2">
        <v>87414</v>
      </c>
      <c r="D48" s="1">
        <v>44147</v>
      </c>
      <c r="E48" t="s">
        <v>139</v>
      </c>
      <c r="F48" t="s">
        <v>43</v>
      </c>
      <c r="G48" t="s">
        <v>140</v>
      </c>
      <c r="H48" t="s">
        <v>141</v>
      </c>
      <c r="I48" t="s">
        <v>15</v>
      </c>
      <c r="J48" t="s">
        <v>142</v>
      </c>
      <c r="K48" s="2">
        <f>Sales_Export_2019_2020__2[[#This Row],[order_value_GBP]]-Sales_Export_2019_2020__2[[#This Row],[ cost ]]</f>
        <v>21976.570000000007</v>
      </c>
      <c r="L48" t="b">
        <f>COUNTIF(Sales_Export_2019_2020__2[order_id],Sales_Export_2019_2020__2[[#This Row],[order_id]])&gt;1</f>
        <v>0</v>
      </c>
      <c r="M48" t="str">
        <f t="shared" si="0"/>
        <v>£105,000 - £109,999</v>
      </c>
      <c r="N48" t="str" cm="1">
        <f t="array" ref="N4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8">
        <f>FLOOR(Sales_Export_2019_2020__2[[#This Row],[order_value_GBP]],5000)</f>
        <v>105000</v>
      </c>
    </row>
    <row r="49" spans="1:15" x14ac:dyDescent="0.35">
      <c r="A49" t="s">
        <v>23</v>
      </c>
      <c r="B49" s="2">
        <v>103279.79</v>
      </c>
      <c r="C49" s="2">
        <v>82334.649999999994</v>
      </c>
      <c r="D49" s="1">
        <v>43902</v>
      </c>
      <c r="E49" t="s">
        <v>51</v>
      </c>
      <c r="F49" t="s">
        <v>35</v>
      </c>
      <c r="G49" t="s">
        <v>26</v>
      </c>
      <c r="H49" t="s">
        <v>32</v>
      </c>
      <c r="I49" t="s">
        <v>28</v>
      </c>
      <c r="J49" t="s">
        <v>143</v>
      </c>
      <c r="K49" s="2">
        <f>Sales_Export_2019_2020__2[[#This Row],[order_value_GBP]]-Sales_Export_2019_2020__2[[#This Row],[ cost ]]</f>
        <v>20945.14</v>
      </c>
      <c r="L49" t="b">
        <f>COUNTIF(Sales_Export_2019_2020__2[order_id],Sales_Export_2019_2020__2[[#This Row],[order_id]])&gt;1</f>
        <v>0</v>
      </c>
      <c r="M49" t="str">
        <f t="shared" si="0"/>
        <v>£100,000 - £104,999</v>
      </c>
      <c r="N49" t="str" cm="1">
        <f t="array" ref="N4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9">
        <f>FLOOR(Sales_Export_2019_2020__2[[#This Row],[order_value_GBP]],5000)</f>
        <v>100000</v>
      </c>
    </row>
    <row r="50" spans="1:15" x14ac:dyDescent="0.35">
      <c r="A50" t="s">
        <v>53</v>
      </c>
      <c r="B50" s="2">
        <v>173478.65</v>
      </c>
      <c r="C50" s="2">
        <v>139650.31</v>
      </c>
      <c r="D50" s="1">
        <v>43494</v>
      </c>
      <c r="E50" t="s">
        <v>11</v>
      </c>
      <c r="F50" t="s">
        <v>35</v>
      </c>
      <c r="G50" t="s">
        <v>55</v>
      </c>
      <c r="H50" t="s">
        <v>144</v>
      </c>
      <c r="I50" t="s">
        <v>28</v>
      </c>
      <c r="J50" t="s">
        <v>145</v>
      </c>
      <c r="K50" s="2">
        <f>Sales_Export_2019_2020__2[[#This Row],[order_value_GBP]]-Sales_Export_2019_2020__2[[#This Row],[ cost ]]</f>
        <v>33828.339999999997</v>
      </c>
      <c r="L50" t="b">
        <f>COUNTIF(Sales_Export_2019_2020__2[order_id],Sales_Export_2019_2020__2[[#This Row],[order_id]])&gt;1</f>
        <v>0</v>
      </c>
      <c r="M50" t="str">
        <f t="shared" si="0"/>
        <v>£170,000 - £174,999</v>
      </c>
      <c r="N50" t="str" cm="1">
        <f t="array" ref="N5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0">
        <f>FLOOR(Sales_Export_2019_2020__2[[#This Row],[order_value_GBP]],5000)</f>
        <v>170000</v>
      </c>
    </row>
    <row r="51" spans="1:15" x14ac:dyDescent="0.35">
      <c r="A51" t="s">
        <v>10</v>
      </c>
      <c r="B51" s="2">
        <v>57927.54</v>
      </c>
      <c r="C51" s="2">
        <v>48914.01</v>
      </c>
      <c r="D51" s="1">
        <v>43483</v>
      </c>
      <c r="E51" t="s">
        <v>18</v>
      </c>
      <c r="F51" t="s">
        <v>146</v>
      </c>
      <c r="G51" t="s">
        <v>13</v>
      </c>
      <c r="H51" t="s">
        <v>82</v>
      </c>
      <c r="I51" t="s">
        <v>15</v>
      </c>
      <c r="J51" t="s">
        <v>147</v>
      </c>
      <c r="K51" s="2">
        <f>Sales_Export_2019_2020__2[[#This Row],[order_value_GBP]]-Sales_Export_2019_2020__2[[#This Row],[ cost ]]</f>
        <v>9013.5299999999988</v>
      </c>
      <c r="L51" t="b">
        <f>COUNTIF(Sales_Export_2019_2020__2[order_id],Sales_Export_2019_2020__2[[#This Row],[order_id]])&gt;1</f>
        <v>0</v>
      </c>
      <c r="M51" t="str">
        <f t="shared" si="0"/>
        <v>£55,000 - £59,999</v>
      </c>
      <c r="N51" t="str" cm="1">
        <f t="array" ref="N5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1">
        <f>FLOOR(Sales_Export_2019_2020__2[[#This Row],[order_value_GBP]],5000)</f>
        <v>55000</v>
      </c>
    </row>
    <row r="52" spans="1:15" x14ac:dyDescent="0.35">
      <c r="A52" t="s">
        <v>23</v>
      </c>
      <c r="B52" s="2">
        <v>84767.77</v>
      </c>
      <c r="C52" s="2">
        <v>68950.100000000006</v>
      </c>
      <c r="D52" s="1">
        <v>43848</v>
      </c>
      <c r="E52" t="s">
        <v>80</v>
      </c>
      <c r="F52" t="s">
        <v>148</v>
      </c>
      <c r="G52" t="s">
        <v>26</v>
      </c>
      <c r="H52" t="s">
        <v>27</v>
      </c>
      <c r="I52" t="s">
        <v>15</v>
      </c>
      <c r="J52" t="s">
        <v>149</v>
      </c>
      <c r="K52" s="2">
        <f>Sales_Export_2019_2020__2[[#This Row],[order_value_GBP]]-Sales_Export_2019_2020__2[[#This Row],[ cost ]]</f>
        <v>15817.669999999998</v>
      </c>
      <c r="L52" t="b">
        <f>COUNTIF(Sales_Export_2019_2020__2[order_id],Sales_Export_2019_2020__2[[#This Row],[order_id]])&gt;1</f>
        <v>0</v>
      </c>
      <c r="M52" t="str">
        <f t="shared" si="0"/>
        <v>£80,000 - £84,999</v>
      </c>
      <c r="N52" t="str" cm="1">
        <f t="array" ref="N5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2">
        <f>FLOOR(Sales_Export_2019_2020__2[[#This Row],[order_value_GBP]],5000)</f>
        <v>80000</v>
      </c>
    </row>
    <row r="53" spans="1:15" x14ac:dyDescent="0.35">
      <c r="A53" t="s">
        <v>53</v>
      </c>
      <c r="B53" s="2">
        <v>138175.53</v>
      </c>
      <c r="C53" s="2">
        <v>116744.51</v>
      </c>
      <c r="D53" s="1">
        <v>44138</v>
      </c>
      <c r="E53" t="s">
        <v>139</v>
      </c>
      <c r="F53" t="s">
        <v>150</v>
      </c>
      <c r="G53" t="s">
        <v>55</v>
      </c>
      <c r="H53" t="s">
        <v>133</v>
      </c>
      <c r="I53" t="s">
        <v>28</v>
      </c>
      <c r="J53" t="s">
        <v>151</v>
      </c>
      <c r="K53" s="2">
        <f>Sales_Export_2019_2020__2[[#This Row],[order_value_GBP]]-Sales_Export_2019_2020__2[[#This Row],[ cost ]]</f>
        <v>21431.020000000004</v>
      </c>
      <c r="L53" t="b">
        <f>COUNTIF(Sales_Export_2019_2020__2[order_id],Sales_Export_2019_2020__2[[#This Row],[order_id]])&gt;1</f>
        <v>0</v>
      </c>
      <c r="M53" t="str">
        <f t="shared" si="0"/>
        <v>£135,000 - £139,999</v>
      </c>
      <c r="N53" t="str" cm="1">
        <f t="array" ref="N5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3">
        <f>FLOOR(Sales_Export_2019_2020__2[[#This Row],[order_value_GBP]],5000)</f>
        <v>135000</v>
      </c>
    </row>
    <row r="54" spans="1:15" x14ac:dyDescent="0.35">
      <c r="A54" t="s">
        <v>23</v>
      </c>
      <c r="B54" s="2">
        <v>143107.89000000001</v>
      </c>
      <c r="C54" s="2">
        <v>121241</v>
      </c>
      <c r="D54" s="1">
        <v>44137</v>
      </c>
      <c r="E54" t="s">
        <v>80</v>
      </c>
      <c r="F54" t="s">
        <v>112</v>
      </c>
      <c r="G54" t="s">
        <v>26</v>
      </c>
      <c r="H54" t="s">
        <v>90</v>
      </c>
      <c r="I54" t="s">
        <v>15</v>
      </c>
      <c r="J54" t="s">
        <v>152</v>
      </c>
      <c r="K54" s="2">
        <f>Sales_Export_2019_2020__2[[#This Row],[order_value_GBP]]-Sales_Export_2019_2020__2[[#This Row],[ cost ]]</f>
        <v>21866.890000000014</v>
      </c>
      <c r="L54" t="b">
        <f>COUNTIF(Sales_Export_2019_2020__2[order_id],Sales_Export_2019_2020__2[[#This Row],[order_id]])&gt;1</f>
        <v>0</v>
      </c>
      <c r="M54" t="str">
        <f t="shared" si="0"/>
        <v>£140,000 - £144,999</v>
      </c>
      <c r="N54" t="str" cm="1">
        <f t="array" ref="N5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4">
        <f>FLOOR(Sales_Export_2019_2020__2[[#This Row],[order_value_GBP]],5000)</f>
        <v>140000</v>
      </c>
    </row>
    <row r="55" spans="1:15" x14ac:dyDescent="0.35">
      <c r="A55" t="s">
        <v>10</v>
      </c>
      <c r="B55" s="2">
        <v>54446.5</v>
      </c>
      <c r="C55" s="2">
        <v>44989.14</v>
      </c>
      <c r="D55" s="1">
        <v>43899</v>
      </c>
      <c r="E55" t="s">
        <v>51</v>
      </c>
      <c r="F55" t="s">
        <v>153</v>
      </c>
      <c r="G55" t="s">
        <v>13</v>
      </c>
      <c r="H55" t="s">
        <v>82</v>
      </c>
      <c r="I55" t="s">
        <v>38</v>
      </c>
      <c r="J55" t="s">
        <v>154</v>
      </c>
      <c r="K55" s="2">
        <f>Sales_Export_2019_2020__2[[#This Row],[order_value_GBP]]-Sales_Export_2019_2020__2[[#This Row],[ cost ]]</f>
        <v>9457.36</v>
      </c>
      <c r="L55" t="b">
        <f>COUNTIF(Sales_Export_2019_2020__2[order_id],Sales_Export_2019_2020__2[[#This Row],[order_id]])&gt;1</f>
        <v>0</v>
      </c>
      <c r="M55" t="str">
        <f t="shared" si="0"/>
        <v>£50,000 - £54,999</v>
      </c>
      <c r="N55" t="str" cm="1">
        <f t="array" ref="N5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5">
        <f>FLOOR(Sales_Export_2019_2020__2[[#This Row],[order_value_GBP]],5000)</f>
        <v>50000</v>
      </c>
    </row>
    <row r="56" spans="1:15" x14ac:dyDescent="0.35">
      <c r="A56" t="s">
        <v>23</v>
      </c>
      <c r="B56" s="2">
        <v>136324.9</v>
      </c>
      <c r="C56" s="2">
        <v>110436.8</v>
      </c>
      <c r="D56" s="1">
        <v>43767</v>
      </c>
      <c r="E56" t="s">
        <v>80</v>
      </c>
      <c r="F56" t="s">
        <v>155</v>
      </c>
      <c r="G56" t="s">
        <v>26</v>
      </c>
      <c r="H56" t="s">
        <v>90</v>
      </c>
      <c r="I56" t="s">
        <v>38</v>
      </c>
      <c r="J56" t="s">
        <v>156</v>
      </c>
      <c r="K56" s="2">
        <f>Sales_Export_2019_2020__2[[#This Row],[order_value_GBP]]-Sales_Export_2019_2020__2[[#This Row],[ cost ]]</f>
        <v>25888.099999999991</v>
      </c>
      <c r="L56" t="b">
        <f>COUNTIF(Sales_Export_2019_2020__2[order_id],Sales_Export_2019_2020__2[[#This Row],[order_id]])&gt;1</f>
        <v>0</v>
      </c>
      <c r="M56" t="str">
        <f t="shared" si="0"/>
        <v>£135,000 - £139,999</v>
      </c>
      <c r="N56" t="str" cm="1">
        <f t="array" ref="N5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6">
        <f>FLOOR(Sales_Export_2019_2020__2[[#This Row],[order_value_GBP]],5000)</f>
        <v>135000</v>
      </c>
    </row>
    <row r="57" spans="1:15" x14ac:dyDescent="0.35">
      <c r="A57" t="s">
        <v>23</v>
      </c>
      <c r="B57" s="2">
        <v>43066.58</v>
      </c>
      <c r="C57" s="2">
        <v>36154.39</v>
      </c>
      <c r="D57" s="1">
        <v>43504</v>
      </c>
      <c r="E57" t="s">
        <v>18</v>
      </c>
      <c r="F57" t="s">
        <v>135</v>
      </c>
      <c r="G57" t="s">
        <v>26</v>
      </c>
      <c r="H57" t="s">
        <v>90</v>
      </c>
      <c r="I57" t="s">
        <v>15</v>
      </c>
      <c r="J57" t="s">
        <v>157</v>
      </c>
      <c r="K57" s="2">
        <f>Sales_Export_2019_2020__2[[#This Row],[order_value_GBP]]-Sales_Export_2019_2020__2[[#This Row],[ cost ]]</f>
        <v>6912.1900000000023</v>
      </c>
      <c r="L57" t="b">
        <f>COUNTIF(Sales_Export_2019_2020__2[order_id],Sales_Export_2019_2020__2[[#This Row],[order_id]])&gt;1</f>
        <v>0</v>
      </c>
      <c r="M57" t="str">
        <f t="shared" si="0"/>
        <v>£40,000 - £44,999</v>
      </c>
      <c r="N57" t="str" cm="1">
        <f t="array" ref="N5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7">
        <f>FLOOR(Sales_Export_2019_2020__2[[#This Row],[order_value_GBP]],5000)</f>
        <v>40000</v>
      </c>
    </row>
    <row r="58" spans="1:15" x14ac:dyDescent="0.35">
      <c r="A58" t="s">
        <v>53</v>
      </c>
      <c r="B58" s="2">
        <v>224626.25</v>
      </c>
      <c r="C58" s="2">
        <v>189988.88</v>
      </c>
      <c r="D58" s="1">
        <v>44033</v>
      </c>
      <c r="E58" t="s">
        <v>80</v>
      </c>
      <c r="F58" t="s">
        <v>158</v>
      </c>
      <c r="G58" t="s">
        <v>55</v>
      </c>
      <c r="H58" t="s">
        <v>133</v>
      </c>
      <c r="I58" t="s">
        <v>28</v>
      </c>
      <c r="J58" t="s">
        <v>159</v>
      </c>
      <c r="K58" s="2">
        <f>Sales_Export_2019_2020__2[[#This Row],[order_value_GBP]]-Sales_Export_2019_2020__2[[#This Row],[ cost ]]</f>
        <v>34637.369999999995</v>
      </c>
      <c r="L58" t="b">
        <f>COUNTIF(Sales_Export_2019_2020__2[order_id],Sales_Export_2019_2020__2[[#This Row],[order_id]])&gt;1</f>
        <v>0</v>
      </c>
      <c r="M58" t="str">
        <f t="shared" si="0"/>
        <v>£220,000 - £224,999</v>
      </c>
      <c r="N58" t="str" cm="1">
        <f t="array" ref="N5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8">
        <f>FLOOR(Sales_Export_2019_2020__2[[#This Row],[order_value_GBP]],5000)</f>
        <v>220000</v>
      </c>
    </row>
    <row r="59" spans="1:15" x14ac:dyDescent="0.35">
      <c r="A59" t="s">
        <v>53</v>
      </c>
      <c r="B59" s="2">
        <v>115689.22</v>
      </c>
      <c r="C59" s="2">
        <v>98127.6</v>
      </c>
      <c r="D59" s="1">
        <v>43661</v>
      </c>
      <c r="E59" t="s">
        <v>24</v>
      </c>
      <c r="F59" t="s">
        <v>160</v>
      </c>
      <c r="G59" t="s">
        <v>55</v>
      </c>
      <c r="H59" t="s">
        <v>144</v>
      </c>
      <c r="I59" t="s">
        <v>28</v>
      </c>
      <c r="J59" t="s">
        <v>161</v>
      </c>
      <c r="K59" s="2">
        <f>Sales_Export_2019_2020__2[[#This Row],[order_value_GBP]]-Sales_Export_2019_2020__2[[#This Row],[ cost ]]</f>
        <v>17561.619999999995</v>
      </c>
      <c r="L59" t="b">
        <f>COUNTIF(Sales_Export_2019_2020__2[order_id],Sales_Export_2019_2020__2[[#This Row],[order_id]])&gt;1</f>
        <v>0</v>
      </c>
      <c r="M59" t="str">
        <f t="shared" si="0"/>
        <v>£115,000 - £119,999</v>
      </c>
      <c r="N59" t="str" cm="1">
        <f t="array" ref="N5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9">
        <f>FLOOR(Sales_Export_2019_2020__2[[#This Row],[order_value_GBP]],5000)</f>
        <v>115000</v>
      </c>
    </row>
    <row r="60" spans="1:15" x14ac:dyDescent="0.35">
      <c r="A60" t="s">
        <v>101</v>
      </c>
      <c r="B60" s="2">
        <v>78293.94</v>
      </c>
      <c r="C60" s="2">
        <v>66236.67</v>
      </c>
      <c r="D60" s="1">
        <v>43751</v>
      </c>
      <c r="E60" t="s">
        <v>51</v>
      </c>
      <c r="F60" t="s">
        <v>71</v>
      </c>
      <c r="G60" t="s">
        <v>103</v>
      </c>
      <c r="H60" t="s">
        <v>162</v>
      </c>
      <c r="I60" t="s">
        <v>15</v>
      </c>
      <c r="J60" t="s">
        <v>163</v>
      </c>
      <c r="K60" s="2">
        <f>Sales_Export_2019_2020__2[[#This Row],[order_value_GBP]]-Sales_Export_2019_2020__2[[#This Row],[ cost ]]</f>
        <v>12057.270000000004</v>
      </c>
      <c r="L60" t="b">
        <f>COUNTIF(Sales_Export_2019_2020__2[order_id],Sales_Export_2019_2020__2[[#This Row],[order_id]])&gt;1</f>
        <v>0</v>
      </c>
      <c r="M60" t="str">
        <f t="shared" si="0"/>
        <v>£75,000 - £79,999</v>
      </c>
      <c r="N60" t="str" cm="1">
        <f t="array" ref="N6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0">
        <f>FLOOR(Sales_Export_2019_2020__2[[#This Row],[order_value_GBP]],5000)</f>
        <v>75000</v>
      </c>
    </row>
    <row r="61" spans="1:15" x14ac:dyDescent="0.35">
      <c r="A61" t="s">
        <v>23</v>
      </c>
      <c r="B61" s="2">
        <v>92698.45</v>
      </c>
      <c r="C61" s="2">
        <v>73454.25</v>
      </c>
      <c r="D61" s="1">
        <v>43843</v>
      </c>
      <c r="E61" t="s">
        <v>24</v>
      </c>
      <c r="F61" t="s">
        <v>31</v>
      </c>
      <c r="G61" t="s">
        <v>26</v>
      </c>
      <c r="H61" t="s">
        <v>76</v>
      </c>
      <c r="I61" t="s">
        <v>28</v>
      </c>
      <c r="J61" t="s">
        <v>164</v>
      </c>
      <c r="K61" s="2">
        <f>Sales_Export_2019_2020__2[[#This Row],[order_value_GBP]]-Sales_Export_2019_2020__2[[#This Row],[ cost ]]</f>
        <v>19244.199999999997</v>
      </c>
      <c r="L61" t="b">
        <f>COUNTIF(Sales_Export_2019_2020__2[order_id],Sales_Export_2019_2020__2[[#This Row],[order_id]])&gt;1</f>
        <v>0</v>
      </c>
      <c r="M61" t="str">
        <f t="shared" si="0"/>
        <v>£90,000 - £94,999</v>
      </c>
      <c r="N61" t="str" cm="1">
        <f t="array" ref="N6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1">
        <f>FLOOR(Sales_Export_2019_2020__2[[#This Row],[order_value_GBP]],5000)</f>
        <v>90000</v>
      </c>
    </row>
    <row r="62" spans="1:15" x14ac:dyDescent="0.35">
      <c r="A62" t="s">
        <v>101</v>
      </c>
      <c r="B62" s="2">
        <v>83141.47</v>
      </c>
      <c r="C62" s="2">
        <v>72000.509999999995</v>
      </c>
      <c r="D62" s="1">
        <v>43539</v>
      </c>
      <c r="E62" t="s">
        <v>62</v>
      </c>
      <c r="F62" t="s">
        <v>64</v>
      </c>
      <c r="G62" t="s">
        <v>103</v>
      </c>
      <c r="H62" t="s">
        <v>104</v>
      </c>
      <c r="I62" t="s">
        <v>15</v>
      </c>
      <c r="J62" t="s">
        <v>165</v>
      </c>
      <c r="K62" s="2">
        <f>Sales_Export_2019_2020__2[[#This Row],[order_value_GBP]]-Sales_Export_2019_2020__2[[#This Row],[ cost ]]</f>
        <v>11140.960000000006</v>
      </c>
      <c r="L62" t="b">
        <f>COUNTIF(Sales_Export_2019_2020__2[order_id],Sales_Export_2019_2020__2[[#This Row],[order_id]])&gt;1</f>
        <v>0</v>
      </c>
      <c r="M62" t="str">
        <f t="shared" si="0"/>
        <v>£80,000 - £84,999</v>
      </c>
      <c r="N62" t="str" cm="1">
        <f t="array" ref="N6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2">
        <f>FLOOR(Sales_Export_2019_2020__2[[#This Row],[order_value_GBP]],5000)</f>
        <v>80000</v>
      </c>
    </row>
    <row r="63" spans="1:15" x14ac:dyDescent="0.35">
      <c r="A63" t="s">
        <v>23</v>
      </c>
      <c r="B63" s="2">
        <v>38982.26</v>
      </c>
      <c r="C63" s="2">
        <v>32854.25</v>
      </c>
      <c r="D63" s="1">
        <v>43750</v>
      </c>
      <c r="E63" t="s">
        <v>24</v>
      </c>
      <c r="F63" t="s">
        <v>166</v>
      </c>
      <c r="G63" t="s">
        <v>26</v>
      </c>
      <c r="H63" t="s">
        <v>27</v>
      </c>
      <c r="I63" t="s">
        <v>15</v>
      </c>
      <c r="J63" t="s">
        <v>167</v>
      </c>
      <c r="K63" s="2">
        <f>Sales_Export_2019_2020__2[[#This Row],[order_value_GBP]]-Sales_Export_2019_2020__2[[#This Row],[ cost ]]</f>
        <v>6128.010000000002</v>
      </c>
      <c r="L63" t="b">
        <f>COUNTIF(Sales_Export_2019_2020__2[order_id],Sales_Export_2019_2020__2[[#This Row],[order_id]])&gt;1</f>
        <v>0</v>
      </c>
      <c r="M63" t="str">
        <f t="shared" si="0"/>
        <v>£35,000 - £39,999</v>
      </c>
      <c r="N63" t="str" cm="1">
        <f t="array" ref="N6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3">
        <f>FLOOR(Sales_Export_2019_2020__2[[#This Row],[order_value_GBP]],5000)</f>
        <v>35000</v>
      </c>
    </row>
    <row r="64" spans="1:15" x14ac:dyDescent="0.35">
      <c r="A64" t="s">
        <v>23</v>
      </c>
      <c r="B64" s="2">
        <v>57120.58</v>
      </c>
      <c r="C64" s="2">
        <v>49654.92</v>
      </c>
      <c r="D64" s="1">
        <v>43794</v>
      </c>
      <c r="E64" t="s">
        <v>18</v>
      </c>
      <c r="F64" t="s">
        <v>168</v>
      </c>
      <c r="G64" t="s">
        <v>26</v>
      </c>
      <c r="H64" t="s">
        <v>32</v>
      </c>
      <c r="I64" t="s">
        <v>28</v>
      </c>
      <c r="J64" t="s">
        <v>169</v>
      </c>
      <c r="K64" s="2">
        <f>Sales_Export_2019_2020__2[[#This Row],[order_value_GBP]]-Sales_Export_2019_2020__2[[#This Row],[ cost ]]</f>
        <v>7465.6600000000035</v>
      </c>
      <c r="L64" t="b">
        <f>COUNTIF(Sales_Export_2019_2020__2[order_id],Sales_Export_2019_2020__2[[#This Row],[order_id]])&gt;1</f>
        <v>0</v>
      </c>
      <c r="M64" t="str">
        <f t="shared" si="0"/>
        <v>£55,000 - £59,999</v>
      </c>
      <c r="N64" t="str" cm="1">
        <f t="array" ref="N6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4">
        <f>FLOOR(Sales_Export_2019_2020__2[[#This Row],[order_value_GBP]],5000)</f>
        <v>55000</v>
      </c>
    </row>
    <row r="65" spans="1:15" x14ac:dyDescent="0.35">
      <c r="A65" t="s">
        <v>10</v>
      </c>
      <c r="B65" s="2">
        <v>240759.07</v>
      </c>
      <c r="C65" s="2">
        <v>205415.64</v>
      </c>
      <c r="D65" s="1">
        <v>43996</v>
      </c>
      <c r="E65" t="s">
        <v>51</v>
      </c>
      <c r="F65" t="s">
        <v>132</v>
      </c>
      <c r="G65" t="s">
        <v>13</v>
      </c>
      <c r="H65" t="s">
        <v>170</v>
      </c>
      <c r="I65" t="s">
        <v>28</v>
      </c>
      <c r="J65" t="s">
        <v>171</v>
      </c>
      <c r="K65" s="2">
        <f>Sales_Export_2019_2020__2[[#This Row],[order_value_GBP]]-Sales_Export_2019_2020__2[[#This Row],[ cost ]]</f>
        <v>35343.429999999993</v>
      </c>
      <c r="L65" t="b">
        <f>COUNTIF(Sales_Export_2019_2020__2[order_id],Sales_Export_2019_2020__2[[#This Row],[order_id]])&gt;1</f>
        <v>0</v>
      </c>
      <c r="M65" t="str">
        <f t="shared" si="0"/>
        <v>£240,000 - £244,999</v>
      </c>
      <c r="N65" t="str" cm="1">
        <f t="array" ref="N6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65">
        <f>FLOOR(Sales_Export_2019_2020__2[[#This Row],[order_value_GBP]],5000)</f>
        <v>240000</v>
      </c>
    </row>
    <row r="66" spans="1:15" x14ac:dyDescent="0.35">
      <c r="A66" t="s">
        <v>10</v>
      </c>
      <c r="B66" s="2">
        <v>53849.120000000003</v>
      </c>
      <c r="C66" s="2">
        <v>47354.92</v>
      </c>
      <c r="D66" s="1">
        <v>43936</v>
      </c>
      <c r="E66" t="s">
        <v>18</v>
      </c>
      <c r="F66" t="s">
        <v>71</v>
      </c>
      <c r="G66" t="s">
        <v>13</v>
      </c>
      <c r="H66" t="s">
        <v>82</v>
      </c>
      <c r="I66" t="s">
        <v>28</v>
      </c>
      <c r="J66" t="s">
        <v>172</v>
      </c>
      <c r="K66" s="2">
        <f>Sales_Export_2019_2020__2[[#This Row],[order_value_GBP]]-Sales_Export_2019_2020__2[[#This Row],[ cost ]]</f>
        <v>6494.2000000000044</v>
      </c>
      <c r="L66" t="b">
        <f>COUNTIF(Sales_Export_2019_2020__2[order_id],Sales_Export_2019_2020__2[[#This Row],[order_id]])&gt;1</f>
        <v>0</v>
      </c>
      <c r="M66" t="str">
        <f t="shared" ref="M66:M129" si="1">TEXT(FLOOR(B66,5000),"£#,##0")&amp;" - "&amp;TEXT(FLOOR(B66,5000)+4999,"£#,##0")</f>
        <v>£50,000 - £54,999</v>
      </c>
      <c r="N66" t="str" cm="1">
        <f t="array" ref="N6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6">
        <f>FLOOR(Sales_Export_2019_2020__2[[#This Row],[order_value_GBP]],5000)</f>
        <v>50000</v>
      </c>
    </row>
    <row r="67" spans="1:15" x14ac:dyDescent="0.35">
      <c r="A67" t="s">
        <v>173</v>
      </c>
      <c r="B67" s="2">
        <v>361182.87</v>
      </c>
      <c r="C67" s="2">
        <v>288368.40000000002</v>
      </c>
      <c r="D67" s="1">
        <v>43801</v>
      </c>
      <c r="E67" t="s">
        <v>11</v>
      </c>
      <c r="F67" t="s">
        <v>174</v>
      </c>
      <c r="G67" t="s">
        <v>175</v>
      </c>
      <c r="H67" t="s">
        <v>176</v>
      </c>
      <c r="I67" t="s">
        <v>28</v>
      </c>
      <c r="J67" t="s">
        <v>177</v>
      </c>
      <c r="K67" s="2">
        <f>Sales_Export_2019_2020__2[[#This Row],[order_value_GBP]]-Sales_Export_2019_2020__2[[#This Row],[ cost ]]</f>
        <v>72814.469999999972</v>
      </c>
      <c r="L67" t="b">
        <f>COUNTIF(Sales_Export_2019_2020__2[order_id],Sales_Export_2019_2020__2[[#This Row],[order_id]])&gt;1</f>
        <v>0</v>
      </c>
      <c r="M67" t="str">
        <f t="shared" si="1"/>
        <v>£360,000 - £364,999</v>
      </c>
      <c r="N67" t="str" cm="1">
        <f t="array" ref="N6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67">
        <f>FLOOR(Sales_Export_2019_2020__2[[#This Row],[order_value_GBP]],5000)</f>
        <v>360000</v>
      </c>
    </row>
    <row r="68" spans="1:15" x14ac:dyDescent="0.35">
      <c r="A68" t="s">
        <v>10</v>
      </c>
      <c r="B68" s="2">
        <v>97063.22</v>
      </c>
      <c r="C68" s="2">
        <v>78067.95</v>
      </c>
      <c r="D68" s="1">
        <v>43757</v>
      </c>
      <c r="E68" t="s">
        <v>51</v>
      </c>
      <c r="F68" t="s">
        <v>178</v>
      </c>
      <c r="G68" t="s">
        <v>13</v>
      </c>
      <c r="H68" t="s">
        <v>14</v>
      </c>
      <c r="I68" t="s">
        <v>38</v>
      </c>
      <c r="J68" t="s">
        <v>179</v>
      </c>
      <c r="K68" s="2">
        <f>Sales_Export_2019_2020__2[[#This Row],[order_value_GBP]]-Sales_Export_2019_2020__2[[#This Row],[ cost ]]</f>
        <v>18995.270000000004</v>
      </c>
      <c r="L68" t="b">
        <f>COUNTIF(Sales_Export_2019_2020__2[order_id],Sales_Export_2019_2020__2[[#This Row],[order_id]])&gt;1</f>
        <v>0</v>
      </c>
      <c r="M68" t="str">
        <f t="shared" si="1"/>
        <v>£95,000 - £99,999</v>
      </c>
      <c r="N68" t="str" cm="1">
        <f t="array" ref="N6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8">
        <f>FLOOR(Sales_Export_2019_2020__2[[#This Row],[order_value_GBP]],5000)</f>
        <v>95000</v>
      </c>
    </row>
    <row r="69" spans="1:15" x14ac:dyDescent="0.35">
      <c r="A69" t="s">
        <v>34</v>
      </c>
      <c r="B69" s="2">
        <v>39110.97</v>
      </c>
      <c r="C69" s="2">
        <v>34315.97</v>
      </c>
      <c r="D69" s="1">
        <v>43765</v>
      </c>
      <c r="E69" t="s">
        <v>24</v>
      </c>
      <c r="F69" t="s">
        <v>180</v>
      </c>
      <c r="G69" t="s">
        <v>36</v>
      </c>
      <c r="H69" t="s">
        <v>41</v>
      </c>
      <c r="I69" t="s">
        <v>28</v>
      </c>
      <c r="J69" t="s">
        <v>181</v>
      </c>
      <c r="K69" s="2">
        <f>Sales_Export_2019_2020__2[[#This Row],[order_value_GBP]]-Sales_Export_2019_2020__2[[#This Row],[ cost ]]</f>
        <v>4795</v>
      </c>
      <c r="L69" t="b">
        <f>COUNTIF(Sales_Export_2019_2020__2[order_id],Sales_Export_2019_2020__2[[#This Row],[order_id]])&gt;1</f>
        <v>0</v>
      </c>
      <c r="M69" t="str">
        <f t="shared" si="1"/>
        <v>£35,000 - £39,999</v>
      </c>
      <c r="N69" t="str" cm="1">
        <f t="array" ref="N6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9">
        <f>FLOOR(Sales_Export_2019_2020__2[[#This Row],[order_value_GBP]],5000)</f>
        <v>35000</v>
      </c>
    </row>
    <row r="70" spans="1:15" x14ac:dyDescent="0.35">
      <c r="A70" t="s">
        <v>53</v>
      </c>
      <c r="B70" s="2">
        <v>123672.7</v>
      </c>
      <c r="C70" s="2">
        <v>106036.97</v>
      </c>
      <c r="D70" s="1">
        <v>44148</v>
      </c>
      <c r="E70" t="s">
        <v>60</v>
      </c>
      <c r="F70" t="s">
        <v>182</v>
      </c>
      <c r="G70" t="s">
        <v>55</v>
      </c>
      <c r="H70" t="s">
        <v>128</v>
      </c>
      <c r="I70" t="s">
        <v>28</v>
      </c>
      <c r="J70" t="s">
        <v>183</v>
      </c>
      <c r="K70" s="2">
        <f>Sales_Export_2019_2020__2[[#This Row],[order_value_GBP]]-Sales_Export_2019_2020__2[[#This Row],[ cost ]]</f>
        <v>17635.729999999996</v>
      </c>
      <c r="L70" t="b">
        <f>COUNTIF(Sales_Export_2019_2020__2[order_id],Sales_Export_2019_2020__2[[#This Row],[order_id]])&gt;1</f>
        <v>0</v>
      </c>
      <c r="M70" t="str">
        <f t="shared" si="1"/>
        <v>£120,000 - £124,999</v>
      </c>
      <c r="N70" t="str" cm="1">
        <f t="array" ref="N7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0">
        <f>FLOOR(Sales_Export_2019_2020__2[[#This Row],[order_value_GBP]],5000)</f>
        <v>120000</v>
      </c>
    </row>
    <row r="71" spans="1:15" x14ac:dyDescent="0.35">
      <c r="A71" t="s">
        <v>53</v>
      </c>
      <c r="B71" s="2">
        <v>144640.79999999999</v>
      </c>
      <c r="C71" s="2">
        <v>118345.1</v>
      </c>
      <c r="D71" s="1">
        <v>43566</v>
      </c>
      <c r="E71" t="s">
        <v>80</v>
      </c>
      <c r="F71" t="s">
        <v>102</v>
      </c>
      <c r="G71" t="s">
        <v>55</v>
      </c>
      <c r="H71" t="s">
        <v>144</v>
      </c>
      <c r="I71" t="s">
        <v>28</v>
      </c>
      <c r="J71" t="s">
        <v>184</v>
      </c>
      <c r="K71" s="2">
        <f>Sales_Export_2019_2020__2[[#This Row],[order_value_GBP]]-Sales_Export_2019_2020__2[[#This Row],[ cost ]]</f>
        <v>26295.699999999983</v>
      </c>
      <c r="L71" t="b">
        <f>COUNTIF(Sales_Export_2019_2020__2[order_id],Sales_Export_2019_2020__2[[#This Row],[order_id]])&gt;1</f>
        <v>0</v>
      </c>
      <c r="M71" t="str">
        <f t="shared" si="1"/>
        <v>£140,000 - £144,999</v>
      </c>
      <c r="N71" t="str" cm="1">
        <f t="array" ref="N7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1">
        <f>FLOOR(Sales_Export_2019_2020__2[[#This Row],[order_value_GBP]],5000)</f>
        <v>140000</v>
      </c>
    </row>
    <row r="72" spans="1:15" x14ac:dyDescent="0.35">
      <c r="A72" t="s">
        <v>53</v>
      </c>
      <c r="B72" s="2">
        <v>268779.03000000003</v>
      </c>
      <c r="C72" s="2">
        <v>233676.49</v>
      </c>
      <c r="D72" s="1">
        <v>43826</v>
      </c>
      <c r="E72" t="s">
        <v>60</v>
      </c>
      <c r="F72" t="s">
        <v>185</v>
      </c>
      <c r="G72" t="s">
        <v>55</v>
      </c>
      <c r="H72" t="s">
        <v>133</v>
      </c>
      <c r="I72" t="s">
        <v>15</v>
      </c>
      <c r="J72" t="s">
        <v>186</v>
      </c>
      <c r="K72" s="2">
        <f>Sales_Export_2019_2020__2[[#This Row],[order_value_GBP]]-Sales_Export_2019_2020__2[[#This Row],[ cost ]]</f>
        <v>35102.540000000037</v>
      </c>
      <c r="L72" t="b">
        <f>COUNTIF(Sales_Export_2019_2020__2[order_id],Sales_Export_2019_2020__2[[#This Row],[order_id]])&gt;1</f>
        <v>0</v>
      </c>
      <c r="M72" t="str">
        <f t="shared" si="1"/>
        <v>£265,000 - £269,999</v>
      </c>
      <c r="N72" t="str" cm="1">
        <f t="array" ref="N7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2">
        <f>FLOOR(Sales_Export_2019_2020__2[[#This Row],[order_value_GBP]],5000)</f>
        <v>265000</v>
      </c>
    </row>
    <row r="73" spans="1:15" x14ac:dyDescent="0.35">
      <c r="A73" t="s">
        <v>10</v>
      </c>
      <c r="B73" s="2">
        <v>53593.86</v>
      </c>
      <c r="C73" s="2">
        <v>45629.81</v>
      </c>
      <c r="D73" s="1">
        <v>44024</v>
      </c>
      <c r="E73" t="s">
        <v>80</v>
      </c>
      <c r="F73" t="s">
        <v>114</v>
      </c>
      <c r="G73" t="s">
        <v>13</v>
      </c>
      <c r="H73" t="s">
        <v>118</v>
      </c>
      <c r="I73" t="s">
        <v>28</v>
      </c>
      <c r="J73" t="s">
        <v>187</v>
      </c>
      <c r="K73" s="2">
        <f>Sales_Export_2019_2020__2[[#This Row],[order_value_GBP]]-Sales_Export_2019_2020__2[[#This Row],[ cost ]]</f>
        <v>7964.0500000000029</v>
      </c>
      <c r="L73" t="b">
        <f>COUNTIF(Sales_Export_2019_2020__2[order_id],Sales_Export_2019_2020__2[[#This Row],[order_id]])&gt;1</f>
        <v>0</v>
      </c>
      <c r="M73" t="str">
        <f t="shared" si="1"/>
        <v>£50,000 - £54,999</v>
      </c>
      <c r="N73" t="str" cm="1">
        <f t="array" ref="N7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3">
        <f>FLOOR(Sales_Export_2019_2020__2[[#This Row],[order_value_GBP]],5000)</f>
        <v>50000</v>
      </c>
    </row>
    <row r="74" spans="1:15" x14ac:dyDescent="0.35">
      <c r="A74" t="s">
        <v>53</v>
      </c>
      <c r="B74" s="2">
        <v>155044.01999999999</v>
      </c>
      <c r="C74" s="2">
        <v>134268.12</v>
      </c>
      <c r="D74" s="1">
        <v>43763</v>
      </c>
      <c r="E74" t="s">
        <v>30</v>
      </c>
      <c r="F74" t="s">
        <v>188</v>
      </c>
      <c r="G74" t="s">
        <v>55</v>
      </c>
      <c r="H74" t="s">
        <v>72</v>
      </c>
      <c r="I74" t="s">
        <v>28</v>
      </c>
      <c r="J74" t="s">
        <v>189</v>
      </c>
      <c r="K74" s="2">
        <f>Sales_Export_2019_2020__2[[#This Row],[order_value_GBP]]-Sales_Export_2019_2020__2[[#This Row],[ cost ]]</f>
        <v>20775.899999999994</v>
      </c>
      <c r="L74" t="b">
        <f>COUNTIF(Sales_Export_2019_2020__2[order_id],Sales_Export_2019_2020__2[[#This Row],[order_id]])&gt;1</f>
        <v>0</v>
      </c>
      <c r="M74" t="str">
        <f t="shared" si="1"/>
        <v>£155,000 - £159,999</v>
      </c>
      <c r="N74" t="str" cm="1">
        <f t="array" ref="N7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4">
        <f>FLOOR(Sales_Export_2019_2020__2[[#This Row],[order_value_GBP]],5000)</f>
        <v>155000</v>
      </c>
    </row>
    <row r="75" spans="1:15" x14ac:dyDescent="0.35">
      <c r="A75" t="s">
        <v>23</v>
      </c>
      <c r="B75" s="2">
        <v>102495.13</v>
      </c>
      <c r="C75" s="2">
        <v>85009.46</v>
      </c>
      <c r="D75" s="1">
        <v>44051</v>
      </c>
      <c r="E75" t="s">
        <v>60</v>
      </c>
      <c r="F75" t="s">
        <v>47</v>
      </c>
      <c r="G75" t="s">
        <v>26</v>
      </c>
      <c r="H75" t="s">
        <v>90</v>
      </c>
      <c r="I75" t="s">
        <v>38</v>
      </c>
      <c r="J75" t="s">
        <v>190</v>
      </c>
      <c r="K75" s="2">
        <f>Sales_Export_2019_2020__2[[#This Row],[order_value_GBP]]-Sales_Export_2019_2020__2[[#This Row],[ cost ]]</f>
        <v>17485.669999999998</v>
      </c>
      <c r="L75" t="b">
        <f>COUNTIF(Sales_Export_2019_2020__2[order_id],Sales_Export_2019_2020__2[[#This Row],[order_id]])&gt;1</f>
        <v>0</v>
      </c>
      <c r="M75" t="str">
        <f t="shared" si="1"/>
        <v>£100,000 - £104,999</v>
      </c>
      <c r="N75" t="str" cm="1">
        <f t="array" ref="N7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5">
        <f>FLOOR(Sales_Export_2019_2020__2[[#This Row],[order_value_GBP]],5000)</f>
        <v>100000</v>
      </c>
    </row>
    <row r="76" spans="1:15" x14ac:dyDescent="0.35">
      <c r="A76" t="s">
        <v>23</v>
      </c>
      <c r="B76" s="2">
        <v>294472.77</v>
      </c>
      <c r="C76" s="2">
        <v>255572.92</v>
      </c>
      <c r="D76" s="1">
        <v>43627</v>
      </c>
      <c r="E76" t="s">
        <v>60</v>
      </c>
      <c r="F76" t="s">
        <v>54</v>
      </c>
      <c r="G76" t="s">
        <v>26</v>
      </c>
      <c r="H76" t="s">
        <v>27</v>
      </c>
      <c r="I76" t="s">
        <v>38</v>
      </c>
      <c r="J76" t="s">
        <v>191</v>
      </c>
      <c r="K76" s="2">
        <f>Sales_Export_2019_2020__2[[#This Row],[order_value_GBP]]-Sales_Export_2019_2020__2[[#This Row],[ cost ]]</f>
        <v>38899.850000000006</v>
      </c>
      <c r="L76" t="b">
        <f>COUNTIF(Sales_Export_2019_2020__2[order_id],Sales_Export_2019_2020__2[[#This Row],[order_id]])&gt;1</f>
        <v>0</v>
      </c>
      <c r="M76" t="str">
        <f t="shared" si="1"/>
        <v>£290,000 - £294,999</v>
      </c>
      <c r="N76" t="str" cm="1">
        <f t="array" ref="N7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6">
        <f>FLOOR(Sales_Export_2019_2020__2[[#This Row],[order_value_GBP]],5000)</f>
        <v>290000</v>
      </c>
    </row>
    <row r="77" spans="1:15" x14ac:dyDescent="0.35">
      <c r="A77" t="s">
        <v>10</v>
      </c>
      <c r="B77" s="2">
        <v>64053.77</v>
      </c>
      <c r="C77" s="2">
        <v>54733.95</v>
      </c>
      <c r="D77" s="1">
        <v>44075</v>
      </c>
      <c r="E77" t="s">
        <v>30</v>
      </c>
      <c r="F77" t="s">
        <v>97</v>
      </c>
      <c r="G77" t="s">
        <v>13</v>
      </c>
      <c r="H77" t="s">
        <v>69</v>
      </c>
      <c r="I77" t="s">
        <v>28</v>
      </c>
      <c r="J77" t="s">
        <v>192</v>
      </c>
      <c r="K77" s="2">
        <f>Sales_Export_2019_2020__2[[#This Row],[order_value_GBP]]-Sales_Export_2019_2020__2[[#This Row],[ cost ]]</f>
        <v>9319.82</v>
      </c>
      <c r="L77" t="b">
        <f>COUNTIF(Sales_Export_2019_2020__2[order_id],Sales_Export_2019_2020__2[[#This Row],[order_id]])&gt;1</f>
        <v>0</v>
      </c>
      <c r="M77" t="str">
        <f t="shared" si="1"/>
        <v>£60,000 - £64,999</v>
      </c>
      <c r="N77" t="str" cm="1">
        <f t="array" ref="N7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7">
        <f>FLOOR(Sales_Export_2019_2020__2[[#This Row],[order_value_GBP]],5000)</f>
        <v>60000</v>
      </c>
    </row>
    <row r="78" spans="1:15" x14ac:dyDescent="0.35">
      <c r="A78" t="s">
        <v>45</v>
      </c>
      <c r="B78" s="2">
        <v>24543.72</v>
      </c>
      <c r="C78" s="2">
        <v>19492.62</v>
      </c>
      <c r="D78" s="1">
        <v>43546</v>
      </c>
      <c r="E78" t="s">
        <v>24</v>
      </c>
      <c r="F78" t="s">
        <v>31</v>
      </c>
      <c r="G78" t="s">
        <v>48</v>
      </c>
      <c r="H78" t="s">
        <v>74</v>
      </c>
      <c r="I78" t="s">
        <v>28</v>
      </c>
      <c r="J78" t="s">
        <v>193</v>
      </c>
      <c r="K78" s="2">
        <f>Sales_Export_2019_2020__2[[#This Row],[order_value_GBP]]-Sales_Export_2019_2020__2[[#This Row],[ cost ]]</f>
        <v>5051.1000000000022</v>
      </c>
      <c r="L78" t="b">
        <f>COUNTIF(Sales_Export_2019_2020__2[order_id],Sales_Export_2019_2020__2[[#This Row],[order_id]])&gt;1</f>
        <v>0</v>
      </c>
      <c r="M78" t="str">
        <f t="shared" si="1"/>
        <v>£20,000 - £24,999</v>
      </c>
      <c r="N78" t="str" cm="1">
        <f t="array" ref="N7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78">
        <f>FLOOR(Sales_Export_2019_2020__2[[#This Row],[order_value_GBP]],5000)</f>
        <v>20000</v>
      </c>
    </row>
    <row r="79" spans="1:15" x14ac:dyDescent="0.35">
      <c r="A79" t="s">
        <v>23</v>
      </c>
      <c r="B79" s="2">
        <v>161544.06</v>
      </c>
      <c r="C79" s="2">
        <v>132579.21</v>
      </c>
      <c r="D79" s="1">
        <v>43720</v>
      </c>
      <c r="E79" t="s">
        <v>24</v>
      </c>
      <c r="F79" t="s">
        <v>35</v>
      </c>
      <c r="G79" t="s">
        <v>26</v>
      </c>
      <c r="H79" t="s">
        <v>27</v>
      </c>
      <c r="I79" t="s">
        <v>28</v>
      </c>
      <c r="J79" t="s">
        <v>194</v>
      </c>
      <c r="K79" s="2">
        <f>Sales_Export_2019_2020__2[[#This Row],[order_value_GBP]]-Sales_Export_2019_2020__2[[#This Row],[ cost ]]</f>
        <v>28964.850000000006</v>
      </c>
      <c r="L79" t="b">
        <f>COUNTIF(Sales_Export_2019_2020__2[order_id],Sales_Export_2019_2020__2[[#This Row],[order_id]])&gt;1</f>
        <v>0</v>
      </c>
      <c r="M79" t="str">
        <f t="shared" si="1"/>
        <v>£160,000 - £164,999</v>
      </c>
      <c r="N79" t="str" cm="1">
        <f t="array" ref="N7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9">
        <f>FLOOR(Sales_Export_2019_2020__2[[#This Row],[order_value_GBP]],5000)</f>
        <v>160000</v>
      </c>
    </row>
    <row r="80" spans="1:15" x14ac:dyDescent="0.35">
      <c r="A80" t="s">
        <v>23</v>
      </c>
      <c r="B80" s="2">
        <v>50303.66</v>
      </c>
      <c r="C80" s="2">
        <v>41103.120000000003</v>
      </c>
      <c r="D80" s="1">
        <v>43836</v>
      </c>
      <c r="E80" t="s">
        <v>51</v>
      </c>
      <c r="F80" t="s">
        <v>158</v>
      </c>
      <c r="G80" t="s">
        <v>26</v>
      </c>
      <c r="H80" t="s">
        <v>27</v>
      </c>
      <c r="I80" t="s">
        <v>28</v>
      </c>
      <c r="J80" t="s">
        <v>195</v>
      </c>
      <c r="K80" s="2">
        <f>Sales_Export_2019_2020__2[[#This Row],[order_value_GBP]]-Sales_Export_2019_2020__2[[#This Row],[ cost ]]</f>
        <v>9200.5400000000009</v>
      </c>
      <c r="L80" t="b">
        <f>COUNTIF(Sales_Export_2019_2020__2[order_id],Sales_Export_2019_2020__2[[#This Row],[order_id]])&gt;1</f>
        <v>0</v>
      </c>
      <c r="M80" t="str">
        <f t="shared" si="1"/>
        <v>£50,000 - £54,999</v>
      </c>
      <c r="N80" t="str" cm="1">
        <f t="array" ref="N8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0">
        <f>FLOOR(Sales_Export_2019_2020__2[[#This Row],[order_value_GBP]],5000)</f>
        <v>50000</v>
      </c>
    </row>
    <row r="81" spans="1:15" x14ac:dyDescent="0.35">
      <c r="A81" t="s">
        <v>10</v>
      </c>
      <c r="B81" s="2">
        <v>124593.04</v>
      </c>
      <c r="C81" s="2">
        <v>109106.13</v>
      </c>
      <c r="D81" s="1">
        <v>43841</v>
      </c>
      <c r="E81" t="s">
        <v>51</v>
      </c>
      <c r="F81" t="s">
        <v>35</v>
      </c>
      <c r="G81" t="s">
        <v>13</v>
      </c>
      <c r="H81" t="s">
        <v>14</v>
      </c>
      <c r="I81" t="s">
        <v>15</v>
      </c>
      <c r="J81" t="s">
        <v>196</v>
      </c>
      <c r="K81" s="2">
        <f>Sales_Export_2019_2020__2[[#This Row],[order_value_GBP]]-Sales_Export_2019_2020__2[[#This Row],[ cost ]]</f>
        <v>15486.909999999989</v>
      </c>
      <c r="L81" t="b">
        <f>COUNTIF(Sales_Export_2019_2020__2[order_id],Sales_Export_2019_2020__2[[#This Row],[order_id]])&gt;1</f>
        <v>0</v>
      </c>
      <c r="M81" t="str">
        <f t="shared" si="1"/>
        <v>£120,000 - £124,999</v>
      </c>
      <c r="N81" t="str" cm="1">
        <f t="array" ref="N8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1">
        <f>FLOOR(Sales_Export_2019_2020__2[[#This Row],[order_value_GBP]],5000)</f>
        <v>120000</v>
      </c>
    </row>
    <row r="82" spans="1:15" x14ac:dyDescent="0.35">
      <c r="A82" t="s">
        <v>10</v>
      </c>
      <c r="B82" s="2">
        <v>44147.92</v>
      </c>
      <c r="C82" s="2">
        <v>37163.72</v>
      </c>
      <c r="D82" s="1">
        <v>43969</v>
      </c>
      <c r="E82" t="s">
        <v>30</v>
      </c>
      <c r="F82" t="s">
        <v>102</v>
      </c>
      <c r="G82" t="s">
        <v>13</v>
      </c>
      <c r="H82" t="s">
        <v>14</v>
      </c>
      <c r="I82" t="s">
        <v>28</v>
      </c>
      <c r="J82" t="s">
        <v>197</v>
      </c>
      <c r="K82" s="2">
        <f>Sales_Export_2019_2020__2[[#This Row],[order_value_GBP]]-Sales_Export_2019_2020__2[[#This Row],[ cost ]]</f>
        <v>6984.1999999999971</v>
      </c>
      <c r="L82" t="b">
        <f>COUNTIF(Sales_Export_2019_2020__2[order_id],Sales_Export_2019_2020__2[[#This Row],[order_id]])&gt;1</f>
        <v>0</v>
      </c>
      <c r="M82" t="str">
        <f t="shared" si="1"/>
        <v>£40,000 - £44,999</v>
      </c>
      <c r="N82" t="str" cm="1">
        <f t="array" ref="N8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2">
        <f>FLOOR(Sales_Export_2019_2020__2[[#This Row],[order_value_GBP]],5000)</f>
        <v>40000</v>
      </c>
    </row>
    <row r="83" spans="1:15" x14ac:dyDescent="0.35">
      <c r="A83" t="s">
        <v>101</v>
      </c>
      <c r="B83" s="2">
        <v>42239.66</v>
      </c>
      <c r="C83" s="2">
        <v>37039.96</v>
      </c>
      <c r="D83" s="1">
        <v>43602</v>
      </c>
      <c r="E83" t="s">
        <v>60</v>
      </c>
      <c r="F83" t="s">
        <v>35</v>
      </c>
      <c r="G83" t="s">
        <v>103</v>
      </c>
      <c r="H83" t="s">
        <v>104</v>
      </c>
      <c r="I83" t="s">
        <v>28</v>
      </c>
      <c r="J83" t="s">
        <v>198</v>
      </c>
      <c r="K83" s="2">
        <f>Sales_Export_2019_2020__2[[#This Row],[order_value_GBP]]-Sales_Export_2019_2020__2[[#This Row],[ cost ]]</f>
        <v>5199.7000000000044</v>
      </c>
      <c r="L83" t="b">
        <f>COUNTIF(Sales_Export_2019_2020__2[order_id],Sales_Export_2019_2020__2[[#This Row],[order_id]])&gt;1</f>
        <v>0</v>
      </c>
      <c r="M83" t="str">
        <f t="shared" si="1"/>
        <v>£40,000 - £44,999</v>
      </c>
      <c r="N83" t="str" cm="1">
        <f t="array" ref="N8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3">
        <f>FLOOR(Sales_Export_2019_2020__2[[#This Row],[order_value_GBP]],5000)</f>
        <v>40000</v>
      </c>
    </row>
    <row r="84" spans="1:15" x14ac:dyDescent="0.35">
      <c r="A84" t="s">
        <v>10</v>
      </c>
      <c r="B84" s="2">
        <v>113763.38</v>
      </c>
      <c r="C84" s="2">
        <v>91158.6</v>
      </c>
      <c r="D84" s="1">
        <v>43922</v>
      </c>
      <c r="E84" t="s">
        <v>11</v>
      </c>
      <c r="F84" t="s">
        <v>158</v>
      </c>
      <c r="G84" t="s">
        <v>13</v>
      </c>
      <c r="H84" t="s">
        <v>14</v>
      </c>
      <c r="I84" t="s">
        <v>28</v>
      </c>
      <c r="J84" t="s">
        <v>199</v>
      </c>
      <c r="K84" s="2">
        <f>Sales_Export_2019_2020__2[[#This Row],[order_value_GBP]]-Sales_Export_2019_2020__2[[#This Row],[ cost ]]</f>
        <v>22604.78</v>
      </c>
      <c r="L84" t="b">
        <f>COUNTIF(Sales_Export_2019_2020__2[order_id],Sales_Export_2019_2020__2[[#This Row],[order_id]])&gt;1</f>
        <v>0</v>
      </c>
      <c r="M84" t="str">
        <f t="shared" si="1"/>
        <v>£110,000 - £114,999</v>
      </c>
      <c r="N84" t="str" cm="1">
        <f t="array" ref="N8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4">
        <f>FLOOR(Sales_Export_2019_2020__2[[#This Row],[order_value_GBP]],5000)</f>
        <v>110000</v>
      </c>
    </row>
    <row r="85" spans="1:15" x14ac:dyDescent="0.35">
      <c r="A85" t="s">
        <v>23</v>
      </c>
      <c r="B85" s="2">
        <v>183363.6</v>
      </c>
      <c r="C85" s="2">
        <v>155033.92000000001</v>
      </c>
      <c r="D85" s="1">
        <v>43640</v>
      </c>
      <c r="E85" t="s">
        <v>60</v>
      </c>
      <c r="F85" t="s">
        <v>35</v>
      </c>
      <c r="G85" t="s">
        <v>26</v>
      </c>
      <c r="H85" t="s">
        <v>90</v>
      </c>
      <c r="I85" t="s">
        <v>28</v>
      </c>
      <c r="J85" t="s">
        <v>200</v>
      </c>
      <c r="K85" s="2">
        <f>Sales_Export_2019_2020__2[[#This Row],[order_value_GBP]]-Sales_Export_2019_2020__2[[#This Row],[ cost ]]</f>
        <v>28329.679999999993</v>
      </c>
      <c r="L85" t="b">
        <f>COUNTIF(Sales_Export_2019_2020__2[order_id],Sales_Export_2019_2020__2[[#This Row],[order_id]])&gt;1</f>
        <v>0</v>
      </c>
      <c r="M85" t="str">
        <f t="shared" si="1"/>
        <v>£180,000 - £184,999</v>
      </c>
      <c r="N85" t="str" cm="1">
        <f t="array" ref="N8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85">
        <f>FLOOR(Sales_Export_2019_2020__2[[#This Row],[order_value_GBP]],5000)</f>
        <v>180000</v>
      </c>
    </row>
    <row r="86" spans="1:15" x14ac:dyDescent="0.35">
      <c r="A86" t="s">
        <v>53</v>
      </c>
      <c r="B86" s="2">
        <v>85220.83</v>
      </c>
      <c r="C86" s="2">
        <v>73767.149999999994</v>
      </c>
      <c r="D86" s="1">
        <v>43723</v>
      </c>
      <c r="E86" t="s">
        <v>30</v>
      </c>
      <c r="F86" t="s">
        <v>201</v>
      </c>
      <c r="G86" t="s">
        <v>55</v>
      </c>
      <c r="H86" t="s">
        <v>128</v>
      </c>
      <c r="I86" t="s">
        <v>38</v>
      </c>
      <c r="J86" t="s">
        <v>202</v>
      </c>
      <c r="K86" s="2">
        <f>Sales_Export_2019_2020__2[[#This Row],[order_value_GBP]]-Sales_Export_2019_2020__2[[#This Row],[ cost ]]</f>
        <v>11453.680000000008</v>
      </c>
      <c r="L86" t="b">
        <f>COUNTIF(Sales_Export_2019_2020__2[order_id],Sales_Export_2019_2020__2[[#This Row],[order_id]])&gt;1</f>
        <v>0</v>
      </c>
      <c r="M86" t="str">
        <f t="shared" si="1"/>
        <v>£85,000 - £89,999</v>
      </c>
      <c r="N86" t="str" cm="1">
        <f t="array" ref="N8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6">
        <f>FLOOR(Sales_Export_2019_2020__2[[#This Row],[order_value_GBP]],5000)</f>
        <v>85000</v>
      </c>
    </row>
    <row r="87" spans="1:15" x14ac:dyDescent="0.35">
      <c r="A87" t="s">
        <v>23</v>
      </c>
      <c r="B87" s="2">
        <v>87513.27</v>
      </c>
      <c r="C87" s="2">
        <v>72469.740000000005</v>
      </c>
      <c r="D87" s="1">
        <v>43895</v>
      </c>
      <c r="E87" t="s">
        <v>11</v>
      </c>
      <c r="F87" t="s">
        <v>203</v>
      </c>
      <c r="G87" t="s">
        <v>26</v>
      </c>
      <c r="H87" t="s">
        <v>76</v>
      </c>
      <c r="I87" t="s">
        <v>15</v>
      </c>
      <c r="J87" t="s">
        <v>204</v>
      </c>
      <c r="K87" s="2">
        <f>Sales_Export_2019_2020__2[[#This Row],[order_value_GBP]]-Sales_Export_2019_2020__2[[#This Row],[ cost ]]</f>
        <v>15043.529999999999</v>
      </c>
      <c r="L87" t="b">
        <f>COUNTIF(Sales_Export_2019_2020__2[order_id],Sales_Export_2019_2020__2[[#This Row],[order_id]])&gt;1</f>
        <v>0</v>
      </c>
      <c r="M87" t="str">
        <f t="shared" si="1"/>
        <v>£85,000 - £89,999</v>
      </c>
      <c r="N87" t="str" cm="1">
        <f t="array" ref="N8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7">
        <f>FLOOR(Sales_Export_2019_2020__2[[#This Row],[order_value_GBP]],5000)</f>
        <v>85000</v>
      </c>
    </row>
    <row r="88" spans="1:15" x14ac:dyDescent="0.35">
      <c r="A88" t="s">
        <v>101</v>
      </c>
      <c r="B88" s="2">
        <v>37073.910000000003</v>
      </c>
      <c r="C88" s="2">
        <v>30274.55</v>
      </c>
      <c r="D88" s="1">
        <v>43581</v>
      </c>
      <c r="E88" t="s">
        <v>11</v>
      </c>
      <c r="F88" t="s">
        <v>205</v>
      </c>
      <c r="G88" t="s">
        <v>103</v>
      </c>
      <c r="H88" t="s">
        <v>162</v>
      </c>
      <c r="I88" t="s">
        <v>38</v>
      </c>
      <c r="J88" t="s">
        <v>206</v>
      </c>
      <c r="K88" s="2">
        <f>Sales_Export_2019_2020__2[[#This Row],[order_value_GBP]]-Sales_Export_2019_2020__2[[#This Row],[ cost ]]</f>
        <v>6799.3600000000042</v>
      </c>
      <c r="L88" t="b">
        <f>COUNTIF(Sales_Export_2019_2020__2[order_id],Sales_Export_2019_2020__2[[#This Row],[order_id]])&gt;1</f>
        <v>0</v>
      </c>
      <c r="M88" t="str">
        <f t="shared" si="1"/>
        <v>£35,000 - £39,999</v>
      </c>
      <c r="N88" t="str" cm="1">
        <f t="array" ref="N8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8">
        <f>FLOOR(Sales_Export_2019_2020__2[[#This Row],[order_value_GBP]],5000)</f>
        <v>35000</v>
      </c>
    </row>
    <row r="89" spans="1:15" x14ac:dyDescent="0.35">
      <c r="A89" t="s">
        <v>53</v>
      </c>
      <c r="B89" s="2">
        <v>122139.94</v>
      </c>
      <c r="C89" s="2">
        <v>103684.6</v>
      </c>
      <c r="D89" s="1">
        <v>43771</v>
      </c>
      <c r="E89" t="s">
        <v>60</v>
      </c>
      <c r="F89" t="s">
        <v>174</v>
      </c>
      <c r="G89" t="s">
        <v>55</v>
      </c>
      <c r="H89" t="s">
        <v>133</v>
      </c>
      <c r="I89" t="s">
        <v>28</v>
      </c>
      <c r="J89" t="s">
        <v>207</v>
      </c>
      <c r="K89" s="2">
        <f>Sales_Export_2019_2020__2[[#This Row],[order_value_GBP]]-Sales_Export_2019_2020__2[[#This Row],[ cost ]]</f>
        <v>18455.339999999997</v>
      </c>
      <c r="L89" t="b">
        <f>COUNTIF(Sales_Export_2019_2020__2[order_id],Sales_Export_2019_2020__2[[#This Row],[order_id]])&gt;1</f>
        <v>0</v>
      </c>
      <c r="M89" t="str">
        <f t="shared" si="1"/>
        <v>£120,000 - £124,999</v>
      </c>
      <c r="N89" t="str" cm="1">
        <f t="array" ref="N8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9">
        <f>FLOOR(Sales_Export_2019_2020__2[[#This Row],[order_value_GBP]],5000)</f>
        <v>120000</v>
      </c>
    </row>
    <row r="90" spans="1:15" x14ac:dyDescent="0.35">
      <c r="A90" t="s">
        <v>53</v>
      </c>
      <c r="B90" s="2">
        <v>107586.21</v>
      </c>
      <c r="C90" s="2">
        <v>94525.24</v>
      </c>
      <c r="D90" s="1">
        <v>43989</v>
      </c>
      <c r="E90" t="s">
        <v>80</v>
      </c>
      <c r="F90" t="s">
        <v>150</v>
      </c>
      <c r="G90" t="s">
        <v>55</v>
      </c>
      <c r="H90" t="s">
        <v>72</v>
      </c>
      <c r="I90" t="s">
        <v>28</v>
      </c>
      <c r="J90" t="s">
        <v>208</v>
      </c>
      <c r="K90" s="2">
        <f>Sales_Export_2019_2020__2[[#This Row],[order_value_GBP]]-Sales_Export_2019_2020__2[[#This Row],[ cost ]]</f>
        <v>13060.970000000001</v>
      </c>
      <c r="L90" t="b">
        <f>COUNTIF(Sales_Export_2019_2020__2[order_id],Sales_Export_2019_2020__2[[#This Row],[order_id]])&gt;1</f>
        <v>0</v>
      </c>
      <c r="M90" t="str">
        <f t="shared" si="1"/>
        <v>£105,000 - £109,999</v>
      </c>
      <c r="N90" t="str" cm="1">
        <f t="array" ref="N9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0">
        <f>FLOOR(Sales_Export_2019_2020__2[[#This Row],[order_value_GBP]],5000)</f>
        <v>105000</v>
      </c>
    </row>
    <row r="91" spans="1:15" x14ac:dyDescent="0.35">
      <c r="A91" t="s">
        <v>45</v>
      </c>
      <c r="B91" s="2">
        <v>203958.16</v>
      </c>
      <c r="C91" s="2">
        <v>176444.2</v>
      </c>
      <c r="D91" s="1">
        <v>44167</v>
      </c>
      <c r="E91" t="s">
        <v>51</v>
      </c>
      <c r="F91" t="s">
        <v>25</v>
      </c>
      <c r="G91" t="s">
        <v>48</v>
      </c>
      <c r="H91" t="s">
        <v>66</v>
      </c>
      <c r="I91" t="s">
        <v>28</v>
      </c>
      <c r="J91" t="s">
        <v>209</v>
      </c>
      <c r="K91" s="2">
        <f>Sales_Export_2019_2020__2[[#This Row],[order_value_GBP]]-Sales_Export_2019_2020__2[[#This Row],[ cost ]]</f>
        <v>27513.959999999992</v>
      </c>
      <c r="L91" t="b">
        <f>COUNTIF(Sales_Export_2019_2020__2[order_id],Sales_Export_2019_2020__2[[#This Row],[order_id]])&gt;1</f>
        <v>0</v>
      </c>
      <c r="M91" t="str">
        <f t="shared" si="1"/>
        <v>£200,000 - £204,999</v>
      </c>
      <c r="N91" t="str" cm="1">
        <f t="array" ref="N9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1">
        <f>FLOOR(Sales_Export_2019_2020__2[[#This Row],[order_value_GBP]],5000)</f>
        <v>200000</v>
      </c>
    </row>
    <row r="92" spans="1:15" x14ac:dyDescent="0.35">
      <c r="A92" t="s">
        <v>23</v>
      </c>
      <c r="B92" s="2">
        <v>55132.39</v>
      </c>
      <c r="C92" s="2">
        <v>47121.65</v>
      </c>
      <c r="D92" s="1">
        <v>43627</v>
      </c>
      <c r="E92" t="s">
        <v>24</v>
      </c>
      <c r="F92" t="s">
        <v>210</v>
      </c>
      <c r="G92" t="s">
        <v>26</v>
      </c>
      <c r="H92" t="s">
        <v>90</v>
      </c>
      <c r="I92" t="s">
        <v>28</v>
      </c>
      <c r="J92" t="s">
        <v>211</v>
      </c>
      <c r="K92" s="2">
        <f>Sales_Export_2019_2020__2[[#This Row],[order_value_GBP]]-Sales_Export_2019_2020__2[[#This Row],[ cost ]]</f>
        <v>8010.739999999998</v>
      </c>
      <c r="L92" t="b">
        <f>COUNTIF(Sales_Export_2019_2020__2[order_id],Sales_Export_2019_2020__2[[#This Row],[order_id]])&gt;1</f>
        <v>0</v>
      </c>
      <c r="M92" t="str">
        <f t="shared" si="1"/>
        <v>£55,000 - £59,999</v>
      </c>
      <c r="N92" t="str" cm="1">
        <f t="array" ref="N9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2">
        <f>FLOOR(Sales_Export_2019_2020__2[[#This Row],[order_value_GBP]],5000)</f>
        <v>55000</v>
      </c>
    </row>
    <row r="93" spans="1:15" x14ac:dyDescent="0.35">
      <c r="A93" t="s">
        <v>173</v>
      </c>
      <c r="B93" s="2">
        <v>135424.06</v>
      </c>
      <c r="C93" s="2">
        <v>116275.1</v>
      </c>
      <c r="D93" s="1">
        <v>43845</v>
      </c>
      <c r="E93" t="s">
        <v>80</v>
      </c>
      <c r="F93" t="s">
        <v>135</v>
      </c>
      <c r="G93" t="s">
        <v>175</v>
      </c>
      <c r="H93" t="s">
        <v>212</v>
      </c>
      <c r="I93" t="s">
        <v>28</v>
      </c>
      <c r="J93" t="s">
        <v>213</v>
      </c>
      <c r="K93" s="2">
        <f>Sales_Export_2019_2020__2[[#This Row],[order_value_GBP]]-Sales_Export_2019_2020__2[[#This Row],[ cost ]]</f>
        <v>19148.959999999992</v>
      </c>
      <c r="L93" t="b">
        <f>COUNTIF(Sales_Export_2019_2020__2[order_id],Sales_Export_2019_2020__2[[#This Row],[order_id]])&gt;1</f>
        <v>0</v>
      </c>
      <c r="M93" t="str">
        <f t="shared" si="1"/>
        <v>£135,000 - £139,999</v>
      </c>
      <c r="N93" t="str" cm="1">
        <f t="array" ref="N9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3">
        <f>FLOOR(Sales_Export_2019_2020__2[[#This Row],[order_value_GBP]],5000)</f>
        <v>135000</v>
      </c>
    </row>
    <row r="94" spans="1:15" x14ac:dyDescent="0.35">
      <c r="A94" t="s">
        <v>10</v>
      </c>
      <c r="B94" s="2">
        <v>167123.72</v>
      </c>
      <c r="C94" s="2">
        <v>132946.92000000001</v>
      </c>
      <c r="D94" s="1">
        <v>43678</v>
      </c>
      <c r="E94" t="s">
        <v>60</v>
      </c>
      <c r="F94" t="s">
        <v>166</v>
      </c>
      <c r="G94" t="s">
        <v>13</v>
      </c>
      <c r="H94" t="s">
        <v>82</v>
      </c>
      <c r="I94" t="s">
        <v>28</v>
      </c>
      <c r="J94" t="s">
        <v>214</v>
      </c>
      <c r="K94" s="2">
        <f>Sales_Export_2019_2020__2[[#This Row],[order_value_GBP]]-Sales_Export_2019_2020__2[[#This Row],[ cost ]]</f>
        <v>34176.799999999988</v>
      </c>
      <c r="L94" t="b">
        <f>COUNTIF(Sales_Export_2019_2020__2[order_id],Sales_Export_2019_2020__2[[#This Row],[order_id]])&gt;1</f>
        <v>0</v>
      </c>
      <c r="M94" t="str">
        <f t="shared" si="1"/>
        <v>£165,000 - £169,999</v>
      </c>
      <c r="N94" t="str" cm="1">
        <f t="array" ref="N9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4">
        <f>FLOOR(Sales_Export_2019_2020__2[[#This Row],[order_value_GBP]],5000)</f>
        <v>165000</v>
      </c>
    </row>
    <row r="95" spans="1:15" x14ac:dyDescent="0.35">
      <c r="A95" t="s">
        <v>215</v>
      </c>
      <c r="B95" s="2">
        <v>92868.37</v>
      </c>
      <c r="C95" s="2">
        <v>79068.13</v>
      </c>
      <c r="D95" s="1">
        <v>43920</v>
      </c>
      <c r="E95" t="s">
        <v>80</v>
      </c>
      <c r="F95" t="s">
        <v>146</v>
      </c>
      <c r="G95" t="s">
        <v>216</v>
      </c>
      <c r="H95" t="s">
        <v>217</v>
      </c>
      <c r="I95" t="s">
        <v>28</v>
      </c>
      <c r="J95" t="s">
        <v>218</v>
      </c>
      <c r="K95" s="2">
        <f>Sales_Export_2019_2020__2[[#This Row],[order_value_GBP]]-Sales_Export_2019_2020__2[[#This Row],[ cost ]]</f>
        <v>13800.239999999991</v>
      </c>
      <c r="L95" t="b">
        <f>COUNTIF(Sales_Export_2019_2020__2[order_id],Sales_Export_2019_2020__2[[#This Row],[order_id]])&gt;1</f>
        <v>0</v>
      </c>
      <c r="M95" t="str">
        <f t="shared" si="1"/>
        <v>£90,000 - £94,999</v>
      </c>
      <c r="N95" t="str" cm="1">
        <f t="array" ref="N9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5">
        <f>FLOOR(Sales_Export_2019_2020__2[[#This Row],[order_value_GBP]],5000)</f>
        <v>90000</v>
      </c>
    </row>
    <row r="96" spans="1:15" x14ac:dyDescent="0.35">
      <c r="A96" t="s">
        <v>23</v>
      </c>
      <c r="B96" s="2">
        <v>108689.45</v>
      </c>
      <c r="C96" s="2">
        <v>91223.06</v>
      </c>
      <c r="D96" s="1">
        <v>43778</v>
      </c>
      <c r="E96" t="s">
        <v>51</v>
      </c>
      <c r="F96" t="s">
        <v>155</v>
      </c>
      <c r="G96" t="s">
        <v>26</v>
      </c>
      <c r="H96" t="s">
        <v>219</v>
      </c>
      <c r="I96" t="s">
        <v>15</v>
      </c>
      <c r="J96" t="s">
        <v>220</v>
      </c>
      <c r="K96" s="2">
        <f>Sales_Export_2019_2020__2[[#This Row],[order_value_GBP]]-Sales_Export_2019_2020__2[[#This Row],[ cost ]]</f>
        <v>17466.39</v>
      </c>
      <c r="L96" t="b">
        <f>COUNTIF(Sales_Export_2019_2020__2[order_id],Sales_Export_2019_2020__2[[#This Row],[order_id]])&gt;1</f>
        <v>0</v>
      </c>
      <c r="M96" t="str">
        <f t="shared" si="1"/>
        <v>£105,000 - £109,999</v>
      </c>
      <c r="N96" t="str" cm="1">
        <f t="array" ref="N9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6">
        <f>FLOOR(Sales_Export_2019_2020__2[[#This Row],[order_value_GBP]],5000)</f>
        <v>105000</v>
      </c>
    </row>
    <row r="97" spans="1:15" x14ac:dyDescent="0.35">
      <c r="A97" t="s">
        <v>23</v>
      </c>
      <c r="B97" s="2">
        <v>79874.42</v>
      </c>
      <c r="C97" s="2">
        <v>68132.88</v>
      </c>
      <c r="D97" s="1">
        <v>44149</v>
      </c>
      <c r="E97" t="s">
        <v>62</v>
      </c>
      <c r="F97" t="s">
        <v>40</v>
      </c>
      <c r="G97" t="s">
        <v>26</v>
      </c>
      <c r="H97" t="s">
        <v>27</v>
      </c>
      <c r="I97" t="s">
        <v>28</v>
      </c>
      <c r="J97" t="s">
        <v>221</v>
      </c>
      <c r="K97" s="2">
        <f>Sales_Export_2019_2020__2[[#This Row],[order_value_GBP]]-Sales_Export_2019_2020__2[[#This Row],[ cost ]]</f>
        <v>11741.539999999994</v>
      </c>
      <c r="L97" t="b">
        <f>COUNTIF(Sales_Export_2019_2020__2[order_id],Sales_Export_2019_2020__2[[#This Row],[order_id]])&gt;1</f>
        <v>0</v>
      </c>
      <c r="M97" t="str">
        <f t="shared" si="1"/>
        <v>£75,000 - £79,999</v>
      </c>
      <c r="N97" t="str" cm="1">
        <f t="array" ref="N9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7">
        <f>FLOOR(Sales_Export_2019_2020__2[[#This Row],[order_value_GBP]],5000)</f>
        <v>75000</v>
      </c>
    </row>
    <row r="98" spans="1:15" x14ac:dyDescent="0.35">
      <c r="A98" t="s">
        <v>215</v>
      </c>
      <c r="B98" s="2">
        <v>153011.39000000001</v>
      </c>
      <c r="C98" s="2">
        <v>131543.89000000001</v>
      </c>
      <c r="D98" s="1">
        <v>43721</v>
      </c>
      <c r="E98" t="s">
        <v>51</v>
      </c>
      <c r="F98" t="s">
        <v>35</v>
      </c>
      <c r="G98" t="s">
        <v>216</v>
      </c>
      <c r="H98" t="s">
        <v>217</v>
      </c>
      <c r="I98" t="s">
        <v>28</v>
      </c>
      <c r="J98" t="s">
        <v>222</v>
      </c>
      <c r="K98" s="2">
        <f>Sales_Export_2019_2020__2[[#This Row],[order_value_GBP]]-Sales_Export_2019_2020__2[[#This Row],[ cost ]]</f>
        <v>21467.5</v>
      </c>
      <c r="L98" t="b">
        <f>COUNTIF(Sales_Export_2019_2020__2[order_id],Sales_Export_2019_2020__2[[#This Row],[order_id]])&gt;1</f>
        <v>0</v>
      </c>
      <c r="M98" t="str">
        <f t="shared" si="1"/>
        <v>£150,000 - £154,999</v>
      </c>
      <c r="N98" t="str" cm="1">
        <f t="array" ref="N9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8">
        <f>FLOOR(Sales_Export_2019_2020__2[[#This Row],[order_value_GBP]],5000)</f>
        <v>150000</v>
      </c>
    </row>
    <row r="99" spans="1:15" x14ac:dyDescent="0.35">
      <c r="A99" t="s">
        <v>23</v>
      </c>
      <c r="B99" s="2">
        <v>72857.41</v>
      </c>
      <c r="C99" s="2">
        <v>60442.51</v>
      </c>
      <c r="D99" s="1">
        <v>43961</v>
      </c>
      <c r="E99" t="s">
        <v>24</v>
      </c>
      <c r="F99" t="s">
        <v>97</v>
      </c>
      <c r="G99" t="s">
        <v>26</v>
      </c>
      <c r="H99" t="s">
        <v>219</v>
      </c>
      <c r="I99" t="s">
        <v>28</v>
      </c>
      <c r="J99" t="s">
        <v>223</v>
      </c>
      <c r="K99" s="2">
        <f>Sales_Export_2019_2020__2[[#This Row],[order_value_GBP]]-Sales_Export_2019_2020__2[[#This Row],[ cost ]]</f>
        <v>12414.900000000001</v>
      </c>
      <c r="L99" t="b">
        <f>COUNTIF(Sales_Export_2019_2020__2[order_id],Sales_Export_2019_2020__2[[#This Row],[order_id]])&gt;1</f>
        <v>0</v>
      </c>
      <c r="M99" t="str">
        <f t="shared" si="1"/>
        <v>£70,000 - £74,999</v>
      </c>
      <c r="N99" t="str" cm="1">
        <f t="array" ref="N9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9">
        <f>FLOOR(Sales_Export_2019_2020__2[[#This Row],[order_value_GBP]],5000)</f>
        <v>70000</v>
      </c>
    </row>
    <row r="100" spans="1:15" x14ac:dyDescent="0.35">
      <c r="A100" t="s">
        <v>53</v>
      </c>
      <c r="B100" s="2">
        <v>102771.44</v>
      </c>
      <c r="C100" s="2">
        <v>83584.009999999995</v>
      </c>
      <c r="D100" s="1">
        <v>43793</v>
      </c>
      <c r="E100" t="s">
        <v>46</v>
      </c>
      <c r="F100" t="s">
        <v>224</v>
      </c>
      <c r="G100" t="s">
        <v>55</v>
      </c>
      <c r="H100" t="s">
        <v>56</v>
      </c>
      <c r="I100" t="s">
        <v>28</v>
      </c>
      <c r="J100" t="s">
        <v>225</v>
      </c>
      <c r="K100" s="2">
        <f>Sales_Export_2019_2020__2[[#This Row],[order_value_GBP]]-Sales_Export_2019_2020__2[[#This Row],[ cost ]]</f>
        <v>19187.430000000008</v>
      </c>
      <c r="L100" t="b">
        <f>COUNTIF(Sales_Export_2019_2020__2[order_id],Sales_Export_2019_2020__2[[#This Row],[order_id]])&gt;1</f>
        <v>0</v>
      </c>
      <c r="M100" t="str">
        <f t="shared" si="1"/>
        <v>£100,000 - £104,999</v>
      </c>
      <c r="N100" t="str" cm="1">
        <f t="array" ref="N10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00">
        <f>FLOOR(Sales_Export_2019_2020__2[[#This Row],[order_value_GBP]],5000)</f>
        <v>100000</v>
      </c>
    </row>
    <row r="101" spans="1:15" x14ac:dyDescent="0.35">
      <c r="A101" t="s">
        <v>45</v>
      </c>
      <c r="B101" s="2">
        <v>90559.16</v>
      </c>
      <c r="C101" s="2">
        <v>75318.05</v>
      </c>
      <c r="D101" s="1">
        <v>43703</v>
      </c>
      <c r="E101" t="s">
        <v>62</v>
      </c>
      <c r="F101" t="s">
        <v>210</v>
      </c>
      <c r="G101" t="s">
        <v>48</v>
      </c>
      <c r="H101" t="s">
        <v>66</v>
      </c>
      <c r="I101" t="s">
        <v>28</v>
      </c>
      <c r="J101" t="s">
        <v>226</v>
      </c>
      <c r="K101" s="2">
        <f>Sales_Export_2019_2020__2[[#This Row],[order_value_GBP]]-Sales_Export_2019_2020__2[[#This Row],[ cost ]]</f>
        <v>15241.11</v>
      </c>
      <c r="L101" t="b">
        <f>COUNTIF(Sales_Export_2019_2020__2[order_id],Sales_Export_2019_2020__2[[#This Row],[order_id]])&gt;1</f>
        <v>0</v>
      </c>
      <c r="M101" t="str">
        <f t="shared" si="1"/>
        <v>£90,000 - £94,999</v>
      </c>
      <c r="N101" t="str" cm="1">
        <f t="array" ref="N10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01">
        <f>FLOOR(Sales_Export_2019_2020__2[[#This Row],[order_value_GBP]],5000)</f>
        <v>90000</v>
      </c>
    </row>
    <row r="102" spans="1:15" x14ac:dyDescent="0.35">
      <c r="A102" t="s">
        <v>23</v>
      </c>
      <c r="B102" s="2">
        <v>141796.75</v>
      </c>
      <c r="C102" s="2">
        <v>112317.21</v>
      </c>
      <c r="D102" s="1">
        <v>44090</v>
      </c>
      <c r="E102" t="s">
        <v>18</v>
      </c>
      <c r="F102" t="s">
        <v>35</v>
      </c>
      <c r="G102" t="s">
        <v>26</v>
      </c>
      <c r="H102" t="s">
        <v>76</v>
      </c>
      <c r="I102" t="s">
        <v>28</v>
      </c>
      <c r="J102" t="s">
        <v>227</v>
      </c>
      <c r="K102" s="2">
        <f>Sales_Export_2019_2020__2[[#This Row],[order_value_GBP]]-Sales_Export_2019_2020__2[[#This Row],[ cost ]]</f>
        <v>29479.539999999994</v>
      </c>
      <c r="L102" t="b">
        <f>COUNTIF(Sales_Export_2019_2020__2[order_id],Sales_Export_2019_2020__2[[#This Row],[order_id]])&gt;1</f>
        <v>0</v>
      </c>
      <c r="M102" t="str">
        <f t="shared" si="1"/>
        <v>£140,000 - £144,999</v>
      </c>
      <c r="N102" t="str" cm="1">
        <f t="array" ref="N10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02">
        <f>FLOOR(Sales_Export_2019_2020__2[[#This Row],[order_value_GBP]],5000)</f>
        <v>140000</v>
      </c>
    </row>
    <row r="103" spans="1:15" x14ac:dyDescent="0.35">
      <c r="A103" t="s">
        <v>101</v>
      </c>
      <c r="B103" s="2">
        <v>103874.1</v>
      </c>
      <c r="C103" s="2">
        <v>82112.479999999996</v>
      </c>
      <c r="D103" s="1">
        <v>43479</v>
      </c>
      <c r="E103" t="s">
        <v>62</v>
      </c>
      <c r="F103" t="s">
        <v>35</v>
      </c>
      <c r="G103" t="s">
        <v>103</v>
      </c>
      <c r="H103" t="s">
        <v>104</v>
      </c>
      <c r="I103" t="s">
        <v>28</v>
      </c>
      <c r="J103" t="s">
        <v>228</v>
      </c>
      <c r="K103" s="2">
        <f>Sales_Export_2019_2020__2[[#This Row],[order_value_GBP]]-Sales_Export_2019_2020__2[[#This Row],[ cost ]]</f>
        <v>21761.62000000001</v>
      </c>
      <c r="L103" t="b">
        <f>COUNTIF(Sales_Export_2019_2020__2[order_id],Sales_Export_2019_2020__2[[#This Row],[order_id]])&gt;1</f>
        <v>0</v>
      </c>
      <c r="M103" t="str">
        <f t="shared" si="1"/>
        <v>£100,000 - £104,999</v>
      </c>
      <c r="N103" t="str" cm="1">
        <f t="array" ref="N10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03">
        <f>FLOOR(Sales_Export_2019_2020__2[[#This Row],[order_value_GBP]],5000)</f>
        <v>100000</v>
      </c>
    </row>
    <row r="104" spans="1:15" x14ac:dyDescent="0.35">
      <c r="A104" t="s">
        <v>34</v>
      </c>
      <c r="B104" s="2">
        <v>134908.19</v>
      </c>
      <c r="C104" s="2">
        <v>114388.65</v>
      </c>
      <c r="D104" s="1">
        <v>44061</v>
      </c>
      <c r="E104" t="s">
        <v>24</v>
      </c>
      <c r="F104" t="s">
        <v>89</v>
      </c>
      <c r="G104" t="s">
        <v>36</v>
      </c>
      <c r="H104" t="s">
        <v>41</v>
      </c>
      <c r="I104" t="s">
        <v>28</v>
      </c>
      <c r="J104" t="s">
        <v>229</v>
      </c>
      <c r="K104" s="2">
        <f>Sales_Export_2019_2020__2[[#This Row],[order_value_GBP]]-Sales_Export_2019_2020__2[[#This Row],[ cost ]]</f>
        <v>20519.540000000008</v>
      </c>
      <c r="L104" t="b">
        <f>COUNTIF(Sales_Export_2019_2020__2[order_id],Sales_Export_2019_2020__2[[#This Row],[order_id]])&gt;1</f>
        <v>0</v>
      </c>
      <c r="M104" t="str">
        <f t="shared" si="1"/>
        <v>£130,000 - £134,999</v>
      </c>
      <c r="N104" t="str" cm="1">
        <f t="array" ref="N10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04">
        <f>FLOOR(Sales_Export_2019_2020__2[[#This Row],[order_value_GBP]],5000)</f>
        <v>130000</v>
      </c>
    </row>
    <row r="105" spans="1:15" x14ac:dyDescent="0.35">
      <c r="A105" t="s">
        <v>23</v>
      </c>
      <c r="B105" s="2">
        <v>45256.74</v>
      </c>
      <c r="C105" s="2">
        <v>38975.1</v>
      </c>
      <c r="D105" s="1">
        <v>43479</v>
      </c>
      <c r="E105" t="s">
        <v>139</v>
      </c>
      <c r="F105" t="s">
        <v>150</v>
      </c>
      <c r="G105" t="s">
        <v>26</v>
      </c>
      <c r="H105" t="s">
        <v>27</v>
      </c>
      <c r="I105" t="s">
        <v>28</v>
      </c>
      <c r="J105" t="s">
        <v>230</v>
      </c>
      <c r="K105" s="2">
        <f>Sales_Export_2019_2020__2[[#This Row],[order_value_GBP]]-Sales_Export_2019_2020__2[[#This Row],[ cost ]]</f>
        <v>6281.6399999999994</v>
      </c>
      <c r="L105" t="b">
        <f>COUNTIF(Sales_Export_2019_2020__2[order_id],Sales_Export_2019_2020__2[[#This Row],[order_id]])&gt;1</f>
        <v>0</v>
      </c>
      <c r="M105" t="str">
        <f t="shared" si="1"/>
        <v>£45,000 - £49,999</v>
      </c>
      <c r="N105" t="str" cm="1">
        <f t="array" ref="N10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05">
        <f>FLOOR(Sales_Export_2019_2020__2[[#This Row],[order_value_GBP]],5000)</f>
        <v>45000</v>
      </c>
    </row>
    <row r="106" spans="1:15" x14ac:dyDescent="0.35">
      <c r="A106" t="s">
        <v>23</v>
      </c>
      <c r="B106" s="2">
        <v>131018.65</v>
      </c>
      <c r="C106" s="2">
        <v>107920.06</v>
      </c>
      <c r="D106" s="1">
        <v>43923</v>
      </c>
      <c r="E106" t="s">
        <v>24</v>
      </c>
      <c r="F106" t="s">
        <v>231</v>
      </c>
      <c r="G106" t="s">
        <v>26</v>
      </c>
      <c r="H106" t="s">
        <v>219</v>
      </c>
      <c r="I106" t="s">
        <v>28</v>
      </c>
      <c r="J106" t="s">
        <v>232</v>
      </c>
      <c r="K106" s="2">
        <f>Sales_Export_2019_2020__2[[#This Row],[order_value_GBP]]-Sales_Export_2019_2020__2[[#This Row],[ cost ]]</f>
        <v>23098.589999999997</v>
      </c>
      <c r="L106" t="b">
        <f>COUNTIF(Sales_Export_2019_2020__2[order_id],Sales_Export_2019_2020__2[[#This Row],[order_id]])&gt;1</f>
        <v>0</v>
      </c>
      <c r="M106" t="str">
        <f t="shared" si="1"/>
        <v>£130,000 - £134,999</v>
      </c>
      <c r="N106" t="str" cm="1">
        <f t="array" ref="N10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06">
        <f>FLOOR(Sales_Export_2019_2020__2[[#This Row],[order_value_GBP]],5000)</f>
        <v>130000</v>
      </c>
    </row>
    <row r="107" spans="1:15" x14ac:dyDescent="0.35">
      <c r="A107" t="s">
        <v>173</v>
      </c>
      <c r="B107" s="2">
        <v>84877.87</v>
      </c>
      <c r="C107" s="2">
        <v>68454</v>
      </c>
      <c r="D107" s="1">
        <v>43800</v>
      </c>
      <c r="E107" t="s">
        <v>80</v>
      </c>
      <c r="F107" t="s">
        <v>178</v>
      </c>
      <c r="G107" t="s">
        <v>175</v>
      </c>
      <c r="H107" t="s">
        <v>176</v>
      </c>
      <c r="I107" t="s">
        <v>28</v>
      </c>
      <c r="J107" t="s">
        <v>233</v>
      </c>
      <c r="K107" s="2">
        <f>Sales_Export_2019_2020__2[[#This Row],[order_value_GBP]]-Sales_Export_2019_2020__2[[#This Row],[ cost ]]</f>
        <v>16423.869999999995</v>
      </c>
      <c r="L107" t="b">
        <f>COUNTIF(Sales_Export_2019_2020__2[order_id],Sales_Export_2019_2020__2[[#This Row],[order_id]])&gt;1</f>
        <v>0</v>
      </c>
      <c r="M107" t="str">
        <f t="shared" si="1"/>
        <v>£80,000 - £84,999</v>
      </c>
      <c r="N107" t="str" cm="1">
        <f t="array" ref="N10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07">
        <f>FLOOR(Sales_Export_2019_2020__2[[#This Row],[order_value_GBP]],5000)</f>
        <v>80000</v>
      </c>
    </row>
    <row r="108" spans="1:15" x14ac:dyDescent="0.35">
      <c r="A108" t="s">
        <v>53</v>
      </c>
      <c r="B108" s="2">
        <v>168197.78</v>
      </c>
      <c r="C108" s="2">
        <v>144246.42000000001</v>
      </c>
      <c r="D108" s="1">
        <v>43478</v>
      </c>
      <c r="E108" t="s">
        <v>60</v>
      </c>
      <c r="F108" t="s">
        <v>234</v>
      </c>
      <c r="G108" t="s">
        <v>55</v>
      </c>
      <c r="H108" t="s">
        <v>128</v>
      </c>
      <c r="I108" t="s">
        <v>28</v>
      </c>
      <c r="J108" t="s">
        <v>235</v>
      </c>
      <c r="K108" s="2">
        <f>Sales_Export_2019_2020__2[[#This Row],[order_value_GBP]]-Sales_Export_2019_2020__2[[#This Row],[ cost ]]</f>
        <v>23951.359999999986</v>
      </c>
      <c r="L108" t="b">
        <f>COUNTIF(Sales_Export_2019_2020__2[order_id],Sales_Export_2019_2020__2[[#This Row],[order_id]])&gt;1</f>
        <v>0</v>
      </c>
      <c r="M108" t="str">
        <f t="shared" si="1"/>
        <v>£165,000 - £169,999</v>
      </c>
      <c r="N108" t="str" cm="1">
        <f t="array" ref="N10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08">
        <f>FLOOR(Sales_Export_2019_2020__2[[#This Row],[order_value_GBP]],5000)</f>
        <v>165000</v>
      </c>
    </row>
    <row r="109" spans="1:15" x14ac:dyDescent="0.35">
      <c r="A109" t="s">
        <v>45</v>
      </c>
      <c r="B109" s="2">
        <v>383996.76</v>
      </c>
      <c r="C109" s="2">
        <v>304701.43</v>
      </c>
      <c r="D109" s="1">
        <v>43818</v>
      </c>
      <c r="E109" t="s">
        <v>139</v>
      </c>
      <c r="F109" t="s">
        <v>35</v>
      </c>
      <c r="G109" t="s">
        <v>48</v>
      </c>
      <c r="H109" t="s">
        <v>49</v>
      </c>
      <c r="I109" t="s">
        <v>28</v>
      </c>
      <c r="J109" t="s">
        <v>236</v>
      </c>
      <c r="K109" s="2">
        <f>Sales_Export_2019_2020__2[[#This Row],[order_value_GBP]]-Sales_Export_2019_2020__2[[#This Row],[ cost ]]</f>
        <v>79295.330000000016</v>
      </c>
      <c r="L109" t="b">
        <f>COUNTIF(Sales_Export_2019_2020__2[order_id],Sales_Export_2019_2020__2[[#This Row],[order_id]])&gt;1</f>
        <v>0</v>
      </c>
      <c r="M109" t="str">
        <f t="shared" si="1"/>
        <v>£380,000 - £384,999</v>
      </c>
      <c r="N109" t="str" cm="1">
        <f t="array" ref="N10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109">
        <f>FLOOR(Sales_Export_2019_2020__2[[#This Row],[order_value_GBP]],5000)</f>
        <v>380000</v>
      </c>
    </row>
    <row r="110" spans="1:15" x14ac:dyDescent="0.35">
      <c r="A110" t="s">
        <v>53</v>
      </c>
      <c r="B110" s="2">
        <v>56811.14</v>
      </c>
      <c r="C110" s="2">
        <v>48221.3</v>
      </c>
      <c r="D110" s="1">
        <v>43745</v>
      </c>
      <c r="E110" t="s">
        <v>24</v>
      </c>
      <c r="F110" t="s">
        <v>237</v>
      </c>
      <c r="G110" t="s">
        <v>55</v>
      </c>
      <c r="H110" t="s">
        <v>133</v>
      </c>
      <c r="I110" t="s">
        <v>28</v>
      </c>
      <c r="J110" t="s">
        <v>238</v>
      </c>
      <c r="K110" s="2">
        <f>Sales_Export_2019_2020__2[[#This Row],[order_value_GBP]]-Sales_Export_2019_2020__2[[#This Row],[ cost ]]</f>
        <v>8589.8399999999965</v>
      </c>
      <c r="L110" t="b">
        <f>COUNTIF(Sales_Export_2019_2020__2[order_id],Sales_Export_2019_2020__2[[#This Row],[order_id]])&gt;1</f>
        <v>0</v>
      </c>
      <c r="M110" t="str">
        <f t="shared" si="1"/>
        <v>£55,000 - £59,999</v>
      </c>
      <c r="N110" t="str" cm="1">
        <f t="array" ref="N11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10">
        <f>FLOOR(Sales_Export_2019_2020__2[[#This Row],[order_value_GBP]],5000)</f>
        <v>55000</v>
      </c>
    </row>
    <row r="111" spans="1:15" x14ac:dyDescent="0.35">
      <c r="A111" t="s">
        <v>23</v>
      </c>
      <c r="B111" s="2">
        <v>74364.460000000006</v>
      </c>
      <c r="C111" s="2">
        <v>60145.98</v>
      </c>
      <c r="D111" s="1">
        <v>43851</v>
      </c>
      <c r="E111" t="s">
        <v>24</v>
      </c>
      <c r="F111" t="s">
        <v>160</v>
      </c>
      <c r="G111" t="s">
        <v>26</v>
      </c>
      <c r="H111" t="s">
        <v>32</v>
      </c>
      <c r="I111" t="s">
        <v>15</v>
      </c>
      <c r="J111" t="s">
        <v>239</v>
      </c>
      <c r="K111" s="2">
        <f>Sales_Export_2019_2020__2[[#This Row],[order_value_GBP]]-Sales_Export_2019_2020__2[[#This Row],[ cost ]]</f>
        <v>14218.480000000003</v>
      </c>
      <c r="L111" t="b">
        <f>COUNTIF(Sales_Export_2019_2020__2[order_id],Sales_Export_2019_2020__2[[#This Row],[order_id]])&gt;1</f>
        <v>0</v>
      </c>
      <c r="M111" t="str">
        <f t="shared" si="1"/>
        <v>£70,000 - £74,999</v>
      </c>
      <c r="N111" t="str" cm="1">
        <f t="array" ref="N11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11">
        <f>FLOOR(Sales_Export_2019_2020__2[[#This Row],[order_value_GBP]],5000)</f>
        <v>70000</v>
      </c>
    </row>
    <row r="112" spans="1:15" x14ac:dyDescent="0.35">
      <c r="A112" t="s">
        <v>17</v>
      </c>
      <c r="B112" s="2">
        <v>235608.66</v>
      </c>
      <c r="C112" s="2">
        <v>201468.96</v>
      </c>
      <c r="D112" s="1">
        <v>44039</v>
      </c>
      <c r="E112" t="s">
        <v>18</v>
      </c>
      <c r="F112" t="s">
        <v>166</v>
      </c>
      <c r="G112" t="s">
        <v>20</v>
      </c>
      <c r="H112" t="s">
        <v>21</v>
      </c>
      <c r="I112" t="s">
        <v>38</v>
      </c>
      <c r="J112" t="s">
        <v>240</v>
      </c>
      <c r="K112" s="2">
        <f>Sales_Export_2019_2020__2[[#This Row],[order_value_GBP]]-Sales_Export_2019_2020__2[[#This Row],[ cost ]]</f>
        <v>34139.700000000012</v>
      </c>
      <c r="L112" t="b">
        <f>COUNTIF(Sales_Export_2019_2020__2[order_id],Sales_Export_2019_2020__2[[#This Row],[order_id]])&gt;1</f>
        <v>0</v>
      </c>
      <c r="M112" t="str">
        <f t="shared" si="1"/>
        <v>£235,000 - £239,999</v>
      </c>
      <c r="N112" t="str" cm="1">
        <f t="array" ref="N11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112">
        <f>FLOOR(Sales_Export_2019_2020__2[[#This Row],[order_value_GBP]],5000)</f>
        <v>235000</v>
      </c>
    </row>
    <row r="113" spans="1:15" x14ac:dyDescent="0.35">
      <c r="A113" t="s">
        <v>10</v>
      </c>
      <c r="B113" s="2">
        <v>31627.37</v>
      </c>
      <c r="C113" s="2">
        <v>25662.45</v>
      </c>
      <c r="D113" s="1">
        <v>44070</v>
      </c>
      <c r="E113" t="s">
        <v>30</v>
      </c>
      <c r="F113" t="s">
        <v>158</v>
      </c>
      <c r="G113" t="s">
        <v>13</v>
      </c>
      <c r="H113" t="s">
        <v>118</v>
      </c>
      <c r="I113" t="s">
        <v>15</v>
      </c>
      <c r="J113" t="s">
        <v>241</v>
      </c>
      <c r="K113" s="2">
        <f>Sales_Export_2019_2020__2[[#This Row],[order_value_GBP]]-Sales_Export_2019_2020__2[[#This Row],[ cost ]]</f>
        <v>5964.9199999999983</v>
      </c>
      <c r="L113" t="b">
        <f>COUNTIF(Sales_Export_2019_2020__2[order_id],Sales_Export_2019_2020__2[[#This Row],[order_id]])&gt;1</f>
        <v>0</v>
      </c>
      <c r="M113" t="str">
        <f t="shared" si="1"/>
        <v>£30,000 - £34,999</v>
      </c>
      <c r="N113" t="str" cm="1">
        <f t="array" ref="N11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13">
        <f>FLOOR(Sales_Export_2019_2020__2[[#This Row],[order_value_GBP]],5000)</f>
        <v>30000</v>
      </c>
    </row>
    <row r="114" spans="1:15" x14ac:dyDescent="0.35">
      <c r="A114" t="s">
        <v>10</v>
      </c>
      <c r="B114" s="2">
        <v>57227.99</v>
      </c>
      <c r="C114" s="2">
        <v>46331.78</v>
      </c>
      <c r="D114" s="1">
        <v>43552</v>
      </c>
      <c r="E114" t="s">
        <v>51</v>
      </c>
      <c r="F114" t="s">
        <v>35</v>
      </c>
      <c r="G114" t="s">
        <v>13</v>
      </c>
      <c r="H114" t="s">
        <v>82</v>
      </c>
      <c r="I114" t="s">
        <v>28</v>
      </c>
      <c r="J114" t="s">
        <v>242</v>
      </c>
      <c r="K114" s="2">
        <f>Sales_Export_2019_2020__2[[#This Row],[order_value_GBP]]-Sales_Export_2019_2020__2[[#This Row],[ cost ]]</f>
        <v>10896.21</v>
      </c>
      <c r="L114" t="b">
        <f>COUNTIF(Sales_Export_2019_2020__2[order_id],Sales_Export_2019_2020__2[[#This Row],[order_id]])&gt;1</f>
        <v>0</v>
      </c>
      <c r="M114" t="str">
        <f t="shared" si="1"/>
        <v>£55,000 - £59,999</v>
      </c>
      <c r="N114" t="str" cm="1">
        <f t="array" ref="N11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14">
        <f>FLOOR(Sales_Export_2019_2020__2[[#This Row],[order_value_GBP]],5000)</f>
        <v>55000</v>
      </c>
    </row>
    <row r="115" spans="1:15" x14ac:dyDescent="0.35">
      <c r="A115" t="s">
        <v>23</v>
      </c>
      <c r="B115" s="2">
        <v>84598.68</v>
      </c>
      <c r="C115" s="2">
        <v>72391.09</v>
      </c>
      <c r="D115" s="1">
        <v>43949</v>
      </c>
      <c r="E115" t="s">
        <v>24</v>
      </c>
      <c r="F115" t="s">
        <v>135</v>
      </c>
      <c r="G115" t="s">
        <v>26</v>
      </c>
      <c r="H115" t="s">
        <v>219</v>
      </c>
      <c r="I115" t="s">
        <v>28</v>
      </c>
      <c r="J115" t="s">
        <v>243</v>
      </c>
      <c r="K115" s="2">
        <f>Sales_Export_2019_2020__2[[#This Row],[order_value_GBP]]-Sales_Export_2019_2020__2[[#This Row],[ cost ]]</f>
        <v>12207.589999999997</v>
      </c>
      <c r="L115" t="b">
        <f>COUNTIF(Sales_Export_2019_2020__2[order_id],Sales_Export_2019_2020__2[[#This Row],[order_id]])&gt;1</f>
        <v>0</v>
      </c>
      <c r="M115" t="str">
        <f t="shared" si="1"/>
        <v>£80,000 - £84,999</v>
      </c>
      <c r="N115" t="str" cm="1">
        <f t="array" ref="N11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15">
        <f>FLOOR(Sales_Export_2019_2020__2[[#This Row],[order_value_GBP]],5000)</f>
        <v>80000</v>
      </c>
    </row>
    <row r="116" spans="1:15" x14ac:dyDescent="0.35">
      <c r="A116" t="s">
        <v>10</v>
      </c>
      <c r="B116" s="2">
        <v>98322.98</v>
      </c>
      <c r="C116" s="2">
        <v>84872.4</v>
      </c>
      <c r="D116" s="1">
        <v>44113</v>
      </c>
      <c r="E116" t="s">
        <v>24</v>
      </c>
      <c r="F116" t="s">
        <v>31</v>
      </c>
      <c r="G116" t="s">
        <v>13</v>
      </c>
      <c r="H116" t="s">
        <v>170</v>
      </c>
      <c r="I116" t="s">
        <v>28</v>
      </c>
      <c r="J116" t="s">
        <v>244</v>
      </c>
      <c r="K116" s="2">
        <f>Sales_Export_2019_2020__2[[#This Row],[order_value_GBP]]-Sales_Export_2019_2020__2[[#This Row],[ cost ]]</f>
        <v>13450.580000000002</v>
      </c>
      <c r="L116" t="b">
        <f>COUNTIF(Sales_Export_2019_2020__2[order_id],Sales_Export_2019_2020__2[[#This Row],[order_id]])&gt;1</f>
        <v>0</v>
      </c>
      <c r="M116" t="str">
        <f t="shared" si="1"/>
        <v>£95,000 - £99,999</v>
      </c>
      <c r="N116" t="str" cm="1">
        <f t="array" ref="N11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16">
        <f>FLOOR(Sales_Export_2019_2020__2[[#This Row],[order_value_GBP]],5000)</f>
        <v>95000</v>
      </c>
    </row>
    <row r="117" spans="1:15" x14ac:dyDescent="0.35">
      <c r="A117" t="s">
        <v>84</v>
      </c>
      <c r="B117" s="2">
        <v>62567.58</v>
      </c>
      <c r="C117" s="2">
        <v>49916.42</v>
      </c>
      <c r="D117" s="1">
        <v>43576</v>
      </c>
      <c r="E117" t="s">
        <v>24</v>
      </c>
      <c r="F117" t="s">
        <v>31</v>
      </c>
      <c r="G117" t="s">
        <v>85</v>
      </c>
      <c r="H117" t="s">
        <v>86</v>
      </c>
      <c r="I117" t="s">
        <v>28</v>
      </c>
      <c r="J117" t="s">
        <v>245</v>
      </c>
      <c r="K117" s="2">
        <f>Sales_Export_2019_2020__2[[#This Row],[order_value_GBP]]-Sales_Export_2019_2020__2[[#This Row],[ cost ]]</f>
        <v>12651.160000000003</v>
      </c>
      <c r="L117" t="b">
        <f>COUNTIF(Sales_Export_2019_2020__2[order_id],Sales_Export_2019_2020__2[[#This Row],[order_id]])&gt;1</f>
        <v>0</v>
      </c>
      <c r="M117" t="str">
        <f t="shared" si="1"/>
        <v>£60,000 - £64,999</v>
      </c>
      <c r="N117" t="str" cm="1">
        <f t="array" ref="N11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17">
        <f>FLOOR(Sales_Export_2019_2020__2[[#This Row],[order_value_GBP]],5000)</f>
        <v>60000</v>
      </c>
    </row>
    <row r="118" spans="1:15" x14ac:dyDescent="0.35">
      <c r="A118" t="s">
        <v>10</v>
      </c>
      <c r="B118" s="2">
        <v>239423.57</v>
      </c>
      <c r="C118" s="2">
        <v>199152.52</v>
      </c>
      <c r="D118" s="1">
        <v>43807</v>
      </c>
      <c r="E118" t="s">
        <v>80</v>
      </c>
      <c r="F118" t="s">
        <v>135</v>
      </c>
      <c r="G118" t="s">
        <v>13</v>
      </c>
      <c r="H118" t="s">
        <v>14</v>
      </c>
      <c r="I118" t="s">
        <v>15</v>
      </c>
      <c r="J118" t="s">
        <v>246</v>
      </c>
      <c r="K118" s="2">
        <f>Sales_Export_2019_2020__2[[#This Row],[order_value_GBP]]-Sales_Export_2019_2020__2[[#This Row],[ cost ]]</f>
        <v>40271.050000000017</v>
      </c>
      <c r="L118" t="b">
        <f>COUNTIF(Sales_Export_2019_2020__2[order_id],Sales_Export_2019_2020__2[[#This Row],[order_id]])&gt;1</f>
        <v>0</v>
      </c>
      <c r="M118" t="str">
        <f t="shared" si="1"/>
        <v>£235,000 - £239,999</v>
      </c>
      <c r="N118" t="str" cm="1">
        <f t="array" ref="N11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118">
        <f>FLOOR(Sales_Export_2019_2020__2[[#This Row],[order_value_GBP]],5000)</f>
        <v>235000</v>
      </c>
    </row>
    <row r="119" spans="1:15" x14ac:dyDescent="0.35">
      <c r="A119" t="s">
        <v>53</v>
      </c>
      <c r="B119" s="2">
        <v>68773.03</v>
      </c>
      <c r="C119" s="2">
        <v>59082.91</v>
      </c>
      <c r="D119" s="1">
        <v>43738</v>
      </c>
      <c r="E119" t="s">
        <v>18</v>
      </c>
      <c r="F119" t="s">
        <v>31</v>
      </c>
      <c r="G119" t="s">
        <v>55</v>
      </c>
      <c r="H119" t="s">
        <v>72</v>
      </c>
      <c r="I119" t="s">
        <v>28</v>
      </c>
      <c r="J119" t="s">
        <v>247</v>
      </c>
      <c r="K119" s="2">
        <f>Sales_Export_2019_2020__2[[#This Row],[order_value_GBP]]-Sales_Export_2019_2020__2[[#This Row],[ cost ]]</f>
        <v>9690.1199999999953</v>
      </c>
      <c r="L119" t="b">
        <f>COUNTIF(Sales_Export_2019_2020__2[order_id],Sales_Export_2019_2020__2[[#This Row],[order_id]])&gt;1</f>
        <v>0</v>
      </c>
      <c r="M119" t="str">
        <f t="shared" si="1"/>
        <v>£65,000 - £69,999</v>
      </c>
      <c r="N119" t="str" cm="1">
        <f t="array" ref="N11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19">
        <f>FLOOR(Sales_Export_2019_2020__2[[#This Row],[order_value_GBP]],5000)</f>
        <v>65000</v>
      </c>
    </row>
    <row r="120" spans="1:15" x14ac:dyDescent="0.35">
      <c r="A120" t="s">
        <v>215</v>
      </c>
      <c r="B120" s="2">
        <v>102918.09</v>
      </c>
      <c r="C120" s="2">
        <v>87480.38</v>
      </c>
      <c r="D120" s="1">
        <v>43766</v>
      </c>
      <c r="E120" t="s">
        <v>60</v>
      </c>
      <c r="F120" t="s">
        <v>58</v>
      </c>
      <c r="G120" t="s">
        <v>216</v>
      </c>
      <c r="H120" t="s">
        <v>217</v>
      </c>
      <c r="I120" t="s">
        <v>28</v>
      </c>
      <c r="J120" t="s">
        <v>248</v>
      </c>
      <c r="K120" s="2">
        <f>Sales_Export_2019_2020__2[[#This Row],[order_value_GBP]]-Sales_Export_2019_2020__2[[#This Row],[ cost ]]</f>
        <v>15437.709999999992</v>
      </c>
      <c r="L120" t="b">
        <f>COUNTIF(Sales_Export_2019_2020__2[order_id],Sales_Export_2019_2020__2[[#This Row],[order_id]])&gt;1</f>
        <v>0</v>
      </c>
      <c r="M120" t="str">
        <f t="shared" si="1"/>
        <v>£100,000 - £104,999</v>
      </c>
      <c r="N120" t="str" cm="1">
        <f t="array" ref="N12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20">
        <f>FLOOR(Sales_Export_2019_2020__2[[#This Row],[order_value_GBP]],5000)</f>
        <v>100000</v>
      </c>
    </row>
    <row r="121" spans="1:15" x14ac:dyDescent="0.35">
      <c r="A121" t="s">
        <v>45</v>
      </c>
      <c r="B121" s="2">
        <v>150313.19</v>
      </c>
      <c r="C121" s="2">
        <v>118927.8</v>
      </c>
      <c r="D121" s="1">
        <v>43853</v>
      </c>
      <c r="E121" t="s">
        <v>30</v>
      </c>
      <c r="F121" t="s">
        <v>35</v>
      </c>
      <c r="G121" t="s">
        <v>48</v>
      </c>
      <c r="H121" t="s">
        <v>74</v>
      </c>
      <c r="I121" t="s">
        <v>28</v>
      </c>
      <c r="J121" t="s">
        <v>249</v>
      </c>
      <c r="K121" s="2">
        <f>Sales_Export_2019_2020__2[[#This Row],[order_value_GBP]]-Sales_Export_2019_2020__2[[#This Row],[ cost ]]</f>
        <v>31385.39</v>
      </c>
      <c r="L121" t="b">
        <f>COUNTIF(Sales_Export_2019_2020__2[order_id],Sales_Export_2019_2020__2[[#This Row],[order_id]])&gt;1</f>
        <v>0</v>
      </c>
      <c r="M121" t="str">
        <f t="shared" si="1"/>
        <v>£150,000 - £154,999</v>
      </c>
      <c r="N121" t="str" cm="1">
        <f t="array" ref="N12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21">
        <f>FLOOR(Sales_Export_2019_2020__2[[#This Row],[order_value_GBP]],5000)</f>
        <v>150000</v>
      </c>
    </row>
    <row r="122" spans="1:15" x14ac:dyDescent="0.35">
      <c r="A122" t="s">
        <v>10</v>
      </c>
      <c r="B122" s="2">
        <v>144072.9</v>
      </c>
      <c r="C122" s="2">
        <v>123729.81</v>
      </c>
      <c r="D122" s="1">
        <v>43659</v>
      </c>
      <c r="E122" t="s">
        <v>30</v>
      </c>
      <c r="F122" t="s">
        <v>146</v>
      </c>
      <c r="G122" t="s">
        <v>13</v>
      </c>
      <c r="H122" t="s">
        <v>69</v>
      </c>
      <c r="I122" t="s">
        <v>28</v>
      </c>
      <c r="J122" t="s">
        <v>250</v>
      </c>
      <c r="K122" s="2">
        <f>Sales_Export_2019_2020__2[[#This Row],[order_value_GBP]]-Sales_Export_2019_2020__2[[#This Row],[ cost ]]</f>
        <v>20343.089999999997</v>
      </c>
      <c r="L122" t="b">
        <f>COUNTIF(Sales_Export_2019_2020__2[order_id],Sales_Export_2019_2020__2[[#This Row],[order_id]])&gt;1</f>
        <v>0</v>
      </c>
      <c r="M122" t="str">
        <f t="shared" si="1"/>
        <v>£140,000 - £144,999</v>
      </c>
      <c r="N122" t="str" cm="1">
        <f t="array" ref="N12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22">
        <f>FLOOR(Sales_Export_2019_2020__2[[#This Row],[order_value_GBP]],5000)</f>
        <v>140000</v>
      </c>
    </row>
    <row r="123" spans="1:15" x14ac:dyDescent="0.35">
      <c r="A123" t="s">
        <v>10</v>
      </c>
      <c r="B123" s="2">
        <v>69681.429999999993</v>
      </c>
      <c r="C123" s="2">
        <v>55529.13</v>
      </c>
      <c r="D123" s="1">
        <v>43855</v>
      </c>
      <c r="E123" t="s">
        <v>24</v>
      </c>
      <c r="F123" t="s">
        <v>89</v>
      </c>
      <c r="G123" t="s">
        <v>13</v>
      </c>
      <c r="H123" t="s">
        <v>82</v>
      </c>
      <c r="I123" t="s">
        <v>28</v>
      </c>
      <c r="J123" t="s">
        <v>251</v>
      </c>
      <c r="K123" s="2">
        <f>Sales_Export_2019_2020__2[[#This Row],[order_value_GBP]]-Sales_Export_2019_2020__2[[#This Row],[ cost ]]</f>
        <v>14152.299999999996</v>
      </c>
      <c r="L123" t="b">
        <f>COUNTIF(Sales_Export_2019_2020__2[order_id],Sales_Export_2019_2020__2[[#This Row],[order_id]])&gt;1</f>
        <v>0</v>
      </c>
      <c r="M123" t="str">
        <f t="shared" si="1"/>
        <v>£65,000 - £69,999</v>
      </c>
      <c r="N123" t="str" cm="1">
        <f t="array" ref="N12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23">
        <f>FLOOR(Sales_Export_2019_2020__2[[#This Row],[order_value_GBP]],5000)</f>
        <v>65000</v>
      </c>
    </row>
    <row r="124" spans="1:15" x14ac:dyDescent="0.35">
      <c r="A124" t="s">
        <v>10</v>
      </c>
      <c r="B124" s="2">
        <v>78542.59</v>
      </c>
      <c r="C124" s="2">
        <v>68010.03</v>
      </c>
      <c r="D124" s="1">
        <v>43611</v>
      </c>
      <c r="E124" t="s">
        <v>18</v>
      </c>
      <c r="F124" t="s">
        <v>234</v>
      </c>
      <c r="G124" t="s">
        <v>13</v>
      </c>
      <c r="H124" t="s">
        <v>118</v>
      </c>
      <c r="I124" t="s">
        <v>28</v>
      </c>
      <c r="J124" t="s">
        <v>252</v>
      </c>
      <c r="K124" s="2">
        <f>Sales_Export_2019_2020__2[[#This Row],[order_value_GBP]]-Sales_Export_2019_2020__2[[#This Row],[ cost ]]</f>
        <v>10532.559999999998</v>
      </c>
      <c r="L124" t="b">
        <f>COUNTIF(Sales_Export_2019_2020__2[order_id],Sales_Export_2019_2020__2[[#This Row],[order_id]])&gt;1</f>
        <v>0</v>
      </c>
      <c r="M124" t="str">
        <f t="shared" si="1"/>
        <v>£75,000 - £79,999</v>
      </c>
      <c r="N124" t="str" cm="1">
        <f t="array" ref="N12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24">
        <f>FLOOR(Sales_Export_2019_2020__2[[#This Row],[order_value_GBP]],5000)</f>
        <v>75000</v>
      </c>
    </row>
    <row r="125" spans="1:15" x14ac:dyDescent="0.35">
      <c r="A125" t="s">
        <v>23</v>
      </c>
      <c r="B125" s="2">
        <v>37582.129999999997</v>
      </c>
      <c r="C125" s="2">
        <v>31967.360000000001</v>
      </c>
      <c r="D125" s="1">
        <v>43958</v>
      </c>
      <c r="E125" t="s">
        <v>51</v>
      </c>
      <c r="F125" t="s">
        <v>19</v>
      </c>
      <c r="G125" t="s">
        <v>26</v>
      </c>
      <c r="H125" t="s">
        <v>27</v>
      </c>
      <c r="I125" t="s">
        <v>15</v>
      </c>
      <c r="J125" t="s">
        <v>253</v>
      </c>
      <c r="K125" s="2">
        <f>Sales_Export_2019_2020__2[[#This Row],[order_value_GBP]]-Sales_Export_2019_2020__2[[#This Row],[ cost ]]</f>
        <v>5614.7699999999968</v>
      </c>
      <c r="L125" t="b">
        <f>COUNTIF(Sales_Export_2019_2020__2[order_id],Sales_Export_2019_2020__2[[#This Row],[order_id]])&gt;1</f>
        <v>0</v>
      </c>
      <c r="M125" t="str">
        <f t="shared" si="1"/>
        <v>£35,000 - £39,999</v>
      </c>
      <c r="N125" t="str" cm="1">
        <f t="array" ref="N12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25">
        <f>FLOOR(Sales_Export_2019_2020__2[[#This Row],[order_value_GBP]],5000)</f>
        <v>35000</v>
      </c>
    </row>
    <row r="126" spans="1:15" x14ac:dyDescent="0.35">
      <c r="A126" t="s">
        <v>10</v>
      </c>
      <c r="B126" s="2">
        <v>88329.48</v>
      </c>
      <c r="C126" s="2">
        <v>73755.12</v>
      </c>
      <c r="D126" s="1">
        <v>44059</v>
      </c>
      <c r="E126" t="s">
        <v>24</v>
      </c>
      <c r="F126" t="s">
        <v>254</v>
      </c>
      <c r="G126" t="s">
        <v>13</v>
      </c>
      <c r="H126" t="s">
        <v>118</v>
      </c>
      <c r="I126" t="s">
        <v>15</v>
      </c>
      <c r="J126" t="s">
        <v>255</v>
      </c>
      <c r="K126" s="2">
        <f>Sales_Export_2019_2020__2[[#This Row],[order_value_GBP]]-Sales_Export_2019_2020__2[[#This Row],[ cost ]]</f>
        <v>14574.36</v>
      </c>
      <c r="L126" t="b">
        <f>COUNTIF(Sales_Export_2019_2020__2[order_id],Sales_Export_2019_2020__2[[#This Row],[order_id]])&gt;1</f>
        <v>0</v>
      </c>
      <c r="M126" t="str">
        <f t="shared" si="1"/>
        <v>£85,000 - £89,999</v>
      </c>
      <c r="N126" t="str" cm="1">
        <f t="array" ref="N12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26">
        <f>FLOOR(Sales_Export_2019_2020__2[[#This Row],[order_value_GBP]],5000)</f>
        <v>85000</v>
      </c>
    </row>
    <row r="127" spans="1:15" x14ac:dyDescent="0.35">
      <c r="A127" t="s">
        <v>23</v>
      </c>
      <c r="B127" s="2">
        <v>249099.44</v>
      </c>
      <c r="C127" s="2">
        <v>215695.2</v>
      </c>
      <c r="D127" s="1">
        <v>43997</v>
      </c>
      <c r="E127" t="s">
        <v>139</v>
      </c>
      <c r="F127" t="s">
        <v>35</v>
      </c>
      <c r="G127" t="s">
        <v>26</v>
      </c>
      <c r="H127" t="s">
        <v>76</v>
      </c>
      <c r="I127" t="s">
        <v>28</v>
      </c>
      <c r="J127" t="s">
        <v>256</v>
      </c>
      <c r="K127" s="2">
        <f>Sales_Export_2019_2020__2[[#This Row],[order_value_GBP]]-Sales_Export_2019_2020__2[[#This Row],[ cost ]]</f>
        <v>33404.239999999991</v>
      </c>
      <c r="L127" t="b">
        <f>COUNTIF(Sales_Export_2019_2020__2[order_id],Sales_Export_2019_2020__2[[#This Row],[order_id]])&gt;1</f>
        <v>0</v>
      </c>
      <c r="M127" t="str">
        <f t="shared" si="1"/>
        <v>£245,000 - £249,999</v>
      </c>
      <c r="N127" t="str" cm="1">
        <f t="array" ref="N12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127">
        <f>FLOOR(Sales_Export_2019_2020__2[[#This Row],[order_value_GBP]],5000)</f>
        <v>245000</v>
      </c>
    </row>
    <row r="128" spans="1:15" x14ac:dyDescent="0.35">
      <c r="A128" t="s">
        <v>45</v>
      </c>
      <c r="B128" s="2">
        <v>28328.78</v>
      </c>
      <c r="C128" s="2">
        <v>24408.080000000002</v>
      </c>
      <c r="D128" s="1">
        <v>43515</v>
      </c>
      <c r="E128" t="s">
        <v>24</v>
      </c>
      <c r="F128" t="s">
        <v>210</v>
      </c>
      <c r="G128" t="s">
        <v>48</v>
      </c>
      <c r="H128" t="s">
        <v>74</v>
      </c>
      <c r="I128" t="s">
        <v>28</v>
      </c>
      <c r="J128" t="s">
        <v>257</v>
      </c>
      <c r="K128" s="2">
        <f>Sales_Export_2019_2020__2[[#This Row],[order_value_GBP]]-Sales_Export_2019_2020__2[[#This Row],[ cost ]]</f>
        <v>3920.6999999999971</v>
      </c>
      <c r="L128" t="b">
        <f>COUNTIF(Sales_Export_2019_2020__2[order_id],Sales_Export_2019_2020__2[[#This Row],[order_id]])&gt;1</f>
        <v>0</v>
      </c>
      <c r="M128" t="str">
        <f t="shared" si="1"/>
        <v>£25,000 - £29,999</v>
      </c>
      <c r="N128" t="str" cm="1">
        <f t="array" ref="N12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28">
        <f>FLOOR(Sales_Export_2019_2020__2[[#This Row],[order_value_GBP]],5000)</f>
        <v>25000</v>
      </c>
    </row>
    <row r="129" spans="1:15" x14ac:dyDescent="0.35">
      <c r="A129" t="s">
        <v>23</v>
      </c>
      <c r="B129" s="2">
        <v>162246.76</v>
      </c>
      <c r="C129" s="2">
        <v>142663.57999999999</v>
      </c>
      <c r="D129" s="1">
        <v>43705</v>
      </c>
      <c r="E129" t="s">
        <v>18</v>
      </c>
      <c r="F129" t="s">
        <v>31</v>
      </c>
      <c r="G129" t="s">
        <v>26</v>
      </c>
      <c r="H129" t="s">
        <v>76</v>
      </c>
      <c r="I129" t="s">
        <v>28</v>
      </c>
      <c r="J129" t="s">
        <v>258</v>
      </c>
      <c r="K129" s="2">
        <f>Sales_Export_2019_2020__2[[#This Row],[order_value_GBP]]-Sales_Export_2019_2020__2[[#This Row],[ cost ]]</f>
        <v>19583.180000000022</v>
      </c>
      <c r="L129" t="b">
        <f>COUNTIF(Sales_Export_2019_2020__2[order_id],Sales_Export_2019_2020__2[[#This Row],[order_id]])&gt;1</f>
        <v>0</v>
      </c>
      <c r="M129" t="str">
        <f t="shared" si="1"/>
        <v>£160,000 - £164,999</v>
      </c>
      <c r="N129" t="str" cm="1">
        <f t="array" ref="N12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29">
        <f>FLOOR(Sales_Export_2019_2020__2[[#This Row],[order_value_GBP]],5000)</f>
        <v>160000</v>
      </c>
    </row>
    <row r="130" spans="1:15" x14ac:dyDescent="0.35">
      <c r="A130" t="s">
        <v>215</v>
      </c>
      <c r="B130" s="2">
        <v>161217.16</v>
      </c>
      <c r="C130" s="2">
        <v>135696.48000000001</v>
      </c>
      <c r="D130" s="1">
        <v>43758</v>
      </c>
      <c r="E130" t="s">
        <v>18</v>
      </c>
      <c r="F130" t="s">
        <v>123</v>
      </c>
      <c r="G130" t="s">
        <v>216</v>
      </c>
      <c r="H130" t="s">
        <v>217</v>
      </c>
      <c r="I130" t="s">
        <v>28</v>
      </c>
      <c r="J130" t="s">
        <v>259</v>
      </c>
      <c r="K130" s="2">
        <f>Sales_Export_2019_2020__2[[#This Row],[order_value_GBP]]-Sales_Export_2019_2020__2[[#This Row],[ cost ]]</f>
        <v>25520.679999999993</v>
      </c>
      <c r="L130" t="b">
        <f>COUNTIF(Sales_Export_2019_2020__2[order_id],Sales_Export_2019_2020__2[[#This Row],[order_id]])&gt;1</f>
        <v>0</v>
      </c>
      <c r="M130" t="str">
        <f t="shared" ref="M130:M193" si="2">TEXT(FLOOR(B130,5000),"£#,##0")&amp;" - "&amp;TEXT(FLOOR(B130,5000)+4999,"£#,##0")</f>
        <v>£160,000 - £164,999</v>
      </c>
      <c r="N130" t="str" cm="1">
        <f t="array" ref="N13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30">
        <f>FLOOR(Sales_Export_2019_2020__2[[#This Row],[order_value_GBP]],5000)</f>
        <v>160000</v>
      </c>
    </row>
    <row r="131" spans="1:15" x14ac:dyDescent="0.35">
      <c r="A131" t="s">
        <v>53</v>
      </c>
      <c r="B131" s="2">
        <v>37397.43</v>
      </c>
      <c r="C131" s="2">
        <v>30837.919999999998</v>
      </c>
      <c r="D131" s="1">
        <v>43968</v>
      </c>
      <c r="E131" t="s">
        <v>18</v>
      </c>
      <c r="F131" t="s">
        <v>166</v>
      </c>
      <c r="G131" t="s">
        <v>55</v>
      </c>
      <c r="H131" t="s">
        <v>144</v>
      </c>
      <c r="I131" t="s">
        <v>28</v>
      </c>
      <c r="J131" t="s">
        <v>260</v>
      </c>
      <c r="K131" s="2">
        <f>Sales_Export_2019_2020__2[[#This Row],[order_value_GBP]]-Sales_Export_2019_2020__2[[#This Row],[ cost ]]</f>
        <v>6559.510000000002</v>
      </c>
      <c r="L131" t="b">
        <f>COUNTIF(Sales_Export_2019_2020__2[order_id],Sales_Export_2019_2020__2[[#This Row],[order_id]])&gt;1</f>
        <v>0</v>
      </c>
      <c r="M131" t="str">
        <f t="shared" si="2"/>
        <v>£35,000 - £39,999</v>
      </c>
      <c r="N131" t="str" cm="1">
        <f t="array" ref="N13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31">
        <f>FLOOR(Sales_Export_2019_2020__2[[#This Row],[order_value_GBP]],5000)</f>
        <v>35000</v>
      </c>
    </row>
    <row r="132" spans="1:15" x14ac:dyDescent="0.35">
      <c r="A132" t="s">
        <v>45</v>
      </c>
      <c r="B132" s="2">
        <v>99064.31</v>
      </c>
      <c r="C132" s="2">
        <v>85393.44</v>
      </c>
      <c r="D132" s="1">
        <v>44022</v>
      </c>
      <c r="E132" t="s">
        <v>11</v>
      </c>
      <c r="F132" t="s">
        <v>35</v>
      </c>
      <c r="G132" t="s">
        <v>48</v>
      </c>
      <c r="H132" t="s">
        <v>49</v>
      </c>
      <c r="I132" t="s">
        <v>28</v>
      </c>
      <c r="J132" t="s">
        <v>261</v>
      </c>
      <c r="K132" s="2">
        <f>Sales_Export_2019_2020__2[[#This Row],[order_value_GBP]]-Sales_Export_2019_2020__2[[#This Row],[ cost ]]</f>
        <v>13670.869999999995</v>
      </c>
      <c r="L132" t="b">
        <f>COUNTIF(Sales_Export_2019_2020__2[order_id],Sales_Export_2019_2020__2[[#This Row],[order_id]])&gt;1</f>
        <v>0</v>
      </c>
      <c r="M132" t="str">
        <f t="shared" si="2"/>
        <v>£95,000 - £99,999</v>
      </c>
      <c r="N132" t="str" cm="1">
        <f t="array" ref="N13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32">
        <f>FLOOR(Sales_Export_2019_2020__2[[#This Row],[order_value_GBP]],5000)</f>
        <v>95000</v>
      </c>
    </row>
    <row r="133" spans="1:15" x14ac:dyDescent="0.35">
      <c r="A133" t="s">
        <v>10</v>
      </c>
      <c r="B133" s="2">
        <v>15817.05</v>
      </c>
      <c r="C133" s="2">
        <v>13743.44</v>
      </c>
      <c r="D133" s="1">
        <v>43534</v>
      </c>
      <c r="E133" t="s">
        <v>24</v>
      </c>
      <c r="F133" t="s">
        <v>234</v>
      </c>
      <c r="G133" t="s">
        <v>13</v>
      </c>
      <c r="H133" t="s">
        <v>69</v>
      </c>
      <c r="I133" t="s">
        <v>28</v>
      </c>
      <c r="J133" t="s">
        <v>262</v>
      </c>
      <c r="K133" s="2">
        <f>Sales_Export_2019_2020__2[[#This Row],[order_value_GBP]]-Sales_Export_2019_2020__2[[#This Row],[ cost ]]</f>
        <v>2073.6099999999988</v>
      </c>
      <c r="L133" t="b">
        <f>COUNTIF(Sales_Export_2019_2020__2[order_id],Sales_Export_2019_2020__2[[#This Row],[order_id]])&gt;1</f>
        <v>0</v>
      </c>
      <c r="M133" t="str">
        <f t="shared" si="2"/>
        <v>£15,000 - £19,999</v>
      </c>
      <c r="N133" t="str" cm="1">
        <f t="array" ref="N13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33">
        <f>FLOOR(Sales_Export_2019_2020__2[[#This Row],[order_value_GBP]],5000)</f>
        <v>15000</v>
      </c>
    </row>
    <row r="134" spans="1:15" x14ac:dyDescent="0.35">
      <c r="A134" t="s">
        <v>23</v>
      </c>
      <c r="B134" s="2">
        <v>38930.160000000003</v>
      </c>
      <c r="C134" s="2">
        <v>32837.589999999997</v>
      </c>
      <c r="D134" s="1">
        <v>44153</v>
      </c>
      <c r="E134" t="s">
        <v>62</v>
      </c>
      <c r="F134" t="s">
        <v>150</v>
      </c>
      <c r="G134" t="s">
        <v>26</v>
      </c>
      <c r="H134" t="s">
        <v>219</v>
      </c>
      <c r="I134" t="s">
        <v>28</v>
      </c>
      <c r="J134" t="s">
        <v>263</v>
      </c>
      <c r="K134" s="2">
        <f>Sales_Export_2019_2020__2[[#This Row],[order_value_GBP]]-Sales_Export_2019_2020__2[[#This Row],[ cost ]]</f>
        <v>6092.570000000007</v>
      </c>
      <c r="L134" t="b">
        <f>COUNTIF(Sales_Export_2019_2020__2[order_id],Sales_Export_2019_2020__2[[#This Row],[order_id]])&gt;1</f>
        <v>0</v>
      </c>
      <c r="M134" t="str">
        <f t="shared" si="2"/>
        <v>£35,000 - £39,999</v>
      </c>
      <c r="N134" t="str" cm="1">
        <f t="array" ref="N13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34">
        <f>FLOOR(Sales_Export_2019_2020__2[[#This Row],[order_value_GBP]],5000)</f>
        <v>35000</v>
      </c>
    </row>
    <row r="135" spans="1:15" x14ac:dyDescent="0.35">
      <c r="A135" t="s">
        <v>23</v>
      </c>
      <c r="B135" s="2">
        <v>28859.73</v>
      </c>
      <c r="C135" s="2">
        <v>23656.32</v>
      </c>
      <c r="D135" s="1">
        <v>43474</v>
      </c>
      <c r="E135" t="s">
        <v>80</v>
      </c>
      <c r="F135" t="s">
        <v>25</v>
      </c>
      <c r="G135" t="s">
        <v>26</v>
      </c>
      <c r="H135" t="s">
        <v>76</v>
      </c>
      <c r="I135" t="s">
        <v>15</v>
      </c>
      <c r="J135" t="s">
        <v>264</v>
      </c>
      <c r="K135" s="2">
        <f>Sales_Export_2019_2020__2[[#This Row],[order_value_GBP]]-Sales_Export_2019_2020__2[[#This Row],[ cost ]]</f>
        <v>5203.41</v>
      </c>
      <c r="L135" t="b">
        <f>COUNTIF(Sales_Export_2019_2020__2[order_id],Sales_Export_2019_2020__2[[#This Row],[order_id]])&gt;1</f>
        <v>0</v>
      </c>
      <c r="M135" t="str">
        <f t="shared" si="2"/>
        <v>£25,000 - £29,999</v>
      </c>
      <c r="N135" t="str" cm="1">
        <f t="array" ref="N13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35">
        <f>FLOOR(Sales_Export_2019_2020__2[[#This Row],[order_value_GBP]],5000)</f>
        <v>25000</v>
      </c>
    </row>
    <row r="136" spans="1:15" x14ac:dyDescent="0.35">
      <c r="A136" t="s">
        <v>53</v>
      </c>
      <c r="B136" s="2">
        <v>54079.040000000001</v>
      </c>
      <c r="C136" s="2">
        <v>45031.62</v>
      </c>
      <c r="D136" s="1">
        <v>43980</v>
      </c>
      <c r="E136" t="s">
        <v>18</v>
      </c>
      <c r="F136" t="s">
        <v>265</v>
      </c>
      <c r="G136" t="s">
        <v>55</v>
      </c>
      <c r="H136" t="s">
        <v>144</v>
      </c>
      <c r="I136" t="s">
        <v>28</v>
      </c>
      <c r="J136" t="s">
        <v>266</v>
      </c>
      <c r="K136" s="2">
        <f>Sales_Export_2019_2020__2[[#This Row],[order_value_GBP]]-Sales_Export_2019_2020__2[[#This Row],[ cost ]]</f>
        <v>9047.4199999999983</v>
      </c>
      <c r="L136" t="b">
        <f>COUNTIF(Sales_Export_2019_2020__2[order_id],Sales_Export_2019_2020__2[[#This Row],[order_id]])&gt;1</f>
        <v>0</v>
      </c>
      <c r="M136" t="str">
        <f t="shared" si="2"/>
        <v>£50,000 - £54,999</v>
      </c>
      <c r="N136" t="str" cm="1">
        <f t="array" ref="N13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36">
        <f>FLOOR(Sales_Export_2019_2020__2[[#This Row],[order_value_GBP]],5000)</f>
        <v>50000</v>
      </c>
    </row>
    <row r="137" spans="1:15" x14ac:dyDescent="0.35">
      <c r="A137" t="s">
        <v>10</v>
      </c>
      <c r="B137" s="2">
        <v>70596.7</v>
      </c>
      <c r="C137" s="2">
        <v>60564.91</v>
      </c>
      <c r="D137" s="1">
        <v>43870</v>
      </c>
      <c r="E137" t="s">
        <v>80</v>
      </c>
      <c r="F137" t="s">
        <v>19</v>
      </c>
      <c r="G137" t="s">
        <v>13</v>
      </c>
      <c r="H137" t="s">
        <v>82</v>
      </c>
      <c r="I137" t="s">
        <v>28</v>
      </c>
      <c r="J137" t="s">
        <v>267</v>
      </c>
      <c r="K137" s="2">
        <f>Sales_Export_2019_2020__2[[#This Row],[order_value_GBP]]-Sales_Export_2019_2020__2[[#This Row],[ cost ]]</f>
        <v>10031.789999999994</v>
      </c>
      <c r="L137" t="b">
        <f>COUNTIF(Sales_Export_2019_2020__2[order_id],Sales_Export_2019_2020__2[[#This Row],[order_id]])&gt;1</f>
        <v>0</v>
      </c>
      <c r="M137" t="str">
        <f t="shared" si="2"/>
        <v>£70,000 - £74,999</v>
      </c>
      <c r="N137" t="str" cm="1">
        <f t="array" ref="N13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37">
        <f>FLOOR(Sales_Export_2019_2020__2[[#This Row],[order_value_GBP]],5000)</f>
        <v>70000</v>
      </c>
    </row>
    <row r="138" spans="1:15" x14ac:dyDescent="0.35">
      <c r="A138" t="s">
        <v>45</v>
      </c>
      <c r="B138" s="2">
        <v>169629.55</v>
      </c>
      <c r="C138" s="2">
        <v>135347.42000000001</v>
      </c>
      <c r="D138" s="1">
        <v>43761</v>
      </c>
      <c r="E138" t="s">
        <v>62</v>
      </c>
      <c r="F138" t="s">
        <v>35</v>
      </c>
      <c r="G138" t="s">
        <v>48</v>
      </c>
      <c r="H138" t="s">
        <v>74</v>
      </c>
      <c r="I138" t="s">
        <v>28</v>
      </c>
      <c r="J138" t="s">
        <v>268</v>
      </c>
      <c r="K138" s="2">
        <f>Sales_Export_2019_2020__2[[#This Row],[order_value_GBP]]-Sales_Export_2019_2020__2[[#This Row],[ cost ]]</f>
        <v>34282.129999999976</v>
      </c>
      <c r="L138" t="b">
        <f>COUNTIF(Sales_Export_2019_2020__2[order_id],Sales_Export_2019_2020__2[[#This Row],[order_id]])&gt;1</f>
        <v>0</v>
      </c>
      <c r="M138" t="str">
        <f t="shared" si="2"/>
        <v>£165,000 - £169,999</v>
      </c>
      <c r="N138" t="str" cm="1">
        <f t="array" ref="N13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38">
        <f>FLOOR(Sales_Export_2019_2020__2[[#This Row],[order_value_GBP]],5000)</f>
        <v>165000</v>
      </c>
    </row>
    <row r="139" spans="1:15" x14ac:dyDescent="0.35">
      <c r="A139" t="s">
        <v>23</v>
      </c>
      <c r="B139" s="2">
        <v>95387.89</v>
      </c>
      <c r="C139" s="2">
        <v>76195.850000000006</v>
      </c>
      <c r="D139" s="1">
        <v>43959</v>
      </c>
      <c r="E139" t="s">
        <v>11</v>
      </c>
      <c r="F139" t="s">
        <v>54</v>
      </c>
      <c r="G139" t="s">
        <v>26</v>
      </c>
      <c r="H139" t="s">
        <v>32</v>
      </c>
      <c r="I139" t="s">
        <v>28</v>
      </c>
      <c r="J139" t="s">
        <v>269</v>
      </c>
      <c r="K139" s="2">
        <f>Sales_Export_2019_2020__2[[#This Row],[order_value_GBP]]-Sales_Export_2019_2020__2[[#This Row],[ cost ]]</f>
        <v>19192.039999999994</v>
      </c>
      <c r="L139" t="b">
        <f>COUNTIF(Sales_Export_2019_2020__2[order_id],Sales_Export_2019_2020__2[[#This Row],[order_id]])&gt;1</f>
        <v>0</v>
      </c>
      <c r="M139" t="str">
        <f t="shared" si="2"/>
        <v>£95,000 - £99,999</v>
      </c>
      <c r="N139" t="str" cm="1">
        <f t="array" ref="N13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39">
        <f>FLOOR(Sales_Export_2019_2020__2[[#This Row],[order_value_GBP]],5000)</f>
        <v>95000</v>
      </c>
    </row>
    <row r="140" spans="1:15" x14ac:dyDescent="0.35">
      <c r="A140" t="s">
        <v>53</v>
      </c>
      <c r="B140" s="2">
        <v>50585.98</v>
      </c>
      <c r="C140" s="2">
        <v>40999.94</v>
      </c>
      <c r="D140" s="1">
        <v>44072</v>
      </c>
      <c r="E140" t="s">
        <v>30</v>
      </c>
      <c r="F140" t="s">
        <v>180</v>
      </c>
      <c r="G140" t="s">
        <v>55</v>
      </c>
      <c r="H140" t="s">
        <v>56</v>
      </c>
      <c r="I140" t="s">
        <v>38</v>
      </c>
      <c r="J140" t="s">
        <v>270</v>
      </c>
      <c r="K140" s="2">
        <f>Sales_Export_2019_2020__2[[#This Row],[order_value_GBP]]-Sales_Export_2019_2020__2[[#This Row],[ cost ]]</f>
        <v>9586.0400000000009</v>
      </c>
      <c r="L140" t="b">
        <f>COUNTIF(Sales_Export_2019_2020__2[order_id],Sales_Export_2019_2020__2[[#This Row],[order_id]])&gt;1</f>
        <v>0</v>
      </c>
      <c r="M140" t="str">
        <f t="shared" si="2"/>
        <v>£50,000 - £54,999</v>
      </c>
      <c r="N140" t="str" cm="1">
        <f t="array" ref="N14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40">
        <f>FLOOR(Sales_Export_2019_2020__2[[#This Row],[order_value_GBP]],5000)</f>
        <v>50000</v>
      </c>
    </row>
    <row r="141" spans="1:15" x14ac:dyDescent="0.35">
      <c r="A141" t="s">
        <v>10</v>
      </c>
      <c r="B141" s="2">
        <v>103726.57</v>
      </c>
      <c r="C141" s="2">
        <v>90231.74</v>
      </c>
      <c r="D141" s="1">
        <v>43972</v>
      </c>
      <c r="E141" t="s">
        <v>24</v>
      </c>
      <c r="F141" t="s">
        <v>121</v>
      </c>
      <c r="G141" t="s">
        <v>13</v>
      </c>
      <c r="H141" t="s">
        <v>118</v>
      </c>
      <c r="I141" t="s">
        <v>15</v>
      </c>
      <c r="J141" t="s">
        <v>271</v>
      </c>
      <c r="K141" s="2">
        <f>Sales_Export_2019_2020__2[[#This Row],[order_value_GBP]]-Sales_Export_2019_2020__2[[#This Row],[ cost ]]</f>
        <v>13494.830000000002</v>
      </c>
      <c r="L141" t="b">
        <f>COUNTIF(Sales_Export_2019_2020__2[order_id],Sales_Export_2019_2020__2[[#This Row],[order_id]])&gt;1</f>
        <v>0</v>
      </c>
      <c r="M141" t="str">
        <f t="shared" si="2"/>
        <v>£100,000 - £104,999</v>
      </c>
      <c r="N141" t="str" cm="1">
        <f t="array" ref="N14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41">
        <f>FLOOR(Sales_Export_2019_2020__2[[#This Row],[order_value_GBP]],5000)</f>
        <v>100000</v>
      </c>
    </row>
    <row r="142" spans="1:15" x14ac:dyDescent="0.35">
      <c r="A142" t="s">
        <v>45</v>
      </c>
      <c r="B142" s="2">
        <v>222700.23</v>
      </c>
      <c r="C142" s="2">
        <v>194951.78</v>
      </c>
      <c r="D142" s="1">
        <v>44177</v>
      </c>
      <c r="E142" t="s">
        <v>51</v>
      </c>
      <c r="F142" t="s">
        <v>35</v>
      </c>
      <c r="G142" t="s">
        <v>48</v>
      </c>
      <c r="H142" t="s">
        <v>66</v>
      </c>
      <c r="I142" t="s">
        <v>15</v>
      </c>
      <c r="J142" t="s">
        <v>272</v>
      </c>
      <c r="K142" s="2">
        <f>Sales_Export_2019_2020__2[[#This Row],[order_value_GBP]]-Sales_Export_2019_2020__2[[#This Row],[ cost ]]</f>
        <v>27748.450000000012</v>
      </c>
      <c r="L142" t="b">
        <f>COUNTIF(Sales_Export_2019_2020__2[order_id],Sales_Export_2019_2020__2[[#This Row],[order_id]])&gt;1</f>
        <v>0</v>
      </c>
      <c r="M142" t="str">
        <f t="shared" si="2"/>
        <v>£220,000 - £224,999</v>
      </c>
      <c r="N142" t="str" cm="1">
        <f t="array" ref="N14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142">
        <f>FLOOR(Sales_Export_2019_2020__2[[#This Row],[order_value_GBP]],5000)</f>
        <v>220000</v>
      </c>
    </row>
    <row r="143" spans="1:15" x14ac:dyDescent="0.35">
      <c r="A143" t="s">
        <v>23</v>
      </c>
      <c r="B143" s="2">
        <v>143322.47</v>
      </c>
      <c r="C143" s="2">
        <v>114213.68</v>
      </c>
      <c r="D143" s="1">
        <v>43970</v>
      </c>
      <c r="E143" t="s">
        <v>11</v>
      </c>
      <c r="F143" t="s">
        <v>35</v>
      </c>
      <c r="G143" t="s">
        <v>26</v>
      </c>
      <c r="H143" t="s">
        <v>76</v>
      </c>
      <c r="I143" t="s">
        <v>28</v>
      </c>
      <c r="J143" t="s">
        <v>273</v>
      </c>
      <c r="K143" s="2">
        <f>Sales_Export_2019_2020__2[[#This Row],[order_value_GBP]]-Sales_Export_2019_2020__2[[#This Row],[ cost ]]</f>
        <v>29108.790000000008</v>
      </c>
      <c r="L143" t="b">
        <f>COUNTIF(Sales_Export_2019_2020__2[order_id],Sales_Export_2019_2020__2[[#This Row],[order_id]])&gt;1</f>
        <v>0</v>
      </c>
      <c r="M143" t="str">
        <f t="shared" si="2"/>
        <v>£140,000 - £144,999</v>
      </c>
      <c r="N143" t="str" cm="1">
        <f t="array" ref="N14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43">
        <f>FLOOR(Sales_Export_2019_2020__2[[#This Row],[order_value_GBP]],5000)</f>
        <v>140000</v>
      </c>
    </row>
    <row r="144" spans="1:15" x14ac:dyDescent="0.35">
      <c r="A144" t="s">
        <v>45</v>
      </c>
      <c r="B144" s="2">
        <v>128227.36</v>
      </c>
      <c r="C144" s="2">
        <v>106710.81</v>
      </c>
      <c r="D144" s="1">
        <v>43617</v>
      </c>
      <c r="E144" t="s">
        <v>46</v>
      </c>
      <c r="F144" t="s">
        <v>102</v>
      </c>
      <c r="G144" t="s">
        <v>48</v>
      </c>
      <c r="H144" t="s">
        <v>74</v>
      </c>
      <c r="I144" t="s">
        <v>28</v>
      </c>
      <c r="J144" t="s">
        <v>274</v>
      </c>
      <c r="K144" s="2">
        <f>Sales_Export_2019_2020__2[[#This Row],[order_value_GBP]]-Sales_Export_2019_2020__2[[#This Row],[ cost ]]</f>
        <v>21516.550000000003</v>
      </c>
      <c r="L144" t="b">
        <f>COUNTIF(Sales_Export_2019_2020__2[order_id],Sales_Export_2019_2020__2[[#This Row],[order_id]])&gt;1</f>
        <v>0</v>
      </c>
      <c r="M144" t="str">
        <f t="shared" si="2"/>
        <v>£125,000 - £129,999</v>
      </c>
      <c r="N144" t="str" cm="1">
        <f t="array" ref="N14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44">
        <f>FLOOR(Sales_Export_2019_2020__2[[#This Row],[order_value_GBP]],5000)</f>
        <v>125000</v>
      </c>
    </row>
    <row r="145" spans="1:15" x14ac:dyDescent="0.35">
      <c r="A145" t="s">
        <v>10</v>
      </c>
      <c r="B145" s="2">
        <v>127939.8</v>
      </c>
      <c r="C145" s="2">
        <v>112267.17</v>
      </c>
      <c r="D145" s="1">
        <v>43808</v>
      </c>
      <c r="E145" t="s">
        <v>24</v>
      </c>
      <c r="F145" t="s">
        <v>54</v>
      </c>
      <c r="G145" t="s">
        <v>13</v>
      </c>
      <c r="H145" t="s">
        <v>82</v>
      </c>
      <c r="I145" t="s">
        <v>28</v>
      </c>
      <c r="J145" t="s">
        <v>275</v>
      </c>
      <c r="K145" s="2">
        <f>Sales_Export_2019_2020__2[[#This Row],[order_value_GBP]]-Sales_Export_2019_2020__2[[#This Row],[ cost ]]</f>
        <v>15672.630000000005</v>
      </c>
      <c r="L145" t="b">
        <f>COUNTIF(Sales_Export_2019_2020__2[order_id],Sales_Export_2019_2020__2[[#This Row],[order_id]])&gt;1</f>
        <v>0</v>
      </c>
      <c r="M145" t="str">
        <f t="shared" si="2"/>
        <v>£125,000 - £129,999</v>
      </c>
      <c r="N145" t="str" cm="1">
        <f t="array" ref="N14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45">
        <f>FLOOR(Sales_Export_2019_2020__2[[#This Row],[order_value_GBP]],5000)</f>
        <v>125000</v>
      </c>
    </row>
    <row r="146" spans="1:15" x14ac:dyDescent="0.35">
      <c r="A146" t="s">
        <v>10</v>
      </c>
      <c r="B146" s="2">
        <v>146540.75</v>
      </c>
      <c r="C146" s="2">
        <v>120822.85</v>
      </c>
      <c r="D146" s="1">
        <v>43585</v>
      </c>
      <c r="E146" t="s">
        <v>60</v>
      </c>
      <c r="F146" t="s">
        <v>58</v>
      </c>
      <c r="G146" t="s">
        <v>13</v>
      </c>
      <c r="H146" t="s">
        <v>69</v>
      </c>
      <c r="I146" t="s">
        <v>28</v>
      </c>
      <c r="J146" t="s">
        <v>276</v>
      </c>
      <c r="K146" s="2">
        <f>Sales_Export_2019_2020__2[[#This Row],[order_value_GBP]]-Sales_Export_2019_2020__2[[#This Row],[ cost ]]</f>
        <v>25717.899999999994</v>
      </c>
      <c r="L146" t="b">
        <f>COUNTIF(Sales_Export_2019_2020__2[order_id],Sales_Export_2019_2020__2[[#This Row],[order_id]])&gt;1</f>
        <v>0</v>
      </c>
      <c r="M146" t="str">
        <f t="shared" si="2"/>
        <v>£145,000 - £149,999</v>
      </c>
      <c r="N146" t="str" cm="1">
        <f t="array" ref="N14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46">
        <f>FLOOR(Sales_Export_2019_2020__2[[#This Row],[order_value_GBP]],5000)</f>
        <v>145000</v>
      </c>
    </row>
    <row r="147" spans="1:15" x14ac:dyDescent="0.35">
      <c r="A147" t="s">
        <v>23</v>
      </c>
      <c r="B147" s="2">
        <v>36321.68</v>
      </c>
      <c r="C147" s="2">
        <v>31581.7</v>
      </c>
      <c r="D147" s="1">
        <v>44133</v>
      </c>
      <c r="E147" t="s">
        <v>11</v>
      </c>
      <c r="F147" t="s">
        <v>112</v>
      </c>
      <c r="G147" t="s">
        <v>26</v>
      </c>
      <c r="H147" t="s">
        <v>27</v>
      </c>
      <c r="I147" t="s">
        <v>28</v>
      </c>
      <c r="J147" t="s">
        <v>277</v>
      </c>
      <c r="K147" s="2">
        <f>Sales_Export_2019_2020__2[[#This Row],[order_value_GBP]]-Sales_Export_2019_2020__2[[#This Row],[ cost ]]</f>
        <v>4739.9799999999996</v>
      </c>
      <c r="L147" t="b">
        <f>COUNTIF(Sales_Export_2019_2020__2[order_id],Sales_Export_2019_2020__2[[#This Row],[order_id]])&gt;1</f>
        <v>0</v>
      </c>
      <c r="M147" t="str">
        <f t="shared" si="2"/>
        <v>£35,000 - £39,999</v>
      </c>
      <c r="N147" t="str" cm="1">
        <f t="array" ref="N14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47">
        <f>FLOOR(Sales_Export_2019_2020__2[[#This Row],[order_value_GBP]],5000)</f>
        <v>35000</v>
      </c>
    </row>
    <row r="148" spans="1:15" x14ac:dyDescent="0.35">
      <c r="A148" t="s">
        <v>34</v>
      </c>
      <c r="B148" s="2">
        <v>42814.57</v>
      </c>
      <c r="C148" s="2">
        <v>35356.269999999997</v>
      </c>
      <c r="D148" s="1">
        <v>43497</v>
      </c>
      <c r="E148" t="s">
        <v>30</v>
      </c>
      <c r="F148" t="s">
        <v>126</v>
      </c>
      <c r="G148" t="s">
        <v>36</v>
      </c>
      <c r="H148" t="s">
        <v>41</v>
      </c>
      <c r="I148" t="s">
        <v>28</v>
      </c>
      <c r="J148" t="s">
        <v>278</v>
      </c>
      <c r="K148" s="2">
        <f>Sales_Export_2019_2020__2[[#This Row],[order_value_GBP]]-Sales_Export_2019_2020__2[[#This Row],[ cost ]]</f>
        <v>7458.3000000000029</v>
      </c>
      <c r="L148" t="b">
        <f>COUNTIF(Sales_Export_2019_2020__2[order_id],Sales_Export_2019_2020__2[[#This Row],[order_id]])&gt;1</f>
        <v>0</v>
      </c>
      <c r="M148" t="str">
        <f t="shared" si="2"/>
        <v>£40,000 - £44,999</v>
      </c>
      <c r="N148" t="str" cm="1">
        <f t="array" ref="N14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48">
        <f>FLOOR(Sales_Export_2019_2020__2[[#This Row],[order_value_GBP]],5000)</f>
        <v>40000</v>
      </c>
    </row>
    <row r="149" spans="1:15" x14ac:dyDescent="0.35">
      <c r="A149" t="s">
        <v>45</v>
      </c>
      <c r="B149" s="2">
        <v>169262.2</v>
      </c>
      <c r="C149" s="2">
        <v>141080.04</v>
      </c>
      <c r="D149" s="1">
        <v>43947</v>
      </c>
      <c r="E149" t="s">
        <v>30</v>
      </c>
      <c r="F149" t="s">
        <v>110</v>
      </c>
      <c r="G149" t="s">
        <v>48</v>
      </c>
      <c r="H149" t="s">
        <v>49</v>
      </c>
      <c r="I149" t="s">
        <v>28</v>
      </c>
      <c r="J149" t="s">
        <v>279</v>
      </c>
      <c r="K149" s="2">
        <f>Sales_Export_2019_2020__2[[#This Row],[order_value_GBP]]-Sales_Export_2019_2020__2[[#This Row],[ cost ]]</f>
        <v>28182.160000000003</v>
      </c>
      <c r="L149" t="b">
        <f>COUNTIF(Sales_Export_2019_2020__2[order_id],Sales_Export_2019_2020__2[[#This Row],[order_id]])&gt;1</f>
        <v>0</v>
      </c>
      <c r="M149" t="str">
        <f t="shared" si="2"/>
        <v>£165,000 - £169,999</v>
      </c>
      <c r="N149" t="str" cm="1">
        <f t="array" ref="N14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49">
        <f>FLOOR(Sales_Export_2019_2020__2[[#This Row],[order_value_GBP]],5000)</f>
        <v>165000</v>
      </c>
    </row>
    <row r="150" spans="1:15" x14ac:dyDescent="0.35">
      <c r="A150" t="s">
        <v>10</v>
      </c>
      <c r="B150" s="2">
        <v>114427.36</v>
      </c>
      <c r="C150" s="2">
        <v>93727.45</v>
      </c>
      <c r="D150" s="1">
        <v>43901</v>
      </c>
      <c r="E150" t="s">
        <v>139</v>
      </c>
      <c r="F150" t="s">
        <v>68</v>
      </c>
      <c r="G150" t="s">
        <v>13</v>
      </c>
      <c r="H150" t="s">
        <v>14</v>
      </c>
      <c r="I150" t="s">
        <v>28</v>
      </c>
      <c r="J150" t="s">
        <v>280</v>
      </c>
      <c r="K150" s="2">
        <f>Sales_Export_2019_2020__2[[#This Row],[order_value_GBP]]-Sales_Export_2019_2020__2[[#This Row],[ cost ]]</f>
        <v>20699.910000000003</v>
      </c>
      <c r="L150" t="b">
        <f>COUNTIF(Sales_Export_2019_2020__2[order_id],Sales_Export_2019_2020__2[[#This Row],[order_id]])&gt;1</f>
        <v>0</v>
      </c>
      <c r="M150" t="str">
        <f t="shared" si="2"/>
        <v>£110,000 - £114,999</v>
      </c>
      <c r="N150" t="str" cm="1">
        <f t="array" ref="N15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50">
        <f>FLOOR(Sales_Export_2019_2020__2[[#This Row],[order_value_GBP]],5000)</f>
        <v>110000</v>
      </c>
    </row>
    <row r="151" spans="1:15" x14ac:dyDescent="0.35">
      <c r="A151" t="s">
        <v>45</v>
      </c>
      <c r="B151" s="2">
        <v>126979.62</v>
      </c>
      <c r="C151" s="2">
        <v>105113.73</v>
      </c>
      <c r="D151" s="1">
        <v>43734</v>
      </c>
      <c r="E151" t="s">
        <v>80</v>
      </c>
      <c r="F151" t="s">
        <v>121</v>
      </c>
      <c r="G151" t="s">
        <v>48</v>
      </c>
      <c r="H151" t="s">
        <v>66</v>
      </c>
      <c r="I151" t="s">
        <v>28</v>
      </c>
      <c r="J151" t="s">
        <v>281</v>
      </c>
      <c r="K151" s="2">
        <f>Sales_Export_2019_2020__2[[#This Row],[order_value_GBP]]-Sales_Export_2019_2020__2[[#This Row],[ cost ]]</f>
        <v>21865.89</v>
      </c>
      <c r="L151" t="b">
        <f>COUNTIF(Sales_Export_2019_2020__2[order_id],Sales_Export_2019_2020__2[[#This Row],[order_id]])&gt;1</f>
        <v>0</v>
      </c>
      <c r="M151" t="str">
        <f t="shared" si="2"/>
        <v>£125,000 - £129,999</v>
      </c>
      <c r="N151" t="str" cm="1">
        <f t="array" ref="N15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51">
        <f>FLOOR(Sales_Export_2019_2020__2[[#This Row],[order_value_GBP]],5000)</f>
        <v>125000</v>
      </c>
    </row>
    <row r="152" spans="1:15" x14ac:dyDescent="0.35">
      <c r="A152" t="s">
        <v>106</v>
      </c>
      <c r="B152" s="2">
        <v>294874.74</v>
      </c>
      <c r="C152" s="2">
        <v>259106.43</v>
      </c>
      <c r="D152" s="1">
        <v>44180</v>
      </c>
      <c r="E152" t="s">
        <v>11</v>
      </c>
      <c r="F152" t="s">
        <v>282</v>
      </c>
      <c r="G152" t="s">
        <v>107</v>
      </c>
      <c r="H152" t="s">
        <v>108</v>
      </c>
      <c r="I152" t="s">
        <v>28</v>
      </c>
      <c r="J152" t="s">
        <v>283</v>
      </c>
      <c r="K152" s="2">
        <f>Sales_Export_2019_2020__2[[#This Row],[order_value_GBP]]-Sales_Export_2019_2020__2[[#This Row],[ cost ]]</f>
        <v>35768.31</v>
      </c>
      <c r="L152" t="b">
        <f>COUNTIF(Sales_Export_2019_2020__2[order_id],Sales_Export_2019_2020__2[[#This Row],[order_id]])&gt;1</f>
        <v>0</v>
      </c>
      <c r="M152" t="str">
        <f t="shared" si="2"/>
        <v>£290,000 - £294,999</v>
      </c>
      <c r="N152" t="str" cm="1">
        <f t="array" ref="N15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152">
        <f>FLOOR(Sales_Export_2019_2020__2[[#This Row],[order_value_GBP]],5000)</f>
        <v>290000</v>
      </c>
    </row>
    <row r="153" spans="1:15" x14ac:dyDescent="0.35">
      <c r="A153" t="s">
        <v>45</v>
      </c>
      <c r="B153" s="2">
        <v>173258.94</v>
      </c>
      <c r="C153" s="2">
        <v>143198.51</v>
      </c>
      <c r="D153" s="1">
        <v>43609</v>
      </c>
      <c r="E153" t="s">
        <v>24</v>
      </c>
      <c r="F153" t="s">
        <v>35</v>
      </c>
      <c r="G153" t="s">
        <v>48</v>
      </c>
      <c r="H153" t="s">
        <v>74</v>
      </c>
      <c r="I153" t="s">
        <v>28</v>
      </c>
      <c r="J153" t="s">
        <v>284</v>
      </c>
      <c r="K153" s="2">
        <f>Sales_Export_2019_2020__2[[#This Row],[order_value_GBP]]-Sales_Export_2019_2020__2[[#This Row],[ cost ]]</f>
        <v>30060.429999999993</v>
      </c>
      <c r="L153" t="b">
        <f>COUNTIF(Sales_Export_2019_2020__2[order_id],Sales_Export_2019_2020__2[[#This Row],[order_id]])&gt;1</f>
        <v>0</v>
      </c>
      <c r="M153" t="str">
        <f t="shared" si="2"/>
        <v>£170,000 - £174,999</v>
      </c>
      <c r="N153" t="str" cm="1">
        <f t="array" ref="N15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53">
        <f>FLOOR(Sales_Export_2019_2020__2[[#This Row],[order_value_GBP]],5000)</f>
        <v>170000</v>
      </c>
    </row>
    <row r="154" spans="1:15" x14ac:dyDescent="0.35">
      <c r="A154" t="s">
        <v>106</v>
      </c>
      <c r="B154" s="2">
        <v>158362.32999999999</v>
      </c>
      <c r="C154" s="2">
        <v>133990.37</v>
      </c>
      <c r="D154" s="1">
        <v>44057</v>
      </c>
      <c r="E154" t="s">
        <v>11</v>
      </c>
      <c r="F154" t="s">
        <v>31</v>
      </c>
      <c r="G154" t="s">
        <v>107</v>
      </c>
      <c r="H154" t="s">
        <v>108</v>
      </c>
      <c r="I154" t="s">
        <v>28</v>
      </c>
      <c r="J154" t="s">
        <v>285</v>
      </c>
      <c r="K154" s="2">
        <f>Sales_Export_2019_2020__2[[#This Row],[order_value_GBP]]-Sales_Export_2019_2020__2[[#This Row],[ cost ]]</f>
        <v>24371.959999999992</v>
      </c>
      <c r="L154" t="b">
        <f>COUNTIF(Sales_Export_2019_2020__2[order_id],Sales_Export_2019_2020__2[[#This Row],[order_id]])&gt;1</f>
        <v>0</v>
      </c>
      <c r="M154" t="str">
        <f t="shared" si="2"/>
        <v>£155,000 - £159,999</v>
      </c>
      <c r="N154" t="str" cm="1">
        <f t="array" ref="N15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54">
        <f>FLOOR(Sales_Export_2019_2020__2[[#This Row],[order_value_GBP]],5000)</f>
        <v>155000</v>
      </c>
    </row>
    <row r="155" spans="1:15" x14ac:dyDescent="0.35">
      <c r="A155" t="s">
        <v>45</v>
      </c>
      <c r="B155" s="2">
        <v>50689.19</v>
      </c>
      <c r="C155" s="2">
        <v>43597.77</v>
      </c>
      <c r="D155" s="1">
        <v>44153</v>
      </c>
      <c r="E155" t="s">
        <v>24</v>
      </c>
      <c r="F155" t="s">
        <v>58</v>
      </c>
      <c r="G155" t="s">
        <v>48</v>
      </c>
      <c r="H155" t="s">
        <v>74</v>
      </c>
      <c r="I155" t="s">
        <v>28</v>
      </c>
      <c r="J155" t="s">
        <v>286</v>
      </c>
      <c r="K155" s="2">
        <f>Sales_Export_2019_2020__2[[#This Row],[order_value_GBP]]-Sales_Export_2019_2020__2[[#This Row],[ cost ]]</f>
        <v>7091.4200000000055</v>
      </c>
      <c r="L155" t="b">
        <f>COUNTIF(Sales_Export_2019_2020__2[order_id],Sales_Export_2019_2020__2[[#This Row],[order_id]])&gt;1</f>
        <v>0</v>
      </c>
      <c r="M155" t="str">
        <f t="shared" si="2"/>
        <v>£50,000 - £54,999</v>
      </c>
      <c r="N155" t="str" cm="1">
        <f t="array" ref="N15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55">
        <f>FLOOR(Sales_Export_2019_2020__2[[#This Row],[order_value_GBP]],5000)</f>
        <v>50000</v>
      </c>
    </row>
    <row r="156" spans="1:15" x14ac:dyDescent="0.35">
      <c r="A156" t="s">
        <v>173</v>
      </c>
      <c r="B156" s="2">
        <v>117358.02</v>
      </c>
      <c r="C156" s="2">
        <v>102664.8</v>
      </c>
      <c r="D156" s="1">
        <v>44137</v>
      </c>
      <c r="E156" t="s">
        <v>24</v>
      </c>
      <c r="F156" t="s">
        <v>12</v>
      </c>
      <c r="G156" t="s">
        <v>175</v>
      </c>
      <c r="H156" t="s">
        <v>212</v>
      </c>
      <c r="I156" t="s">
        <v>28</v>
      </c>
      <c r="J156" t="s">
        <v>287</v>
      </c>
      <c r="K156" s="2">
        <f>Sales_Export_2019_2020__2[[#This Row],[order_value_GBP]]-Sales_Export_2019_2020__2[[#This Row],[ cost ]]</f>
        <v>14693.220000000001</v>
      </c>
      <c r="L156" t="b">
        <f>COUNTIF(Sales_Export_2019_2020__2[order_id],Sales_Export_2019_2020__2[[#This Row],[order_id]])&gt;1</f>
        <v>0</v>
      </c>
      <c r="M156" t="str">
        <f t="shared" si="2"/>
        <v>£115,000 - £119,999</v>
      </c>
      <c r="N156" t="str" cm="1">
        <f t="array" ref="N15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56">
        <f>FLOOR(Sales_Export_2019_2020__2[[#This Row],[order_value_GBP]],5000)</f>
        <v>115000</v>
      </c>
    </row>
    <row r="157" spans="1:15" x14ac:dyDescent="0.35">
      <c r="A157" t="s">
        <v>10</v>
      </c>
      <c r="B157" s="2">
        <v>93996.68</v>
      </c>
      <c r="C157" s="2">
        <v>77171.27</v>
      </c>
      <c r="D157" s="1">
        <v>44114</v>
      </c>
      <c r="E157" t="s">
        <v>18</v>
      </c>
      <c r="F157" t="s">
        <v>58</v>
      </c>
      <c r="G157" t="s">
        <v>13</v>
      </c>
      <c r="H157" t="s">
        <v>82</v>
      </c>
      <c r="I157" t="s">
        <v>15</v>
      </c>
      <c r="J157" t="s">
        <v>288</v>
      </c>
      <c r="K157" s="2">
        <f>Sales_Export_2019_2020__2[[#This Row],[order_value_GBP]]-Sales_Export_2019_2020__2[[#This Row],[ cost ]]</f>
        <v>16825.409999999989</v>
      </c>
      <c r="L157" t="b">
        <f>COUNTIF(Sales_Export_2019_2020__2[order_id],Sales_Export_2019_2020__2[[#This Row],[order_id]])&gt;1</f>
        <v>0</v>
      </c>
      <c r="M157" t="str">
        <f t="shared" si="2"/>
        <v>£90,000 - £94,999</v>
      </c>
      <c r="N157" t="str" cm="1">
        <f t="array" ref="N15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57">
        <f>FLOOR(Sales_Export_2019_2020__2[[#This Row],[order_value_GBP]],5000)</f>
        <v>90000</v>
      </c>
    </row>
    <row r="158" spans="1:15" x14ac:dyDescent="0.35">
      <c r="A158" t="s">
        <v>45</v>
      </c>
      <c r="B158" s="2">
        <v>119769.22</v>
      </c>
      <c r="C158" s="2">
        <v>98234.71</v>
      </c>
      <c r="D158" s="1">
        <v>43841</v>
      </c>
      <c r="E158" t="s">
        <v>11</v>
      </c>
      <c r="F158" t="s">
        <v>180</v>
      </c>
      <c r="G158" t="s">
        <v>48</v>
      </c>
      <c r="H158" t="s">
        <v>74</v>
      </c>
      <c r="I158" t="s">
        <v>28</v>
      </c>
      <c r="J158" t="s">
        <v>289</v>
      </c>
      <c r="K158" s="2">
        <f>Sales_Export_2019_2020__2[[#This Row],[order_value_GBP]]-Sales_Export_2019_2020__2[[#This Row],[ cost ]]</f>
        <v>21534.509999999995</v>
      </c>
      <c r="L158" t="b">
        <f>COUNTIF(Sales_Export_2019_2020__2[order_id],Sales_Export_2019_2020__2[[#This Row],[order_id]])&gt;1</f>
        <v>0</v>
      </c>
      <c r="M158" t="str">
        <f t="shared" si="2"/>
        <v>£115,000 - £119,999</v>
      </c>
      <c r="N158" t="str" cm="1">
        <f t="array" ref="N15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58">
        <f>FLOOR(Sales_Export_2019_2020__2[[#This Row],[order_value_GBP]],5000)</f>
        <v>115000</v>
      </c>
    </row>
    <row r="159" spans="1:15" x14ac:dyDescent="0.35">
      <c r="A159" t="s">
        <v>53</v>
      </c>
      <c r="B159" s="2">
        <v>84194.21</v>
      </c>
      <c r="C159" s="2">
        <v>71885.02</v>
      </c>
      <c r="D159" s="1">
        <v>44191</v>
      </c>
      <c r="E159" t="s">
        <v>11</v>
      </c>
      <c r="F159" t="s">
        <v>178</v>
      </c>
      <c r="G159" t="s">
        <v>55</v>
      </c>
      <c r="H159" t="s">
        <v>144</v>
      </c>
      <c r="I159" t="s">
        <v>15</v>
      </c>
      <c r="J159" t="s">
        <v>290</v>
      </c>
      <c r="K159" s="2">
        <f>Sales_Export_2019_2020__2[[#This Row],[order_value_GBP]]-Sales_Export_2019_2020__2[[#This Row],[ cost ]]</f>
        <v>12309.190000000002</v>
      </c>
      <c r="L159" t="b">
        <f>COUNTIF(Sales_Export_2019_2020__2[order_id],Sales_Export_2019_2020__2[[#This Row],[order_id]])&gt;1</f>
        <v>0</v>
      </c>
      <c r="M159" t="str">
        <f t="shared" si="2"/>
        <v>£80,000 - £84,999</v>
      </c>
      <c r="N159" t="str" cm="1">
        <f t="array" ref="N15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59">
        <f>FLOOR(Sales_Export_2019_2020__2[[#This Row],[order_value_GBP]],5000)</f>
        <v>80000</v>
      </c>
    </row>
    <row r="160" spans="1:15" x14ac:dyDescent="0.35">
      <c r="A160" t="s">
        <v>17</v>
      </c>
      <c r="B160" s="2">
        <v>205582.75</v>
      </c>
      <c r="C160" s="2">
        <v>166748.17000000001</v>
      </c>
      <c r="D160" s="1">
        <v>44187</v>
      </c>
      <c r="E160" t="s">
        <v>30</v>
      </c>
      <c r="F160" t="s">
        <v>291</v>
      </c>
      <c r="G160" t="s">
        <v>20</v>
      </c>
      <c r="H160" t="s">
        <v>21</v>
      </c>
      <c r="I160" t="s">
        <v>28</v>
      </c>
      <c r="J160" t="s">
        <v>292</v>
      </c>
      <c r="K160" s="2">
        <f>Sales_Export_2019_2020__2[[#This Row],[order_value_GBP]]-Sales_Export_2019_2020__2[[#This Row],[ cost ]]</f>
        <v>38834.579999999987</v>
      </c>
      <c r="L160" t="b">
        <f>COUNTIF(Sales_Export_2019_2020__2[order_id],Sales_Export_2019_2020__2[[#This Row],[order_id]])&gt;1</f>
        <v>0</v>
      </c>
      <c r="M160" t="str">
        <f t="shared" si="2"/>
        <v>£205,000 - £209,999</v>
      </c>
      <c r="N160" t="str" cm="1">
        <f t="array" ref="N16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160">
        <f>FLOOR(Sales_Export_2019_2020__2[[#This Row],[order_value_GBP]],5000)</f>
        <v>205000</v>
      </c>
    </row>
    <row r="161" spans="1:15" x14ac:dyDescent="0.35">
      <c r="A161" t="s">
        <v>10</v>
      </c>
      <c r="B161" s="2">
        <v>159793.46</v>
      </c>
      <c r="C161" s="2">
        <v>139180.1</v>
      </c>
      <c r="D161" s="1">
        <v>43631</v>
      </c>
      <c r="E161" t="s">
        <v>60</v>
      </c>
      <c r="F161" t="s">
        <v>58</v>
      </c>
      <c r="G161" t="s">
        <v>13</v>
      </c>
      <c r="H161" t="s">
        <v>82</v>
      </c>
      <c r="I161" t="s">
        <v>38</v>
      </c>
      <c r="J161" t="s">
        <v>293</v>
      </c>
      <c r="K161" s="2">
        <f>Sales_Export_2019_2020__2[[#This Row],[order_value_GBP]]-Sales_Export_2019_2020__2[[#This Row],[ cost ]]</f>
        <v>20613.359999999986</v>
      </c>
      <c r="L161" t="b">
        <f>COUNTIF(Sales_Export_2019_2020__2[order_id],Sales_Export_2019_2020__2[[#This Row],[order_id]])&gt;1</f>
        <v>0</v>
      </c>
      <c r="M161" t="str">
        <f t="shared" si="2"/>
        <v>£155,000 - £159,999</v>
      </c>
      <c r="N161" t="str" cm="1">
        <f t="array" ref="N16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61">
        <f>FLOOR(Sales_Export_2019_2020__2[[#This Row],[order_value_GBP]],5000)</f>
        <v>155000</v>
      </c>
    </row>
    <row r="162" spans="1:15" x14ac:dyDescent="0.35">
      <c r="A162" t="s">
        <v>23</v>
      </c>
      <c r="B162" s="2">
        <v>104711.22</v>
      </c>
      <c r="C162" s="2">
        <v>90868.4</v>
      </c>
      <c r="D162" s="1">
        <v>44068</v>
      </c>
      <c r="E162" t="s">
        <v>24</v>
      </c>
      <c r="F162" t="s">
        <v>294</v>
      </c>
      <c r="G162" t="s">
        <v>26</v>
      </c>
      <c r="H162" t="s">
        <v>76</v>
      </c>
      <c r="I162" t="s">
        <v>28</v>
      </c>
      <c r="J162" t="s">
        <v>295</v>
      </c>
      <c r="K162" s="2">
        <f>Sales_Export_2019_2020__2[[#This Row],[order_value_GBP]]-Sales_Export_2019_2020__2[[#This Row],[ cost ]]</f>
        <v>13842.820000000007</v>
      </c>
      <c r="L162" t="b">
        <f>COUNTIF(Sales_Export_2019_2020__2[order_id],Sales_Export_2019_2020__2[[#This Row],[order_id]])&gt;1</f>
        <v>0</v>
      </c>
      <c r="M162" t="str">
        <f t="shared" si="2"/>
        <v>£100,000 - £104,999</v>
      </c>
      <c r="N162" t="str" cm="1">
        <f t="array" ref="N16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62">
        <f>FLOOR(Sales_Export_2019_2020__2[[#This Row],[order_value_GBP]],5000)</f>
        <v>100000</v>
      </c>
    </row>
    <row r="163" spans="1:15" x14ac:dyDescent="0.35">
      <c r="A163" t="s">
        <v>53</v>
      </c>
      <c r="B163" s="2">
        <v>69126.5</v>
      </c>
      <c r="C163" s="2">
        <v>55902.6</v>
      </c>
      <c r="D163" s="1">
        <v>43807</v>
      </c>
      <c r="E163" t="s">
        <v>80</v>
      </c>
      <c r="F163" t="s">
        <v>40</v>
      </c>
      <c r="G163" t="s">
        <v>55</v>
      </c>
      <c r="H163" t="s">
        <v>144</v>
      </c>
      <c r="I163" t="s">
        <v>28</v>
      </c>
      <c r="J163" t="s">
        <v>296</v>
      </c>
      <c r="K163" s="2">
        <f>Sales_Export_2019_2020__2[[#This Row],[order_value_GBP]]-Sales_Export_2019_2020__2[[#This Row],[ cost ]]</f>
        <v>13223.900000000001</v>
      </c>
      <c r="L163" t="b">
        <f>COUNTIF(Sales_Export_2019_2020__2[order_id],Sales_Export_2019_2020__2[[#This Row],[order_id]])&gt;1</f>
        <v>0</v>
      </c>
      <c r="M163" t="str">
        <f t="shared" si="2"/>
        <v>£65,000 - £69,999</v>
      </c>
      <c r="N163" t="str" cm="1">
        <f t="array" ref="N16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63">
        <f>FLOOR(Sales_Export_2019_2020__2[[#This Row],[order_value_GBP]],5000)</f>
        <v>65000</v>
      </c>
    </row>
    <row r="164" spans="1:15" x14ac:dyDescent="0.35">
      <c r="A164" t="s">
        <v>10</v>
      </c>
      <c r="B164" s="2">
        <v>20226.11</v>
      </c>
      <c r="C164" s="2">
        <v>17408.61</v>
      </c>
      <c r="D164" s="1">
        <v>43519</v>
      </c>
      <c r="E164" t="s">
        <v>80</v>
      </c>
      <c r="F164" t="s">
        <v>25</v>
      </c>
      <c r="G164" t="s">
        <v>13</v>
      </c>
      <c r="H164" t="s">
        <v>118</v>
      </c>
      <c r="I164" t="s">
        <v>28</v>
      </c>
      <c r="J164" t="s">
        <v>297</v>
      </c>
      <c r="K164" s="2">
        <f>Sales_Export_2019_2020__2[[#This Row],[order_value_GBP]]-Sales_Export_2019_2020__2[[#This Row],[ cost ]]</f>
        <v>2817.5</v>
      </c>
      <c r="L164" t="b">
        <f>COUNTIF(Sales_Export_2019_2020__2[order_id],Sales_Export_2019_2020__2[[#This Row],[order_id]])&gt;1</f>
        <v>0</v>
      </c>
      <c r="M164" t="str">
        <f t="shared" si="2"/>
        <v>£20,000 - £24,999</v>
      </c>
      <c r="N164" t="str" cm="1">
        <f t="array" ref="N16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64">
        <f>FLOOR(Sales_Export_2019_2020__2[[#This Row],[order_value_GBP]],5000)</f>
        <v>20000</v>
      </c>
    </row>
    <row r="165" spans="1:15" x14ac:dyDescent="0.35">
      <c r="A165" t="s">
        <v>53</v>
      </c>
      <c r="B165" s="2">
        <v>65036.81</v>
      </c>
      <c r="C165" s="2">
        <v>52361.14</v>
      </c>
      <c r="D165" s="1">
        <v>43615</v>
      </c>
      <c r="E165" t="s">
        <v>139</v>
      </c>
      <c r="F165" t="s">
        <v>110</v>
      </c>
      <c r="G165" t="s">
        <v>55</v>
      </c>
      <c r="H165" t="s">
        <v>72</v>
      </c>
      <c r="I165" t="s">
        <v>28</v>
      </c>
      <c r="J165" t="s">
        <v>298</v>
      </c>
      <c r="K165" s="2">
        <f>Sales_Export_2019_2020__2[[#This Row],[order_value_GBP]]-Sales_Export_2019_2020__2[[#This Row],[ cost ]]</f>
        <v>12675.669999999998</v>
      </c>
      <c r="L165" t="b">
        <f>COUNTIF(Sales_Export_2019_2020__2[order_id],Sales_Export_2019_2020__2[[#This Row],[order_id]])&gt;1</f>
        <v>0</v>
      </c>
      <c r="M165" t="str">
        <f t="shared" si="2"/>
        <v>£65,000 - £69,999</v>
      </c>
      <c r="N165" t="str" cm="1">
        <f t="array" ref="N16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65">
        <f>FLOOR(Sales_Export_2019_2020__2[[#This Row],[order_value_GBP]],5000)</f>
        <v>65000</v>
      </c>
    </row>
    <row r="166" spans="1:15" x14ac:dyDescent="0.35">
      <c r="A166" t="s">
        <v>53</v>
      </c>
      <c r="B166" s="2">
        <v>254021.98</v>
      </c>
      <c r="C166" s="2">
        <v>205605.39</v>
      </c>
      <c r="D166" s="1">
        <v>43649</v>
      </c>
      <c r="E166" t="s">
        <v>24</v>
      </c>
      <c r="F166" t="s">
        <v>182</v>
      </c>
      <c r="G166" t="s">
        <v>55</v>
      </c>
      <c r="H166" t="s">
        <v>56</v>
      </c>
      <c r="I166" t="s">
        <v>28</v>
      </c>
      <c r="J166" t="s">
        <v>299</v>
      </c>
      <c r="K166" s="2">
        <f>Sales_Export_2019_2020__2[[#This Row],[order_value_GBP]]-Sales_Export_2019_2020__2[[#This Row],[ cost ]]</f>
        <v>48416.59</v>
      </c>
      <c r="L166" t="b">
        <f>COUNTIF(Sales_Export_2019_2020__2[order_id],Sales_Export_2019_2020__2[[#This Row],[order_id]])&gt;1</f>
        <v>0</v>
      </c>
      <c r="M166" t="str">
        <f t="shared" si="2"/>
        <v>£250,000 - £254,999</v>
      </c>
      <c r="N166" t="str" cm="1">
        <f t="array" ref="N16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166">
        <f>FLOOR(Sales_Export_2019_2020__2[[#This Row],[order_value_GBP]],5000)</f>
        <v>250000</v>
      </c>
    </row>
    <row r="167" spans="1:15" x14ac:dyDescent="0.35">
      <c r="A167" t="s">
        <v>106</v>
      </c>
      <c r="B167" s="2">
        <v>160185.99</v>
      </c>
      <c r="C167" s="2">
        <v>130487.51</v>
      </c>
      <c r="D167" s="1">
        <v>44101</v>
      </c>
      <c r="E167" t="s">
        <v>46</v>
      </c>
      <c r="F167" t="s">
        <v>178</v>
      </c>
      <c r="G167" t="s">
        <v>107</v>
      </c>
      <c r="H167" t="s">
        <v>108</v>
      </c>
      <c r="I167" t="s">
        <v>28</v>
      </c>
      <c r="J167" t="s">
        <v>300</v>
      </c>
      <c r="K167" s="2">
        <f>Sales_Export_2019_2020__2[[#This Row],[order_value_GBP]]-Sales_Export_2019_2020__2[[#This Row],[ cost ]]</f>
        <v>29698.479999999996</v>
      </c>
      <c r="L167" t="b">
        <f>COUNTIF(Sales_Export_2019_2020__2[order_id],Sales_Export_2019_2020__2[[#This Row],[order_id]])&gt;1</f>
        <v>0</v>
      </c>
      <c r="M167" t="str">
        <f t="shared" si="2"/>
        <v>£160,000 - £164,999</v>
      </c>
      <c r="N167" t="str" cm="1">
        <f t="array" ref="N16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67">
        <f>FLOOR(Sales_Export_2019_2020__2[[#This Row],[order_value_GBP]],5000)</f>
        <v>160000</v>
      </c>
    </row>
    <row r="168" spans="1:15" x14ac:dyDescent="0.35">
      <c r="A168" t="s">
        <v>45</v>
      </c>
      <c r="B168" s="2">
        <v>81219.67</v>
      </c>
      <c r="C168" s="2">
        <v>70319.990000000005</v>
      </c>
      <c r="D168" s="1">
        <v>43971</v>
      </c>
      <c r="E168" t="s">
        <v>24</v>
      </c>
      <c r="F168" t="s">
        <v>31</v>
      </c>
      <c r="G168" t="s">
        <v>48</v>
      </c>
      <c r="H168" t="s">
        <v>66</v>
      </c>
      <c r="I168" t="s">
        <v>28</v>
      </c>
      <c r="J168" t="s">
        <v>301</v>
      </c>
      <c r="K168" s="2">
        <f>Sales_Export_2019_2020__2[[#This Row],[order_value_GBP]]-Sales_Export_2019_2020__2[[#This Row],[ cost ]]</f>
        <v>10899.679999999993</v>
      </c>
      <c r="L168" t="b">
        <f>COUNTIF(Sales_Export_2019_2020__2[order_id],Sales_Export_2019_2020__2[[#This Row],[order_id]])&gt;1</f>
        <v>0</v>
      </c>
      <c r="M168" t="str">
        <f t="shared" si="2"/>
        <v>£80,000 - £84,999</v>
      </c>
      <c r="N168" t="str" cm="1">
        <f t="array" ref="N16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68">
        <f>FLOOR(Sales_Export_2019_2020__2[[#This Row],[order_value_GBP]],5000)</f>
        <v>80000</v>
      </c>
    </row>
    <row r="169" spans="1:15" x14ac:dyDescent="0.35">
      <c r="A169" t="s">
        <v>23</v>
      </c>
      <c r="B169" s="2">
        <v>108412.76</v>
      </c>
      <c r="C169" s="2">
        <v>88594.91</v>
      </c>
      <c r="D169" s="1">
        <v>43680</v>
      </c>
      <c r="E169" t="s">
        <v>60</v>
      </c>
      <c r="F169" t="s">
        <v>302</v>
      </c>
      <c r="G169" t="s">
        <v>26</v>
      </c>
      <c r="H169" t="s">
        <v>76</v>
      </c>
      <c r="I169" t="s">
        <v>15</v>
      </c>
      <c r="J169" t="s">
        <v>303</v>
      </c>
      <c r="K169" s="2">
        <f>Sales_Export_2019_2020__2[[#This Row],[order_value_GBP]]-Sales_Export_2019_2020__2[[#This Row],[ cost ]]</f>
        <v>19817.849999999991</v>
      </c>
      <c r="L169" t="b">
        <f>COUNTIF(Sales_Export_2019_2020__2[order_id],Sales_Export_2019_2020__2[[#This Row],[order_id]])&gt;1</f>
        <v>0</v>
      </c>
      <c r="M169" t="str">
        <f t="shared" si="2"/>
        <v>£105,000 - £109,999</v>
      </c>
      <c r="N169" t="str" cm="1">
        <f t="array" ref="N16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69">
        <f>FLOOR(Sales_Export_2019_2020__2[[#This Row],[order_value_GBP]],5000)</f>
        <v>105000</v>
      </c>
    </row>
    <row r="170" spans="1:15" x14ac:dyDescent="0.35">
      <c r="A170" t="s">
        <v>34</v>
      </c>
      <c r="B170" s="2">
        <v>42028.45</v>
      </c>
      <c r="C170" s="2">
        <v>36299.97</v>
      </c>
      <c r="D170" s="1">
        <v>43891</v>
      </c>
      <c r="E170" t="s">
        <v>139</v>
      </c>
      <c r="F170" t="s">
        <v>31</v>
      </c>
      <c r="G170" t="s">
        <v>36</v>
      </c>
      <c r="H170" t="s">
        <v>41</v>
      </c>
      <c r="I170" t="s">
        <v>28</v>
      </c>
      <c r="J170" t="s">
        <v>304</v>
      </c>
      <c r="K170" s="2">
        <f>Sales_Export_2019_2020__2[[#This Row],[order_value_GBP]]-Sales_Export_2019_2020__2[[#This Row],[ cost ]]</f>
        <v>5728.4799999999959</v>
      </c>
      <c r="L170" t="b">
        <f>COUNTIF(Sales_Export_2019_2020__2[order_id],Sales_Export_2019_2020__2[[#This Row],[order_id]])&gt;1</f>
        <v>0</v>
      </c>
      <c r="M170" t="str">
        <f t="shared" si="2"/>
        <v>£40,000 - £44,999</v>
      </c>
      <c r="N170" t="str" cm="1">
        <f t="array" ref="N17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70">
        <f>FLOOR(Sales_Export_2019_2020__2[[#This Row],[order_value_GBP]],5000)</f>
        <v>40000</v>
      </c>
    </row>
    <row r="171" spans="1:15" x14ac:dyDescent="0.35">
      <c r="A171" t="s">
        <v>10</v>
      </c>
      <c r="B171" s="2">
        <v>62272.959999999999</v>
      </c>
      <c r="C171" s="2">
        <v>54600.93</v>
      </c>
      <c r="D171" s="1">
        <v>43516</v>
      </c>
      <c r="E171" t="s">
        <v>30</v>
      </c>
      <c r="F171" t="s">
        <v>302</v>
      </c>
      <c r="G171" t="s">
        <v>13</v>
      </c>
      <c r="H171" t="s">
        <v>118</v>
      </c>
      <c r="I171" t="s">
        <v>28</v>
      </c>
      <c r="J171" t="s">
        <v>305</v>
      </c>
      <c r="K171" s="2">
        <f>Sales_Export_2019_2020__2[[#This Row],[order_value_GBP]]-Sales_Export_2019_2020__2[[#This Row],[ cost ]]</f>
        <v>7672.0299999999988</v>
      </c>
      <c r="L171" t="b">
        <f>COUNTIF(Sales_Export_2019_2020__2[order_id],Sales_Export_2019_2020__2[[#This Row],[order_id]])&gt;1</f>
        <v>0</v>
      </c>
      <c r="M171" t="str">
        <f t="shared" si="2"/>
        <v>£60,000 - £64,999</v>
      </c>
      <c r="N171" t="str" cm="1">
        <f t="array" ref="N17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71">
        <f>FLOOR(Sales_Export_2019_2020__2[[#This Row],[order_value_GBP]],5000)</f>
        <v>60000</v>
      </c>
    </row>
    <row r="172" spans="1:15" x14ac:dyDescent="0.35">
      <c r="A172" t="s">
        <v>10</v>
      </c>
      <c r="B172" s="2">
        <v>91350.76</v>
      </c>
      <c r="C172" s="2">
        <v>75839.399999999994</v>
      </c>
      <c r="D172" s="1">
        <v>43500</v>
      </c>
      <c r="E172" t="s">
        <v>18</v>
      </c>
      <c r="F172" t="s">
        <v>68</v>
      </c>
      <c r="G172" t="s">
        <v>13</v>
      </c>
      <c r="H172" t="s">
        <v>82</v>
      </c>
      <c r="I172" t="s">
        <v>28</v>
      </c>
      <c r="J172" t="s">
        <v>306</v>
      </c>
      <c r="K172" s="2">
        <f>Sales_Export_2019_2020__2[[#This Row],[order_value_GBP]]-Sales_Export_2019_2020__2[[#This Row],[ cost ]]</f>
        <v>15511.36</v>
      </c>
      <c r="L172" t="b">
        <f>COUNTIF(Sales_Export_2019_2020__2[order_id],Sales_Export_2019_2020__2[[#This Row],[order_id]])&gt;1</f>
        <v>0</v>
      </c>
      <c r="M172" t="str">
        <f t="shared" si="2"/>
        <v>£90,000 - £94,999</v>
      </c>
      <c r="N172" t="str" cm="1">
        <f t="array" ref="N17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72">
        <f>FLOOR(Sales_Export_2019_2020__2[[#This Row],[order_value_GBP]],5000)</f>
        <v>90000</v>
      </c>
    </row>
    <row r="173" spans="1:15" x14ac:dyDescent="0.35">
      <c r="A173" t="s">
        <v>45</v>
      </c>
      <c r="B173" s="2">
        <v>123272.44</v>
      </c>
      <c r="C173" s="2">
        <v>101576.49</v>
      </c>
      <c r="D173" s="1">
        <v>43485</v>
      </c>
      <c r="E173" t="s">
        <v>24</v>
      </c>
      <c r="F173" t="s">
        <v>158</v>
      </c>
      <c r="G173" t="s">
        <v>48</v>
      </c>
      <c r="H173" t="s">
        <v>66</v>
      </c>
      <c r="I173" t="s">
        <v>38</v>
      </c>
      <c r="J173" t="s">
        <v>307</v>
      </c>
      <c r="K173" s="2">
        <f>Sales_Export_2019_2020__2[[#This Row],[order_value_GBP]]-Sales_Export_2019_2020__2[[#This Row],[ cost ]]</f>
        <v>21695.949999999997</v>
      </c>
      <c r="L173" t="b">
        <f>COUNTIF(Sales_Export_2019_2020__2[order_id],Sales_Export_2019_2020__2[[#This Row],[order_id]])&gt;1</f>
        <v>0</v>
      </c>
      <c r="M173" t="str">
        <f t="shared" si="2"/>
        <v>£120,000 - £124,999</v>
      </c>
      <c r="N173" t="str" cm="1">
        <f t="array" ref="N17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73">
        <f>FLOOR(Sales_Export_2019_2020__2[[#This Row],[order_value_GBP]],5000)</f>
        <v>120000</v>
      </c>
    </row>
    <row r="174" spans="1:15" x14ac:dyDescent="0.35">
      <c r="A174" t="s">
        <v>106</v>
      </c>
      <c r="B174" s="2">
        <v>182852.21</v>
      </c>
      <c r="C174" s="2">
        <v>145440.65</v>
      </c>
      <c r="D174" s="1">
        <v>43827</v>
      </c>
      <c r="E174" t="s">
        <v>62</v>
      </c>
      <c r="F174" t="s">
        <v>35</v>
      </c>
      <c r="G174" t="s">
        <v>107</v>
      </c>
      <c r="H174" t="s">
        <v>108</v>
      </c>
      <c r="I174" t="s">
        <v>28</v>
      </c>
      <c r="J174" t="s">
        <v>308</v>
      </c>
      <c r="K174" s="2">
        <f>Sales_Export_2019_2020__2[[#This Row],[order_value_GBP]]-Sales_Export_2019_2020__2[[#This Row],[ cost ]]</f>
        <v>37411.56</v>
      </c>
      <c r="L174" t="b">
        <f>COUNTIF(Sales_Export_2019_2020__2[order_id],Sales_Export_2019_2020__2[[#This Row],[order_id]])&gt;1</f>
        <v>0</v>
      </c>
      <c r="M174" t="str">
        <f t="shared" si="2"/>
        <v>£180,000 - £184,999</v>
      </c>
      <c r="N174" t="str" cm="1">
        <f t="array" ref="N17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174">
        <f>FLOOR(Sales_Export_2019_2020__2[[#This Row],[order_value_GBP]],5000)</f>
        <v>180000</v>
      </c>
    </row>
    <row r="175" spans="1:15" x14ac:dyDescent="0.35">
      <c r="A175" t="s">
        <v>23</v>
      </c>
      <c r="B175" s="2">
        <v>118321.11</v>
      </c>
      <c r="C175" s="2">
        <v>94822.54</v>
      </c>
      <c r="D175" s="1">
        <v>44158</v>
      </c>
      <c r="E175" t="s">
        <v>80</v>
      </c>
      <c r="F175" t="s">
        <v>68</v>
      </c>
      <c r="G175" t="s">
        <v>26</v>
      </c>
      <c r="H175" t="s">
        <v>32</v>
      </c>
      <c r="I175" t="s">
        <v>38</v>
      </c>
      <c r="J175" t="s">
        <v>309</v>
      </c>
      <c r="K175" s="2">
        <f>Sales_Export_2019_2020__2[[#This Row],[order_value_GBP]]-Sales_Export_2019_2020__2[[#This Row],[ cost ]]</f>
        <v>23498.570000000007</v>
      </c>
      <c r="L175" t="b">
        <f>COUNTIF(Sales_Export_2019_2020__2[order_id],Sales_Export_2019_2020__2[[#This Row],[order_id]])&gt;1</f>
        <v>0</v>
      </c>
      <c r="M175" t="str">
        <f t="shared" si="2"/>
        <v>£115,000 - £119,999</v>
      </c>
      <c r="N175" t="str" cm="1">
        <f t="array" ref="N17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75">
        <f>FLOOR(Sales_Export_2019_2020__2[[#This Row],[order_value_GBP]],5000)</f>
        <v>115000</v>
      </c>
    </row>
    <row r="176" spans="1:15" x14ac:dyDescent="0.35">
      <c r="A176" t="s">
        <v>45</v>
      </c>
      <c r="B176" s="2">
        <v>74295.81</v>
      </c>
      <c r="C176" s="2">
        <v>63716.09</v>
      </c>
      <c r="D176" s="1">
        <v>43566</v>
      </c>
      <c r="E176" t="s">
        <v>18</v>
      </c>
      <c r="F176" t="s">
        <v>116</v>
      </c>
      <c r="G176" t="s">
        <v>48</v>
      </c>
      <c r="H176" t="s">
        <v>66</v>
      </c>
      <c r="I176" t="s">
        <v>28</v>
      </c>
      <c r="J176" t="s">
        <v>310</v>
      </c>
      <c r="K176" s="2">
        <f>Sales_Export_2019_2020__2[[#This Row],[order_value_GBP]]-Sales_Export_2019_2020__2[[#This Row],[ cost ]]</f>
        <v>10579.720000000001</v>
      </c>
      <c r="L176" t="b">
        <f>COUNTIF(Sales_Export_2019_2020__2[order_id],Sales_Export_2019_2020__2[[#This Row],[order_id]])&gt;1</f>
        <v>0</v>
      </c>
      <c r="M176" t="str">
        <f t="shared" si="2"/>
        <v>£70,000 - £74,999</v>
      </c>
      <c r="N176" t="str" cm="1">
        <f t="array" ref="N17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76">
        <f>FLOOR(Sales_Export_2019_2020__2[[#This Row],[order_value_GBP]],5000)</f>
        <v>70000</v>
      </c>
    </row>
    <row r="177" spans="1:15" x14ac:dyDescent="0.35">
      <c r="A177" t="s">
        <v>45</v>
      </c>
      <c r="B177" s="2">
        <v>152865.34</v>
      </c>
      <c r="C177" s="2">
        <v>121130.5</v>
      </c>
      <c r="D177" s="1">
        <v>44171</v>
      </c>
      <c r="E177" t="s">
        <v>24</v>
      </c>
      <c r="F177" t="s">
        <v>311</v>
      </c>
      <c r="G177" t="s">
        <v>48</v>
      </c>
      <c r="H177" t="s">
        <v>66</v>
      </c>
      <c r="I177" t="s">
        <v>28</v>
      </c>
      <c r="J177" t="s">
        <v>312</v>
      </c>
      <c r="K177" s="2">
        <f>Sales_Export_2019_2020__2[[#This Row],[order_value_GBP]]-Sales_Export_2019_2020__2[[#This Row],[ cost ]]</f>
        <v>31734.839999999997</v>
      </c>
      <c r="L177" t="b">
        <f>COUNTIF(Sales_Export_2019_2020__2[order_id],Sales_Export_2019_2020__2[[#This Row],[order_id]])&gt;1</f>
        <v>0</v>
      </c>
      <c r="M177" t="str">
        <f t="shared" si="2"/>
        <v>£150,000 - £154,999</v>
      </c>
      <c r="N177" t="str" cm="1">
        <f t="array" ref="N17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77">
        <f>FLOOR(Sales_Export_2019_2020__2[[#This Row],[order_value_GBP]],5000)</f>
        <v>150000</v>
      </c>
    </row>
    <row r="178" spans="1:15" x14ac:dyDescent="0.35">
      <c r="A178" t="s">
        <v>53</v>
      </c>
      <c r="B178" s="2">
        <v>171458.64</v>
      </c>
      <c r="C178" s="2">
        <v>148877.54</v>
      </c>
      <c r="D178" s="1">
        <v>43693</v>
      </c>
      <c r="E178" t="s">
        <v>11</v>
      </c>
      <c r="F178" t="s">
        <v>148</v>
      </c>
      <c r="G178" t="s">
        <v>55</v>
      </c>
      <c r="H178" t="s">
        <v>128</v>
      </c>
      <c r="I178" t="s">
        <v>28</v>
      </c>
      <c r="J178" t="s">
        <v>313</v>
      </c>
      <c r="K178" s="2">
        <f>Sales_Export_2019_2020__2[[#This Row],[order_value_GBP]]-Sales_Export_2019_2020__2[[#This Row],[ cost ]]</f>
        <v>22581.100000000006</v>
      </c>
      <c r="L178" t="b">
        <f>COUNTIF(Sales_Export_2019_2020__2[order_id],Sales_Export_2019_2020__2[[#This Row],[order_id]])&gt;1</f>
        <v>0</v>
      </c>
      <c r="M178" t="str">
        <f t="shared" si="2"/>
        <v>£170,000 - £174,999</v>
      </c>
      <c r="N178" t="str" cm="1">
        <f t="array" ref="N17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78">
        <f>FLOOR(Sales_Export_2019_2020__2[[#This Row],[order_value_GBP]],5000)</f>
        <v>170000</v>
      </c>
    </row>
    <row r="179" spans="1:15" x14ac:dyDescent="0.35">
      <c r="A179" t="s">
        <v>45</v>
      </c>
      <c r="B179" s="2">
        <v>156177.76999999999</v>
      </c>
      <c r="C179" s="2">
        <v>130096.08</v>
      </c>
      <c r="D179" s="1">
        <v>43823</v>
      </c>
      <c r="E179" t="s">
        <v>24</v>
      </c>
      <c r="F179" t="s">
        <v>35</v>
      </c>
      <c r="G179" t="s">
        <v>48</v>
      </c>
      <c r="H179" t="s">
        <v>49</v>
      </c>
      <c r="I179" t="s">
        <v>28</v>
      </c>
      <c r="J179" t="s">
        <v>314</v>
      </c>
      <c r="K179" s="2">
        <f>Sales_Export_2019_2020__2[[#This Row],[order_value_GBP]]-Sales_Export_2019_2020__2[[#This Row],[ cost ]]</f>
        <v>26081.689999999988</v>
      </c>
      <c r="L179" t="b">
        <f>COUNTIF(Sales_Export_2019_2020__2[order_id],Sales_Export_2019_2020__2[[#This Row],[order_id]])&gt;1</f>
        <v>0</v>
      </c>
      <c r="M179" t="str">
        <f t="shared" si="2"/>
        <v>£155,000 - £159,999</v>
      </c>
      <c r="N179" t="str" cm="1">
        <f t="array" ref="N17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79">
        <f>FLOOR(Sales_Export_2019_2020__2[[#This Row],[order_value_GBP]],5000)</f>
        <v>155000</v>
      </c>
    </row>
    <row r="180" spans="1:15" x14ac:dyDescent="0.35">
      <c r="A180" t="s">
        <v>23</v>
      </c>
      <c r="B180" s="2">
        <v>116023.51</v>
      </c>
      <c r="C180" s="2">
        <v>96566.37</v>
      </c>
      <c r="D180" s="1">
        <v>43984</v>
      </c>
      <c r="E180" t="s">
        <v>60</v>
      </c>
      <c r="F180" t="s">
        <v>68</v>
      </c>
      <c r="G180" t="s">
        <v>26</v>
      </c>
      <c r="H180" t="s">
        <v>27</v>
      </c>
      <c r="I180" t="s">
        <v>28</v>
      </c>
      <c r="J180" t="s">
        <v>315</v>
      </c>
      <c r="K180" s="2">
        <f>Sales_Export_2019_2020__2[[#This Row],[order_value_GBP]]-Sales_Export_2019_2020__2[[#This Row],[ cost ]]</f>
        <v>19457.14</v>
      </c>
      <c r="L180" t="b">
        <f>COUNTIF(Sales_Export_2019_2020__2[order_id],Sales_Export_2019_2020__2[[#This Row],[order_id]])&gt;1</f>
        <v>0</v>
      </c>
      <c r="M180" t="str">
        <f t="shared" si="2"/>
        <v>£115,000 - £119,999</v>
      </c>
      <c r="N180" t="str" cm="1">
        <f t="array" ref="N18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80">
        <f>FLOOR(Sales_Export_2019_2020__2[[#This Row],[order_value_GBP]],5000)</f>
        <v>115000</v>
      </c>
    </row>
    <row r="181" spans="1:15" x14ac:dyDescent="0.35">
      <c r="A181" t="s">
        <v>53</v>
      </c>
      <c r="B181" s="2">
        <v>70657.259999999995</v>
      </c>
      <c r="C181" s="2">
        <v>61330.5</v>
      </c>
      <c r="D181" s="1">
        <v>44079</v>
      </c>
      <c r="E181" t="s">
        <v>139</v>
      </c>
      <c r="F181" t="s">
        <v>71</v>
      </c>
      <c r="G181" t="s">
        <v>55</v>
      </c>
      <c r="H181" t="s">
        <v>56</v>
      </c>
      <c r="I181" t="s">
        <v>28</v>
      </c>
      <c r="J181" t="s">
        <v>316</v>
      </c>
      <c r="K181" s="2">
        <f>Sales_Export_2019_2020__2[[#This Row],[order_value_GBP]]-Sales_Export_2019_2020__2[[#This Row],[ cost ]]</f>
        <v>9326.7599999999948</v>
      </c>
      <c r="L181" t="b">
        <f>COUNTIF(Sales_Export_2019_2020__2[order_id],Sales_Export_2019_2020__2[[#This Row],[order_id]])&gt;1</f>
        <v>0</v>
      </c>
      <c r="M181" t="str">
        <f t="shared" si="2"/>
        <v>£70,000 - £74,999</v>
      </c>
      <c r="N181" t="str" cm="1">
        <f t="array" ref="N18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81">
        <f>FLOOR(Sales_Export_2019_2020__2[[#This Row],[order_value_GBP]],5000)</f>
        <v>70000</v>
      </c>
    </row>
    <row r="182" spans="1:15" x14ac:dyDescent="0.35">
      <c r="A182" t="s">
        <v>84</v>
      </c>
      <c r="B182" s="2">
        <v>104152.15</v>
      </c>
      <c r="C182" s="2">
        <v>85696.39</v>
      </c>
      <c r="D182" s="1">
        <v>43591</v>
      </c>
      <c r="E182" t="s">
        <v>60</v>
      </c>
      <c r="F182" t="s">
        <v>58</v>
      </c>
      <c r="G182" t="s">
        <v>85</v>
      </c>
      <c r="H182" t="s">
        <v>86</v>
      </c>
      <c r="I182" t="s">
        <v>15</v>
      </c>
      <c r="J182" t="s">
        <v>317</v>
      </c>
      <c r="K182" s="2">
        <f>Sales_Export_2019_2020__2[[#This Row],[order_value_GBP]]-Sales_Export_2019_2020__2[[#This Row],[ cost ]]</f>
        <v>18455.759999999995</v>
      </c>
      <c r="L182" t="b">
        <f>COUNTIF(Sales_Export_2019_2020__2[order_id],Sales_Export_2019_2020__2[[#This Row],[order_id]])&gt;1</f>
        <v>0</v>
      </c>
      <c r="M182" t="str">
        <f t="shared" si="2"/>
        <v>£100,000 - £104,999</v>
      </c>
      <c r="N182" t="str" cm="1">
        <f t="array" ref="N18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82">
        <f>FLOOR(Sales_Export_2019_2020__2[[#This Row],[order_value_GBP]],5000)</f>
        <v>100000</v>
      </c>
    </row>
    <row r="183" spans="1:15" x14ac:dyDescent="0.35">
      <c r="A183" t="s">
        <v>23</v>
      </c>
      <c r="B183" s="2">
        <v>84224.98</v>
      </c>
      <c r="C183" s="2">
        <v>68239.08</v>
      </c>
      <c r="D183" s="1">
        <v>43486</v>
      </c>
      <c r="E183" t="s">
        <v>51</v>
      </c>
      <c r="F183" t="s">
        <v>31</v>
      </c>
      <c r="G183" t="s">
        <v>26</v>
      </c>
      <c r="H183" t="s">
        <v>32</v>
      </c>
      <c r="I183" t="s">
        <v>15</v>
      </c>
      <c r="J183" t="s">
        <v>318</v>
      </c>
      <c r="K183" s="2">
        <f>Sales_Export_2019_2020__2[[#This Row],[order_value_GBP]]-Sales_Export_2019_2020__2[[#This Row],[ cost ]]</f>
        <v>15985.899999999994</v>
      </c>
      <c r="L183" t="b">
        <f>COUNTIF(Sales_Export_2019_2020__2[order_id],Sales_Export_2019_2020__2[[#This Row],[order_id]])&gt;1</f>
        <v>0</v>
      </c>
      <c r="M183" t="str">
        <f t="shared" si="2"/>
        <v>£80,000 - £84,999</v>
      </c>
      <c r="N183" t="str" cm="1">
        <f t="array" ref="N18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83">
        <f>FLOOR(Sales_Export_2019_2020__2[[#This Row],[order_value_GBP]],5000)</f>
        <v>80000</v>
      </c>
    </row>
    <row r="184" spans="1:15" x14ac:dyDescent="0.35">
      <c r="A184" t="s">
        <v>23</v>
      </c>
      <c r="B184" s="2">
        <v>172505.24</v>
      </c>
      <c r="C184" s="2">
        <v>139125.48000000001</v>
      </c>
      <c r="D184" s="1">
        <v>44106</v>
      </c>
      <c r="E184" t="s">
        <v>46</v>
      </c>
      <c r="F184" t="s">
        <v>302</v>
      </c>
      <c r="G184" t="s">
        <v>26</v>
      </c>
      <c r="H184" t="s">
        <v>219</v>
      </c>
      <c r="I184" t="s">
        <v>28</v>
      </c>
      <c r="J184" t="s">
        <v>319</v>
      </c>
      <c r="K184" s="2">
        <f>Sales_Export_2019_2020__2[[#This Row],[order_value_GBP]]-Sales_Export_2019_2020__2[[#This Row],[ cost ]]</f>
        <v>33379.75999999998</v>
      </c>
      <c r="L184" t="b">
        <f>COUNTIF(Sales_Export_2019_2020__2[order_id],Sales_Export_2019_2020__2[[#This Row],[order_id]])&gt;1</f>
        <v>0</v>
      </c>
      <c r="M184" t="str">
        <f t="shared" si="2"/>
        <v>£170,000 - £174,999</v>
      </c>
      <c r="N184" t="str" cm="1">
        <f t="array" ref="N18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84">
        <f>FLOOR(Sales_Export_2019_2020__2[[#This Row],[order_value_GBP]],5000)</f>
        <v>170000</v>
      </c>
    </row>
    <row r="185" spans="1:15" x14ac:dyDescent="0.35">
      <c r="A185" t="s">
        <v>23</v>
      </c>
      <c r="B185" s="2">
        <v>89830.34</v>
      </c>
      <c r="C185" s="2">
        <v>76795.960000000006</v>
      </c>
      <c r="D185" s="1">
        <v>43574</v>
      </c>
      <c r="E185" t="s">
        <v>18</v>
      </c>
      <c r="F185" t="s">
        <v>35</v>
      </c>
      <c r="G185" t="s">
        <v>26</v>
      </c>
      <c r="H185" t="s">
        <v>32</v>
      </c>
      <c r="I185" t="s">
        <v>38</v>
      </c>
      <c r="J185" t="s">
        <v>320</v>
      </c>
      <c r="K185" s="2">
        <f>Sales_Export_2019_2020__2[[#This Row],[order_value_GBP]]-Sales_Export_2019_2020__2[[#This Row],[ cost ]]</f>
        <v>13034.37999999999</v>
      </c>
      <c r="L185" t="b">
        <f>COUNTIF(Sales_Export_2019_2020__2[order_id],Sales_Export_2019_2020__2[[#This Row],[order_id]])&gt;1</f>
        <v>0</v>
      </c>
      <c r="M185" t="str">
        <f t="shared" si="2"/>
        <v>£85,000 - £89,999</v>
      </c>
      <c r="N185" t="str" cm="1">
        <f t="array" ref="N18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85">
        <f>FLOOR(Sales_Export_2019_2020__2[[#This Row],[order_value_GBP]],5000)</f>
        <v>85000</v>
      </c>
    </row>
    <row r="186" spans="1:15" x14ac:dyDescent="0.35">
      <c r="A186" t="s">
        <v>84</v>
      </c>
      <c r="B186" s="2">
        <v>353925.06</v>
      </c>
      <c r="C186" s="2">
        <v>287528.71999999997</v>
      </c>
      <c r="D186" s="1">
        <v>44169</v>
      </c>
      <c r="E186" t="s">
        <v>24</v>
      </c>
      <c r="F186" t="s">
        <v>254</v>
      </c>
      <c r="G186" t="s">
        <v>85</v>
      </c>
      <c r="H186" t="s">
        <v>86</v>
      </c>
      <c r="I186" t="s">
        <v>28</v>
      </c>
      <c r="J186" t="s">
        <v>321</v>
      </c>
      <c r="K186" s="2">
        <f>Sales_Export_2019_2020__2[[#This Row],[order_value_GBP]]-Sales_Export_2019_2020__2[[#This Row],[ cost ]]</f>
        <v>66396.340000000026</v>
      </c>
      <c r="L186" t="b">
        <f>COUNTIF(Sales_Export_2019_2020__2[order_id],Sales_Export_2019_2020__2[[#This Row],[order_id]])&gt;1</f>
        <v>0</v>
      </c>
      <c r="M186" t="str">
        <f t="shared" si="2"/>
        <v>£350,000 - £354,999</v>
      </c>
      <c r="N186" t="str" cm="1">
        <f t="array" ref="N18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186">
        <f>FLOOR(Sales_Export_2019_2020__2[[#This Row],[order_value_GBP]],5000)</f>
        <v>350000</v>
      </c>
    </row>
    <row r="187" spans="1:15" x14ac:dyDescent="0.35">
      <c r="A187" t="s">
        <v>53</v>
      </c>
      <c r="B187" s="2">
        <v>141436.98000000001</v>
      </c>
      <c r="C187" s="2">
        <v>114691.25</v>
      </c>
      <c r="D187" s="1">
        <v>43611</v>
      </c>
      <c r="E187" t="s">
        <v>62</v>
      </c>
      <c r="F187" t="s">
        <v>155</v>
      </c>
      <c r="G187" t="s">
        <v>55</v>
      </c>
      <c r="H187" t="s">
        <v>56</v>
      </c>
      <c r="I187" t="s">
        <v>28</v>
      </c>
      <c r="J187" t="s">
        <v>322</v>
      </c>
      <c r="K187" s="2">
        <f>Sales_Export_2019_2020__2[[#This Row],[order_value_GBP]]-Sales_Export_2019_2020__2[[#This Row],[ cost ]]</f>
        <v>26745.73000000001</v>
      </c>
      <c r="L187" t="b">
        <f>COUNTIF(Sales_Export_2019_2020__2[order_id],Sales_Export_2019_2020__2[[#This Row],[order_id]])&gt;1</f>
        <v>0</v>
      </c>
      <c r="M187" t="str">
        <f t="shared" si="2"/>
        <v>£140,000 - £144,999</v>
      </c>
      <c r="N187" t="str" cm="1">
        <f t="array" ref="N18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87">
        <f>FLOOR(Sales_Export_2019_2020__2[[#This Row],[order_value_GBP]],5000)</f>
        <v>140000</v>
      </c>
    </row>
    <row r="188" spans="1:15" x14ac:dyDescent="0.35">
      <c r="A188" t="s">
        <v>45</v>
      </c>
      <c r="B188" s="2">
        <v>178465.4</v>
      </c>
      <c r="C188" s="2">
        <v>156282.15</v>
      </c>
      <c r="D188" s="1">
        <v>43948</v>
      </c>
      <c r="E188" t="s">
        <v>46</v>
      </c>
      <c r="F188" t="s">
        <v>302</v>
      </c>
      <c r="G188" t="s">
        <v>48</v>
      </c>
      <c r="H188" t="s">
        <v>49</v>
      </c>
      <c r="I188" t="s">
        <v>28</v>
      </c>
      <c r="J188" t="s">
        <v>323</v>
      </c>
      <c r="K188" s="2">
        <f>Sales_Export_2019_2020__2[[#This Row],[order_value_GBP]]-Sales_Export_2019_2020__2[[#This Row],[ cost ]]</f>
        <v>22183.25</v>
      </c>
      <c r="L188" t="b">
        <f>COUNTIF(Sales_Export_2019_2020__2[order_id],Sales_Export_2019_2020__2[[#This Row],[order_id]])&gt;1</f>
        <v>0</v>
      </c>
      <c r="M188" t="str">
        <f t="shared" si="2"/>
        <v>£175,000 - £179,999</v>
      </c>
      <c r="N188" t="str" cm="1">
        <f t="array" ref="N18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188">
        <f>FLOOR(Sales_Export_2019_2020__2[[#This Row],[order_value_GBP]],5000)</f>
        <v>175000</v>
      </c>
    </row>
    <row r="189" spans="1:15" x14ac:dyDescent="0.35">
      <c r="A189" t="s">
        <v>10</v>
      </c>
      <c r="B189" s="2">
        <v>110092.84</v>
      </c>
      <c r="C189" s="2">
        <v>92797.25</v>
      </c>
      <c r="D189" s="1">
        <v>44011</v>
      </c>
      <c r="E189" t="s">
        <v>139</v>
      </c>
      <c r="F189" t="s">
        <v>71</v>
      </c>
      <c r="G189" t="s">
        <v>13</v>
      </c>
      <c r="H189" t="s">
        <v>69</v>
      </c>
      <c r="I189" t="s">
        <v>38</v>
      </c>
      <c r="J189" t="s">
        <v>324</v>
      </c>
      <c r="K189" s="2">
        <f>Sales_Export_2019_2020__2[[#This Row],[order_value_GBP]]-Sales_Export_2019_2020__2[[#This Row],[ cost ]]</f>
        <v>17295.589999999997</v>
      </c>
      <c r="L189" t="b">
        <f>COUNTIF(Sales_Export_2019_2020__2[order_id],Sales_Export_2019_2020__2[[#This Row],[order_id]])&gt;1</f>
        <v>0</v>
      </c>
      <c r="M189" t="str">
        <f t="shared" si="2"/>
        <v>£110,000 - £114,999</v>
      </c>
      <c r="N189" t="str" cm="1">
        <f t="array" ref="N18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89">
        <f>FLOOR(Sales_Export_2019_2020__2[[#This Row],[order_value_GBP]],5000)</f>
        <v>110000</v>
      </c>
    </row>
    <row r="190" spans="1:15" x14ac:dyDescent="0.35">
      <c r="A190" t="s">
        <v>45</v>
      </c>
      <c r="B190" s="2">
        <v>154715.49</v>
      </c>
      <c r="C190" s="2">
        <v>126572.74</v>
      </c>
      <c r="D190" s="1">
        <v>44127</v>
      </c>
      <c r="E190" t="s">
        <v>80</v>
      </c>
      <c r="F190" t="s">
        <v>174</v>
      </c>
      <c r="G190" t="s">
        <v>48</v>
      </c>
      <c r="H190" t="s">
        <v>66</v>
      </c>
      <c r="I190" t="s">
        <v>28</v>
      </c>
      <c r="J190" t="s">
        <v>325</v>
      </c>
      <c r="K190" s="2">
        <f>Sales_Export_2019_2020__2[[#This Row],[order_value_GBP]]-Sales_Export_2019_2020__2[[#This Row],[ cost ]]</f>
        <v>28142.749999999985</v>
      </c>
      <c r="L190" t="b">
        <f>COUNTIF(Sales_Export_2019_2020__2[order_id],Sales_Export_2019_2020__2[[#This Row],[order_id]])&gt;1</f>
        <v>0</v>
      </c>
      <c r="M190" t="str">
        <f t="shared" si="2"/>
        <v>£150,000 - £154,999</v>
      </c>
      <c r="N190" t="str" cm="1">
        <f t="array" ref="N19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90">
        <f>FLOOR(Sales_Export_2019_2020__2[[#This Row],[order_value_GBP]],5000)</f>
        <v>150000</v>
      </c>
    </row>
    <row r="191" spans="1:15" x14ac:dyDescent="0.35">
      <c r="A191" t="s">
        <v>10</v>
      </c>
      <c r="B191" s="2">
        <v>92877.57</v>
      </c>
      <c r="C191" s="2">
        <v>75936.7</v>
      </c>
      <c r="D191" s="1">
        <v>43926</v>
      </c>
      <c r="E191" t="s">
        <v>80</v>
      </c>
      <c r="F191" t="s">
        <v>64</v>
      </c>
      <c r="G191" t="s">
        <v>13</v>
      </c>
      <c r="H191" t="s">
        <v>14</v>
      </c>
      <c r="I191" t="s">
        <v>15</v>
      </c>
      <c r="J191" t="s">
        <v>326</v>
      </c>
      <c r="K191" s="2">
        <f>Sales_Export_2019_2020__2[[#This Row],[order_value_GBP]]-Sales_Export_2019_2020__2[[#This Row],[ cost ]]</f>
        <v>16940.87000000001</v>
      </c>
      <c r="L191" t="b">
        <f>COUNTIF(Sales_Export_2019_2020__2[order_id],Sales_Export_2019_2020__2[[#This Row],[order_id]])&gt;1</f>
        <v>0</v>
      </c>
      <c r="M191" t="str">
        <f t="shared" si="2"/>
        <v>£90,000 - £94,999</v>
      </c>
      <c r="N191" t="str" cm="1">
        <f t="array" ref="N19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91">
        <f>FLOOR(Sales_Export_2019_2020__2[[#This Row],[order_value_GBP]],5000)</f>
        <v>90000</v>
      </c>
    </row>
    <row r="192" spans="1:15" x14ac:dyDescent="0.35">
      <c r="A192" t="s">
        <v>53</v>
      </c>
      <c r="B192" s="2">
        <v>66141.13</v>
      </c>
      <c r="C192" s="2">
        <v>53435.42</v>
      </c>
      <c r="D192" s="1">
        <v>43611</v>
      </c>
      <c r="E192" t="s">
        <v>24</v>
      </c>
      <c r="F192" t="s">
        <v>327</v>
      </c>
      <c r="G192" t="s">
        <v>55</v>
      </c>
      <c r="H192" t="s">
        <v>133</v>
      </c>
      <c r="I192" t="s">
        <v>28</v>
      </c>
      <c r="J192" t="s">
        <v>328</v>
      </c>
      <c r="K192" s="2">
        <f>Sales_Export_2019_2020__2[[#This Row],[order_value_GBP]]-Sales_Export_2019_2020__2[[#This Row],[ cost ]]</f>
        <v>12705.710000000006</v>
      </c>
      <c r="L192" t="b">
        <f>COUNTIF(Sales_Export_2019_2020__2[order_id],Sales_Export_2019_2020__2[[#This Row],[order_id]])&gt;1</f>
        <v>0</v>
      </c>
      <c r="M192" t="str">
        <f t="shared" si="2"/>
        <v>£65,000 - £69,999</v>
      </c>
      <c r="N192" t="str" cm="1">
        <f t="array" ref="N19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92">
        <f>FLOOR(Sales_Export_2019_2020__2[[#This Row],[order_value_GBP]],5000)</f>
        <v>65000</v>
      </c>
    </row>
    <row r="193" spans="1:15" x14ac:dyDescent="0.35">
      <c r="A193" t="s">
        <v>215</v>
      </c>
      <c r="B193" s="2">
        <v>241782.39</v>
      </c>
      <c r="C193" s="2">
        <v>196544.91</v>
      </c>
      <c r="D193" s="1">
        <v>43991</v>
      </c>
      <c r="E193" t="s">
        <v>51</v>
      </c>
      <c r="F193" t="s">
        <v>35</v>
      </c>
      <c r="G193" t="s">
        <v>216</v>
      </c>
      <c r="H193" t="s">
        <v>217</v>
      </c>
      <c r="I193" t="s">
        <v>28</v>
      </c>
      <c r="J193" t="s">
        <v>329</v>
      </c>
      <c r="K193" s="2">
        <f>Sales_Export_2019_2020__2[[#This Row],[order_value_GBP]]-Sales_Export_2019_2020__2[[#This Row],[ cost ]]</f>
        <v>45237.48000000001</v>
      </c>
      <c r="L193" t="b">
        <f>COUNTIF(Sales_Export_2019_2020__2[order_id],Sales_Export_2019_2020__2[[#This Row],[order_id]])&gt;1</f>
        <v>0</v>
      </c>
      <c r="M193" t="str">
        <f t="shared" si="2"/>
        <v>£240,000 - £244,999</v>
      </c>
      <c r="N193" t="str" cm="1">
        <f t="array" ref="N19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193">
        <f>FLOOR(Sales_Export_2019_2020__2[[#This Row],[order_value_GBP]],5000)</f>
        <v>240000</v>
      </c>
    </row>
    <row r="194" spans="1:15" x14ac:dyDescent="0.35">
      <c r="A194" t="s">
        <v>23</v>
      </c>
      <c r="B194" s="2">
        <v>211872.69</v>
      </c>
      <c r="C194" s="2">
        <v>177930.69</v>
      </c>
      <c r="D194" s="1">
        <v>43669</v>
      </c>
      <c r="E194" t="s">
        <v>18</v>
      </c>
      <c r="F194" t="s">
        <v>35</v>
      </c>
      <c r="G194" t="s">
        <v>26</v>
      </c>
      <c r="H194" t="s">
        <v>90</v>
      </c>
      <c r="I194" t="s">
        <v>15</v>
      </c>
      <c r="J194" t="s">
        <v>330</v>
      </c>
      <c r="K194" s="2">
        <f>Sales_Export_2019_2020__2[[#This Row],[order_value_GBP]]-Sales_Export_2019_2020__2[[#This Row],[ cost ]]</f>
        <v>33942</v>
      </c>
      <c r="L194" t="b">
        <f>COUNTIF(Sales_Export_2019_2020__2[order_id],Sales_Export_2019_2020__2[[#This Row],[order_id]])&gt;1</f>
        <v>0</v>
      </c>
      <c r="M194" t="str">
        <f t="shared" ref="M194:M257" si="3">TEXT(FLOOR(B194,5000),"£#,##0")&amp;" - "&amp;TEXT(FLOOR(B194,5000)+4999,"£#,##0")</f>
        <v>£210,000 - £214,999</v>
      </c>
      <c r="N194" t="str" cm="1">
        <f t="array" ref="N19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194">
        <f>FLOOR(Sales_Export_2019_2020__2[[#This Row],[order_value_GBP]],5000)</f>
        <v>210000</v>
      </c>
    </row>
    <row r="195" spans="1:15" x14ac:dyDescent="0.35">
      <c r="A195" t="s">
        <v>23</v>
      </c>
      <c r="B195" s="2">
        <v>170408.23</v>
      </c>
      <c r="C195" s="2">
        <v>143432.60999999999</v>
      </c>
      <c r="D195" s="1">
        <v>44138</v>
      </c>
      <c r="E195" t="s">
        <v>24</v>
      </c>
      <c r="F195" t="s">
        <v>302</v>
      </c>
      <c r="G195" t="s">
        <v>26</v>
      </c>
      <c r="H195" t="s">
        <v>32</v>
      </c>
      <c r="I195" t="s">
        <v>15</v>
      </c>
      <c r="J195" t="s">
        <v>331</v>
      </c>
      <c r="K195" s="2">
        <f>Sales_Export_2019_2020__2[[#This Row],[order_value_GBP]]-Sales_Export_2019_2020__2[[#This Row],[ cost ]]</f>
        <v>26975.620000000024</v>
      </c>
      <c r="L195" t="b">
        <f>COUNTIF(Sales_Export_2019_2020__2[order_id],Sales_Export_2019_2020__2[[#This Row],[order_id]])&gt;1</f>
        <v>0</v>
      </c>
      <c r="M195" t="str">
        <f t="shared" si="3"/>
        <v>£170,000 - £174,999</v>
      </c>
      <c r="N195" t="str" cm="1">
        <f t="array" ref="N19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95">
        <f>FLOOR(Sales_Export_2019_2020__2[[#This Row],[order_value_GBP]],5000)</f>
        <v>170000</v>
      </c>
    </row>
    <row r="196" spans="1:15" x14ac:dyDescent="0.35">
      <c r="A196" t="s">
        <v>10</v>
      </c>
      <c r="B196" s="2">
        <v>157683.41</v>
      </c>
      <c r="C196" s="2">
        <v>130624.94</v>
      </c>
      <c r="D196" s="1">
        <v>43624</v>
      </c>
      <c r="E196" t="s">
        <v>80</v>
      </c>
      <c r="F196" t="s">
        <v>166</v>
      </c>
      <c r="G196" t="s">
        <v>13</v>
      </c>
      <c r="H196" t="s">
        <v>82</v>
      </c>
      <c r="I196" t="s">
        <v>38</v>
      </c>
      <c r="J196" t="s">
        <v>332</v>
      </c>
      <c r="K196" s="2">
        <f>Sales_Export_2019_2020__2[[#This Row],[order_value_GBP]]-Sales_Export_2019_2020__2[[#This Row],[ cost ]]</f>
        <v>27058.47</v>
      </c>
      <c r="L196" t="b">
        <f>COUNTIF(Sales_Export_2019_2020__2[order_id],Sales_Export_2019_2020__2[[#This Row],[order_id]])&gt;1</f>
        <v>0</v>
      </c>
      <c r="M196" t="str">
        <f t="shared" si="3"/>
        <v>£155,000 - £159,999</v>
      </c>
      <c r="N196" t="str" cm="1">
        <f t="array" ref="N19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96">
        <f>FLOOR(Sales_Export_2019_2020__2[[#This Row],[order_value_GBP]],5000)</f>
        <v>155000</v>
      </c>
    </row>
    <row r="197" spans="1:15" x14ac:dyDescent="0.35">
      <c r="A197" t="s">
        <v>23</v>
      </c>
      <c r="B197" s="2">
        <v>116157.89</v>
      </c>
      <c r="C197" s="2">
        <v>97166.07</v>
      </c>
      <c r="D197" s="1">
        <v>43783</v>
      </c>
      <c r="E197" t="s">
        <v>18</v>
      </c>
      <c r="F197" t="s">
        <v>333</v>
      </c>
      <c r="G197" t="s">
        <v>26</v>
      </c>
      <c r="H197" t="s">
        <v>90</v>
      </c>
      <c r="I197" t="s">
        <v>28</v>
      </c>
      <c r="J197" t="s">
        <v>334</v>
      </c>
      <c r="K197" s="2">
        <f>Sales_Export_2019_2020__2[[#This Row],[order_value_GBP]]-Sales_Export_2019_2020__2[[#This Row],[ cost ]]</f>
        <v>18991.819999999992</v>
      </c>
      <c r="L197" t="b">
        <f>COUNTIF(Sales_Export_2019_2020__2[order_id],Sales_Export_2019_2020__2[[#This Row],[order_id]])&gt;1</f>
        <v>0</v>
      </c>
      <c r="M197" t="str">
        <f t="shared" si="3"/>
        <v>£115,000 - £119,999</v>
      </c>
      <c r="N197" t="str" cm="1">
        <f t="array" ref="N19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97">
        <f>FLOOR(Sales_Export_2019_2020__2[[#This Row],[order_value_GBP]],5000)</f>
        <v>115000</v>
      </c>
    </row>
    <row r="198" spans="1:15" x14ac:dyDescent="0.35">
      <c r="A198" t="s">
        <v>53</v>
      </c>
      <c r="B198" s="2">
        <v>56106.13</v>
      </c>
      <c r="C198" s="2">
        <v>45081.27</v>
      </c>
      <c r="D198" s="1">
        <v>43902</v>
      </c>
      <c r="E198" t="s">
        <v>80</v>
      </c>
      <c r="F198" t="s">
        <v>71</v>
      </c>
      <c r="G198" t="s">
        <v>55</v>
      </c>
      <c r="H198" t="s">
        <v>72</v>
      </c>
      <c r="I198" t="s">
        <v>28</v>
      </c>
      <c r="J198" t="s">
        <v>335</v>
      </c>
      <c r="K198" s="2">
        <f>Sales_Export_2019_2020__2[[#This Row],[order_value_GBP]]-Sales_Export_2019_2020__2[[#This Row],[ cost ]]</f>
        <v>11024.86</v>
      </c>
      <c r="L198" t="b">
        <f>COUNTIF(Sales_Export_2019_2020__2[order_id],Sales_Export_2019_2020__2[[#This Row],[order_id]])&gt;1</f>
        <v>0</v>
      </c>
      <c r="M198" t="str">
        <f t="shared" si="3"/>
        <v>£55,000 - £59,999</v>
      </c>
      <c r="N198" t="str" cm="1">
        <f t="array" ref="N19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98">
        <f>FLOOR(Sales_Export_2019_2020__2[[#This Row],[order_value_GBP]],5000)</f>
        <v>55000</v>
      </c>
    </row>
    <row r="199" spans="1:15" x14ac:dyDescent="0.35">
      <c r="A199" t="s">
        <v>10</v>
      </c>
      <c r="B199" s="2">
        <v>40385.449999999997</v>
      </c>
      <c r="C199" s="2">
        <v>32591.06</v>
      </c>
      <c r="D199" s="1">
        <v>44027</v>
      </c>
      <c r="E199" t="s">
        <v>60</v>
      </c>
      <c r="F199" t="s">
        <v>97</v>
      </c>
      <c r="G199" t="s">
        <v>13</v>
      </c>
      <c r="H199" t="s">
        <v>170</v>
      </c>
      <c r="I199" t="s">
        <v>28</v>
      </c>
      <c r="J199" t="s">
        <v>336</v>
      </c>
      <c r="K199" s="2">
        <f>Sales_Export_2019_2020__2[[#This Row],[order_value_GBP]]-Sales_Export_2019_2020__2[[#This Row],[ cost ]]</f>
        <v>7794.3899999999958</v>
      </c>
      <c r="L199" t="b">
        <f>COUNTIF(Sales_Export_2019_2020__2[order_id],Sales_Export_2019_2020__2[[#This Row],[order_id]])&gt;1</f>
        <v>0</v>
      </c>
      <c r="M199" t="str">
        <f t="shared" si="3"/>
        <v>£40,000 - £44,999</v>
      </c>
      <c r="N199" t="str" cm="1">
        <f t="array" ref="N19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199">
        <f>FLOOR(Sales_Export_2019_2020__2[[#This Row],[order_value_GBP]],5000)</f>
        <v>40000</v>
      </c>
    </row>
    <row r="200" spans="1:15" x14ac:dyDescent="0.35">
      <c r="A200" t="s">
        <v>45</v>
      </c>
      <c r="B200" s="2">
        <v>112491.58</v>
      </c>
      <c r="C200" s="2">
        <v>92254.34</v>
      </c>
      <c r="D200" s="1">
        <v>43762</v>
      </c>
      <c r="E200" t="s">
        <v>51</v>
      </c>
      <c r="F200" t="s">
        <v>31</v>
      </c>
      <c r="G200" t="s">
        <v>48</v>
      </c>
      <c r="H200" t="s">
        <v>66</v>
      </c>
      <c r="I200" t="s">
        <v>15</v>
      </c>
      <c r="J200" t="s">
        <v>337</v>
      </c>
      <c r="K200" s="2">
        <f>Sales_Export_2019_2020__2[[#This Row],[order_value_GBP]]-Sales_Export_2019_2020__2[[#This Row],[ cost ]]</f>
        <v>20237.240000000005</v>
      </c>
      <c r="L200" t="b">
        <f>COUNTIF(Sales_Export_2019_2020__2[order_id],Sales_Export_2019_2020__2[[#This Row],[order_id]])&gt;1</f>
        <v>0</v>
      </c>
      <c r="M200" t="str">
        <f t="shared" si="3"/>
        <v>£110,000 - £114,999</v>
      </c>
      <c r="N200" t="str" cm="1">
        <f t="array" ref="N20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00">
        <f>FLOOR(Sales_Export_2019_2020__2[[#This Row],[order_value_GBP]],5000)</f>
        <v>110000</v>
      </c>
    </row>
    <row r="201" spans="1:15" x14ac:dyDescent="0.35">
      <c r="A201" t="s">
        <v>17</v>
      </c>
      <c r="B201" s="2">
        <v>200635.57</v>
      </c>
      <c r="C201" s="2">
        <v>172245.64</v>
      </c>
      <c r="D201" s="1">
        <v>43810</v>
      </c>
      <c r="E201" t="s">
        <v>24</v>
      </c>
      <c r="F201" t="s">
        <v>25</v>
      </c>
      <c r="G201" t="s">
        <v>20</v>
      </c>
      <c r="H201" t="s">
        <v>21</v>
      </c>
      <c r="I201" t="s">
        <v>28</v>
      </c>
      <c r="J201" t="s">
        <v>338</v>
      </c>
      <c r="K201" s="2">
        <f>Sales_Export_2019_2020__2[[#This Row],[order_value_GBP]]-Sales_Export_2019_2020__2[[#This Row],[ cost ]]</f>
        <v>28389.929999999993</v>
      </c>
      <c r="L201" t="b">
        <f>COUNTIF(Sales_Export_2019_2020__2[order_id],Sales_Export_2019_2020__2[[#This Row],[order_id]])&gt;1</f>
        <v>0</v>
      </c>
      <c r="M201" t="str">
        <f t="shared" si="3"/>
        <v>£200,000 - £204,999</v>
      </c>
      <c r="N201" t="str" cm="1">
        <f t="array" ref="N20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01">
        <f>FLOOR(Sales_Export_2019_2020__2[[#This Row],[order_value_GBP]],5000)</f>
        <v>200000</v>
      </c>
    </row>
    <row r="202" spans="1:15" x14ac:dyDescent="0.35">
      <c r="A202" t="s">
        <v>23</v>
      </c>
      <c r="B202" s="2">
        <v>243176.92</v>
      </c>
      <c r="C202" s="2">
        <v>202250.23999999999</v>
      </c>
      <c r="D202" s="1">
        <v>44015</v>
      </c>
      <c r="E202" t="s">
        <v>51</v>
      </c>
      <c r="F202" t="s">
        <v>54</v>
      </c>
      <c r="G202" t="s">
        <v>26</v>
      </c>
      <c r="H202" t="s">
        <v>90</v>
      </c>
      <c r="I202" t="s">
        <v>28</v>
      </c>
      <c r="J202" t="s">
        <v>339</v>
      </c>
      <c r="K202" s="2">
        <f>Sales_Export_2019_2020__2[[#This Row],[order_value_GBP]]-Sales_Export_2019_2020__2[[#This Row],[ cost ]]</f>
        <v>40926.680000000022</v>
      </c>
      <c r="L202" t="b">
        <f>COUNTIF(Sales_Export_2019_2020__2[order_id],Sales_Export_2019_2020__2[[#This Row],[order_id]])&gt;1</f>
        <v>0</v>
      </c>
      <c r="M202" t="str">
        <f t="shared" si="3"/>
        <v>£240,000 - £244,999</v>
      </c>
      <c r="N202" t="str" cm="1">
        <f t="array" ref="N20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02">
        <f>FLOOR(Sales_Export_2019_2020__2[[#This Row],[order_value_GBP]],5000)</f>
        <v>240000</v>
      </c>
    </row>
    <row r="203" spans="1:15" x14ac:dyDescent="0.35">
      <c r="A203" t="s">
        <v>23</v>
      </c>
      <c r="B203" s="2">
        <v>52227.07</v>
      </c>
      <c r="C203" s="2">
        <v>45124.19</v>
      </c>
      <c r="D203" s="1">
        <v>43538</v>
      </c>
      <c r="E203" t="s">
        <v>11</v>
      </c>
      <c r="F203" t="s">
        <v>40</v>
      </c>
      <c r="G203" t="s">
        <v>26</v>
      </c>
      <c r="H203" t="s">
        <v>76</v>
      </c>
      <c r="I203" t="s">
        <v>28</v>
      </c>
      <c r="J203" t="s">
        <v>340</v>
      </c>
      <c r="K203" s="2">
        <f>Sales_Export_2019_2020__2[[#This Row],[order_value_GBP]]-Sales_Export_2019_2020__2[[#This Row],[ cost ]]</f>
        <v>7102.8799999999974</v>
      </c>
      <c r="L203" t="b">
        <f>COUNTIF(Sales_Export_2019_2020__2[order_id],Sales_Export_2019_2020__2[[#This Row],[order_id]])&gt;1</f>
        <v>0</v>
      </c>
      <c r="M203" t="str">
        <f t="shared" si="3"/>
        <v>£50,000 - £54,999</v>
      </c>
      <c r="N203" t="str" cm="1">
        <f t="array" ref="N20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03">
        <f>FLOOR(Sales_Export_2019_2020__2[[#This Row],[order_value_GBP]],5000)</f>
        <v>50000</v>
      </c>
    </row>
    <row r="204" spans="1:15" x14ac:dyDescent="0.35">
      <c r="A204" t="s">
        <v>101</v>
      </c>
      <c r="B204" s="2">
        <v>147672.87</v>
      </c>
      <c r="C204" s="2">
        <v>129110.39</v>
      </c>
      <c r="D204" s="1">
        <v>43753</v>
      </c>
      <c r="E204" t="s">
        <v>80</v>
      </c>
      <c r="F204" t="s">
        <v>341</v>
      </c>
      <c r="G204" t="s">
        <v>103</v>
      </c>
      <c r="H204" t="s">
        <v>162</v>
      </c>
      <c r="I204" t="s">
        <v>28</v>
      </c>
      <c r="J204" t="s">
        <v>342</v>
      </c>
      <c r="K204" s="2">
        <f>Sales_Export_2019_2020__2[[#This Row],[order_value_GBP]]-Sales_Export_2019_2020__2[[#This Row],[ cost ]]</f>
        <v>18562.479999999996</v>
      </c>
      <c r="L204" t="b">
        <f>COUNTIF(Sales_Export_2019_2020__2[order_id],Sales_Export_2019_2020__2[[#This Row],[order_id]])&gt;1</f>
        <v>0</v>
      </c>
      <c r="M204" t="str">
        <f t="shared" si="3"/>
        <v>£145,000 - £149,999</v>
      </c>
      <c r="N204" t="str" cm="1">
        <f t="array" ref="N20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04">
        <f>FLOOR(Sales_Export_2019_2020__2[[#This Row],[order_value_GBP]],5000)</f>
        <v>145000</v>
      </c>
    </row>
    <row r="205" spans="1:15" x14ac:dyDescent="0.35">
      <c r="A205" t="s">
        <v>53</v>
      </c>
      <c r="B205" s="2">
        <v>149500.60999999999</v>
      </c>
      <c r="C205" s="2">
        <v>125401.11</v>
      </c>
      <c r="D205" s="1">
        <v>44036</v>
      </c>
      <c r="E205" t="s">
        <v>18</v>
      </c>
      <c r="F205" t="s">
        <v>148</v>
      </c>
      <c r="G205" t="s">
        <v>55</v>
      </c>
      <c r="H205" t="s">
        <v>128</v>
      </c>
      <c r="I205" t="s">
        <v>28</v>
      </c>
      <c r="J205" t="s">
        <v>343</v>
      </c>
      <c r="K205" s="2">
        <f>Sales_Export_2019_2020__2[[#This Row],[order_value_GBP]]-Sales_Export_2019_2020__2[[#This Row],[ cost ]]</f>
        <v>24099.499999999985</v>
      </c>
      <c r="L205" t="b">
        <f>COUNTIF(Sales_Export_2019_2020__2[order_id],Sales_Export_2019_2020__2[[#This Row],[order_id]])&gt;1</f>
        <v>0</v>
      </c>
      <c r="M205" t="str">
        <f t="shared" si="3"/>
        <v>£145,000 - £149,999</v>
      </c>
      <c r="N205" t="str" cm="1">
        <f t="array" ref="N20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05">
        <f>FLOOR(Sales_Export_2019_2020__2[[#This Row],[order_value_GBP]],5000)</f>
        <v>145000</v>
      </c>
    </row>
    <row r="206" spans="1:15" x14ac:dyDescent="0.35">
      <c r="A206" t="s">
        <v>53</v>
      </c>
      <c r="B206" s="2">
        <v>53089.52</v>
      </c>
      <c r="C206" s="2">
        <v>44812.86</v>
      </c>
      <c r="D206" s="1">
        <v>43701</v>
      </c>
      <c r="E206" t="s">
        <v>30</v>
      </c>
      <c r="F206" t="s">
        <v>12</v>
      </c>
      <c r="G206" t="s">
        <v>55</v>
      </c>
      <c r="H206" t="s">
        <v>128</v>
      </c>
      <c r="I206" t="s">
        <v>28</v>
      </c>
      <c r="J206" t="s">
        <v>344</v>
      </c>
      <c r="K206" s="2">
        <f>Sales_Export_2019_2020__2[[#This Row],[order_value_GBP]]-Sales_Export_2019_2020__2[[#This Row],[ cost ]]</f>
        <v>8276.6599999999962</v>
      </c>
      <c r="L206" t="b">
        <f>COUNTIF(Sales_Export_2019_2020__2[order_id],Sales_Export_2019_2020__2[[#This Row],[order_id]])&gt;1</f>
        <v>0</v>
      </c>
      <c r="M206" t="str">
        <f t="shared" si="3"/>
        <v>£50,000 - £54,999</v>
      </c>
      <c r="N206" t="str" cm="1">
        <f t="array" ref="N20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06">
        <f>FLOOR(Sales_Export_2019_2020__2[[#This Row],[order_value_GBP]],5000)</f>
        <v>50000</v>
      </c>
    </row>
    <row r="207" spans="1:15" x14ac:dyDescent="0.35">
      <c r="A207" t="s">
        <v>53</v>
      </c>
      <c r="B207" s="2">
        <v>85223.07</v>
      </c>
      <c r="C207" s="2">
        <v>73002.080000000002</v>
      </c>
      <c r="D207" s="1">
        <v>43723</v>
      </c>
      <c r="E207" t="s">
        <v>30</v>
      </c>
      <c r="F207" t="s">
        <v>135</v>
      </c>
      <c r="G207" t="s">
        <v>55</v>
      </c>
      <c r="H207" t="s">
        <v>56</v>
      </c>
      <c r="I207" t="s">
        <v>28</v>
      </c>
      <c r="J207" t="s">
        <v>345</v>
      </c>
      <c r="K207" s="2">
        <f>Sales_Export_2019_2020__2[[#This Row],[order_value_GBP]]-Sales_Export_2019_2020__2[[#This Row],[ cost ]]</f>
        <v>12220.990000000005</v>
      </c>
      <c r="L207" t="b">
        <f>COUNTIF(Sales_Export_2019_2020__2[order_id],Sales_Export_2019_2020__2[[#This Row],[order_id]])&gt;1</f>
        <v>0</v>
      </c>
      <c r="M207" t="str">
        <f t="shared" si="3"/>
        <v>£85,000 - £89,999</v>
      </c>
      <c r="N207" t="str" cm="1">
        <f t="array" ref="N20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07">
        <f>FLOOR(Sales_Export_2019_2020__2[[#This Row],[order_value_GBP]],5000)</f>
        <v>85000</v>
      </c>
    </row>
    <row r="208" spans="1:15" x14ac:dyDescent="0.35">
      <c r="A208" t="s">
        <v>346</v>
      </c>
      <c r="B208" s="2">
        <v>58948.52</v>
      </c>
      <c r="C208" s="2">
        <v>49416.54</v>
      </c>
      <c r="D208" s="1">
        <v>43971</v>
      </c>
      <c r="E208" t="s">
        <v>24</v>
      </c>
      <c r="F208" t="s">
        <v>64</v>
      </c>
      <c r="G208" t="s">
        <v>347</v>
      </c>
      <c r="H208" t="s">
        <v>348</v>
      </c>
      <c r="I208" t="s">
        <v>28</v>
      </c>
      <c r="J208" t="s">
        <v>349</v>
      </c>
      <c r="K208" s="2">
        <f>Sales_Export_2019_2020__2[[#This Row],[order_value_GBP]]-Sales_Export_2019_2020__2[[#This Row],[ cost ]]</f>
        <v>9531.9799999999959</v>
      </c>
      <c r="L208" t="b">
        <f>COUNTIF(Sales_Export_2019_2020__2[order_id],Sales_Export_2019_2020__2[[#This Row],[order_id]])&gt;1</f>
        <v>0</v>
      </c>
      <c r="M208" t="str">
        <f t="shared" si="3"/>
        <v>£55,000 - £59,999</v>
      </c>
      <c r="N208" t="str" cm="1">
        <f t="array" ref="N20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08">
        <f>FLOOR(Sales_Export_2019_2020__2[[#This Row],[order_value_GBP]],5000)</f>
        <v>55000</v>
      </c>
    </row>
    <row r="209" spans="1:15" x14ac:dyDescent="0.35">
      <c r="A209" t="s">
        <v>23</v>
      </c>
      <c r="B209" s="2">
        <v>165696.9</v>
      </c>
      <c r="C209" s="2">
        <v>132275.84</v>
      </c>
      <c r="D209" s="1">
        <v>44126</v>
      </c>
      <c r="E209" t="s">
        <v>80</v>
      </c>
      <c r="F209" t="s">
        <v>92</v>
      </c>
      <c r="G209" t="s">
        <v>26</v>
      </c>
      <c r="H209" t="s">
        <v>32</v>
      </c>
      <c r="I209" t="s">
        <v>28</v>
      </c>
      <c r="J209" t="s">
        <v>350</v>
      </c>
      <c r="K209" s="2">
        <f>Sales_Export_2019_2020__2[[#This Row],[order_value_GBP]]-Sales_Export_2019_2020__2[[#This Row],[ cost ]]</f>
        <v>33421.06</v>
      </c>
      <c r="L209" t="b">
        <f>COUNTIF(Sales_Export_2019_2020__2[order_id],Sales_Export_2019_2020__2[[#This Row],[order_id]])&gt;1</f>
        <v>0</v>
      </c>
      <c r="M209" t="str">
        <f t="shared" si="3"/>
        <v>£165,000 - £169,999</v>
      </c>
      <c r="N209" t="str" cm="1">
        <f t="array" ref="N20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09">
        <f>FLOOR(Sales_Export_2019_2020__2[[#This Row],[order_value_GBP]],5000)</f>
        <v>165000</v>
      </c>
    </row>
    <row r="210" spans="1:15" x14ac:dyDescent="0.35">
      <c r="A210" t="s">
        <v>10</v>
      </c>
      <c r="B210" s="2">
        <v>177993.88</v>
      </c>
      <c r="C210" s="2">
        <v>145029.41</v>
      </c>
      <c r="D210" s="1">
        <v>43801</v>
      </c>
      <c r="E210" t="s">
        <v>62</v>
      </c>
      <c r="F210" t="s">
        <v>35</v>
      </c>
      <c r="G210" t="s">
        <v>13</v>
      </c>
      <c r="H210" t="s">
        <v>82</v>
      </c>
      <c r="I210" t="s">
        <v>38</v>
      </c>
      <c r="J210" t="s">
        <v>351</v>
      </c>
      <c r="K210" s="2">
        <f>Sales_Export_2019_2020__2[[#This Row],[order_value_GBP]]-Sales_Export_2019_2020__2[[#This Row],[ cost ]]</f>
        <v>32964.47</v>
      </c>
      <c r="L210" t="b">
        <f>COUNTIF(Sales_Export_2019_2020__2[order_id],Sales_Export_2019_2020__2[[#This Row],[order_id]])&gt;1</f>
        <v>0</v>
      </c>
      <c r="M210" t="str">
        <f t="shared" si="3"/>
        <v>£175,000 - £179,999</v>
      </c>
      <c r="N210" t="str" cm="1">
        <f t="array" ref="N21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10">
        <f>FLOOR(Sales_Export_2019_2020__2[[#This Row],[order_value_GBP]],5000)</f>
        <v>175000</v>
      </c>
    </row>
    <row r="211" spans="1:15" x14ac:dyDescent="0.35">
      <c r="A211" t="s">
        <v>53</v>
      </c>
      <c r="B211" s="2">
        <v>108713.83</v>
      </c>
      <c r="C211" s="2">
        <v>90341.19</v>
      </c>
      <c r="D211" s="1">
        <v>43899</v>
      </c>
      <c r="E211" t="s">
        <v>24</v>
      </c>
      <c r="F211" t="s">
        <v>31</v>
      </c>
      <c r="G211" t="s">
        <v>55</v>
      </c>
      <c r="H211" t="s">
        <v>72</v>
      </c>
      <c r="I211" t="s">
        <v>28</v>
      </c>
      <c r="J211" t="s">
        <v>352</v>
      </c>
      <c r="K211" s="2">
        <f>Sales_Export_2019_2020__2[[#This Row],[order_value_GBP]]-Sales_Export_2019_2020__2[[#This Row],[ cost ]]</f>
        <v>18372.64</v>
      </c>
      <c r="L211" t="b">
        <f>COUNTIF(Sales_Export_2019_2020__2[order_id],Sales_Export_2019_2020__2[[#This Row],[order_id]])&gt;1</f>
        <v>0</v>
      </c>
      <c r="M211" t="str">
        <f t="shared" si="3"/>
        <v>£105,000 - £109,999</v>
      </c>
      <c r="N211" t="str" cm="1">
        <f t="array" ref="N21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11">
        <f>FLOOR(Sales_Export_2019_2020__2[[#This Row],[order_value_GBP]],5000)</f>
        <v>105000</v>
      </c>
    </row>
    <row r="212" spans="1:15" x14ac:dyDescent="0.35">
      <c r="A212" t="s">
        <v>17</v>
      </c>
      <c r="B212" s="2">
        <v>25816.05</v>
      </c>
      <c r="C212" s="2">
        <v>21447.97</v>
      </c>
      <c r="D212" s="1">
        <v>43716</v>
      </c>
      <c r="E212" t="s">
        <v>24</v>
      </c>
      <c r="F212" t="s">
        <v>174</v>
      </c>
      <c r="G212" t="s">
        <v>20</v>
      </c>
      <c r="H212" t="s">
        <v>353</v>
      </c>
      <c r="I212" t="s">
        <v>15</v>
      </c>
      <c r="J212" t="s">
        <v>354</v>
      </c>
      <c r="K212" s="2">
        <f>Sales_Export_2019_2020__2[[#This Row],[order_value_GBP]]-Sales_Export_2019_2020__2[[#This Row],[ cost ]]</f>
        <v>4368.0799999999981</v>
      </c>
      <c r="L212" t="b">
        <f>COUNTIF(Sales_Export_2019_2020__2[order_id],Sales_Export_2019_2020__2[[#This Row],[order_id]])&gt;1</f>
        <v>0</v>
      </c>
      <c r="M212" t="str">
        <f t="shared" si="3"/>
        <v>£25,000 - £29,999</v>
      </c>
      <c r="N212" t="str" cm="1">
        <f t="array" ref="N21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12">
        <f>FLOOR(Sales_Export_2019_2020__2[[#This Row],[order_value_GBP]],5000)</f>
        <v>25000</v>
      </c>
    </row>
    <row r="213" spans="1:15" x14ac:dyDescent="0.35">
      <c r="A213" t="s">
        <v>23</v>
      </c>
      <c r="B213" s="2">
        <v>154072.89000000001</v>
      </c>
      <c r="C213" s="2">
        <v>121887.06</v>
      </c>
      <c r="D213" s="1">
        <v>44104</v>
      </c>
      <c r="E213" t="s">
        <v>30</v>
      </c>
      <c r="F213" t="s">
        <v>71</v>
      </c>
      <c r="G213" t="s">
        <v>26</v>
      </c>
      <c r="H213" t="s">
        <v>27</v>
      </c>
      <c r="I213" t="s">
        <v>28</v>
      </c>
      <c r="J213" t="s">
        <v>355</v>
      </c>
      <c r="K213" s="2">
        <f>Sales_Export_2019_2020__2[[#This Row],[order_value_GBP]]-Sales_Export_2019_2020__2[[#This Row],[ cost ]]</f>
        <v>32185.830000000016</v>
      </c>
      <c r="L213" t="b">
        <f>COUNTIF(Sales_Export_2019_2020__2[order_id],Sales_Export_2019_2020__2[[#This Row],[order_id]])&gt;1</f>
        <v>0</v>
      </c>
      <c r="M213" t="str">
        <f t="shared" si="3"/>
        <v>£150,000 - £154,999</v>
      </c>
      <c r="N213" t="str" cm="1">
        <f t="array" ref="N21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13">
        <f>FLOOR(Sales_Export_2019_2020__2[[#This Row],[order_value_GBP]],5000)</f>
        <v>150000</v>
      </c>
    </row>
    <row r="214" spans="1:15" x14ac:dyDescent="0.35">
      <c r="A214" t="s">
        <v>17</v>
      </c>
      <c r="B214" s="2">
        <v>194962.05</v>
      </c>
      <c r="C214" s="2">
        <v>154975.32999999999</v>
      </c>
      <c r="D214" s="1">
        <v>44017</v>
      </c>
      <c r="E214" t="s">
        <v>51</v>
      </c>
      <c r="F214" t="s">
        <v>71</v>
      </c>
      <c r="G214" t="s">
        <v>20</v>
      </c>
      <c r="H214" t="s">
        <v>353</v>
      </c>
      <c r="I214" t="s">
        <v>28</v>
      </c>
      <c r="J214" t="s">
        <v>356</v>
      </c>
      <c r="K214" s="2">
        <f>Sales_Export_2019_2020__2[[#This Row],[order_value_GBP]]-Sales_Export_2019_2020__2[[#This Row],[ cost ]]</f>
        <v>39986.720000000001</v>
      </c>
      <c r="L214" t="b">
        <f>COUNTIF(Sales_Export_2019_2020__2[order_id],Sales_Export_2019_2020__2[[#This Row],[order_id]])&gt;1</f>
        <v>0</v>
      </c>
      <c r="M214" t="str">
        <f t="shared" si="3"/>
        <v>£190,000 - £194,999</v>
      </c>
      <c r="N214" t="str" cm="1">
        <f t="array" ref="N21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14">
        <f>FLOOR(Sales_Export_2019_2020__2[[#This Row],[order_value_GBP]],5000)</f>
        <v>190000</v>
      </c>
    </row>
    <row r="215" spans="1:15" x14ac:dyDescent="0.35">
      <c r="A215" t="s">
        <v>23</v>
      </c>
      <c r="B215" s="2">
        <v>60744.83</v>
      </c>
      <c r="C215" s="2">
        <v>52805.48</v>
      </c>
      <c r="D215" s="1">
        <v>43909</v>
      </c>
      <c r="E215" t="s">
        <v>60</v>
      </c>
      <c r="F215" t="s">
        <v>54</v>
      </c>
      <c r="G215" t="s">
        <v>26</v>
      </c>
      <c r="H215" t="s">
        <v>219</v>
      </c>
      <c r="I215" t="s">
        <v>28</v>
      </c>
      <c r="J215" t="s">
        <v>357</v>
      </c>
      <c r="K215" s="2">
        <f>Sales_Export_2019_2020__2[[#This Row],[order_value_GBP]]-Sales_Export_2019_2020__2[[#This Row],[ cost ]]</f>
        <v>7939.3499999999985</v>
      </c>
      <c r="L215" t="b">
        <f>COUNTIF(Sales_Export_2019_2020__2[order_id],Sales_Export_2019_2020__2[[#This Row],[order_id]])&gt;1</f>
        <v>0</v>
      </c>
      <c r="M215" t="str">
        <f t="shared" si="3"/>
        <v>£60,000 - £64,999</v>
      </c>
      <c r="N215" t="str" cm="1">
        <f t="array" ref="N21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15">
        <f>FLOOR(Sales_Export_2019_2020__2[[#This Row],[order_value_GBP]],5000)</f>
        <v>60000</v>
      </c>
    </row>
    <row r="216" spans="1:15" x14ac:dyDescent="0.35">
      <c r="A216" t="s">
        <v>10</v>
      </c>
      <c r="B216" s="2">
        <v>39313.39</v>
      </c>
      <c r="C216" s="2">
        <v>34273.410000000003</v>
      </c>
      <c r="D216" s="1">
        <v>44114</v>
      </c>
      <c r="E216" t="s">
        <v>30</v>
      </c>
      <c r="F216" t="s">
        <v>254</v>
      </c>
      <c r="G216" t="s">
        <v>13</v>
      </c>
      <c r="H216" t="s">
        <v>69</v>
      </c>
      <c r="I216" t="s">
        <v>15</v>
      </c>
      <c r="J216" t="s">
        <v>358</v>
      </c>
      <c r="K216" s="2">
        <f>Sales_Export_2019_2020__2[[#This Row],[order_value_GBP]]-Sales_Export_2019_2020__2[[#This Row],[ cost ]]</f>
        <v>5039.9799999999959</v>
      </c>
      <c r="L216" t="b">
        <f>COUNTIF(Sales_Export_2019_2020__2[order_id],Sales_Export_2019_2020__2[[#This Row],[order_id]])&gt;1</f>
        <v>0</v>
      </c>
      <c r="M216" t="str">
        <f t="shared" si="3"/>
        <v>£35,000 - £39,999</v>
      </c>
      <c r="N216" t="str" cm="1">
        <f t="array" ref="N21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16">
        <f>FLOOR(Sales_Export_2019_2020__2[[#This Row],[order_value_GBP]],5000)</f>
        <v>35000</v>
      </c>
    </row>
    <row r="217" spans="1:15" x14ac:dyDescent="0.35">
      <c r="A217" t="s">
        <v>53</v>
      </c>
      <c r="B217" s="2">
        <v>119820.82</v>
      </c>
      <c r="C217" s="2">
        <v>98289.02</v>
      </c>
      <c r="D217" s="1">
        <v>43632</v>
      </c>
      <c r="E217" t="s">
        <v>51</v>
      </c>
      <c r="F217" t="s">
        <v>110</v>
      </c>
      <c r="G217" t="s">
        <v>55</v>
      </c>
      <c r="H217" t="s">
        <v>72</v>
      </c>
      <c r="I217" t="s">
        <v>28</v>
      </c>
      <c r="J217" t="s">
        <v>359</v>
      </c>
      <c r="K217" s="2">
        <f>Sales_Export_2019_2020__2[[#This Row],[order_value_GBP]]-Sales_Export_2019_2020__2[[#This Row],[ cost ]]</f>
        <v>21531.800000000003</v>
      </c>
      <c r="L217" t="b">
        <f>COUNTIF(Sales_Export_2019_2020__2[order_id],Sales_Export_2019_2020__2[[#This Row],[order_id]])&gt;1</f>
        <v>0</v>
      </c>
      <c r="M217" t="str">
        <f t="shared" si="3"/>
        <v>£115,000 - £119,999</v>
      </c>
      <c r="N217" t="str" cm="1">
        <f t="array" ref="N21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17">
        <f>FLOOR(Sales_Export_2019_2020__2[[#This Row],[order_value_GBP]],5000)</f>
        <v>115000</v>
      </c>
    </row>
    <row r="218" spans="1:15" x14ac:dyDescent="0.35">
      <c r="A218" t="s">
        <v>45</v>
      </c>
      <c r="B218" s="2">
        <v>129485.51</v>
      </c>
      <c r="C218" s="2">
        <v>112794.83</v>
      </c>
      <c r="D218" s="1">
        <v>43470</v>
      </c>
      <c r="E218" t="s">
        <v>51</v>
      </c>
      <c r="F218" t="s">
        <v>182</v>
      </c>
      <c r="G218" t="s">
        <v>48</v>
      </c>
      <c r="H218" t="s">
        <v>74</v>
      </c>
      <c r="I218" t="s">
        <v>28</v>
      </c>
      <c r="J218" t="s">
        <v>360</v>
      </c>
      <c r="K218" s="2">
        <f>Sales_Export_2019_2020__2[[#This Row],[order_value_GBP]]-Sales_Export_2019_2020__2[[#This Row],[ cost ]]</f>
        <v>16690.679999999993</v>
      </c>
      <c r="L218" t="b">
        <f>COUNTIF(Sales_Export_2019_2020__2[order_id],Sales_Export_2019_2020__2[[#This Row],[order_id]])&gt;1</f>
        <v>0</v>
      </c>
      <c r="M218" t="str">
        <f t="shared" si="3"/>
        <v>£125,000 - £129,999</v>
      </c>
      <c r="N218" t="str" cm="1">
        <f t="array" ref="N21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18">
        <f>FLOOR(Sales_Export_2019_2020__2[[#This Row],[order_value_GBP]],5000)</f>
        <v>125000</v>
      </c>
    </row>
    <row r="219" spans="1:15" x14ac:dyDescent="0.35">
      <c r="A219" t="s">
        <v>138</v>
      </c>
      <c r="B219" s="2">
        <v>163203.64000000001</v>
      </c>
      <c r="C219" s="2">
        <v>140893.70000000001</v>
      </c>
      <c r="D219" s="1">
        <v>43637</v>
      </c>
      <c r="E219" t="s">
        <v>60</v>
      </c>
      <c r="F219" t="s">
        <v>58</v>
      </c>
      <c r="G219" t="s">
        <v>140</v>
      </c>
      <c r="H219" t="s">
        <v>141</v>
      </c>
      <c r="I219" t="s">
        <v>28</v>
      </c>
      <c r="J219" t="s">
        <v>361</v>
      </c>
      <c r="K219" s="2">
        <f>Sales_Export_2019_2020__2[[#This Row],[order_value_GBP]]-Sales_Export_2019_2020__2[[#This Row],[ cost ]]</f>
        <v>22309.940000000002</v>
      </c>
      <c r="L219" t="b">
        <f>COUNTIF(Sales_Export_2019_2020__2[order_id],Sales_Export_2019_2020__2[[#This Row],[order_id]])&gt;1</f>
        <v>0</v>
      </c>
      <c r="M219" t="str">
        <f t="shared" si="3"/>
        <v>£160,000 - £164,999</v>
      </c>
      <c r="N219" t="str" cm="1">
        <f t="array" ref="N21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19">
        <f>FLOOR(Sales_Export_2019_2020__2[[#This Row],[order_value_GBP]],5000)</f>
        <v>160000</v>
      </c>
    </row>
    <row r="220" spans="1:15" x14ac:dyDescent="0.35">
      <c r="A220" t="s">
        <v>53</v>
      </c>
      <c r="B220" s="2">
        <v>62788.04</v>
      </c>
      <c r="C220" s="2">
        <v>53049.61</v>
      </c>
      <c r="D220" s="1">
        <v>43874</v>
      </c>
      <c r="E220" t="s">
        <v>51</v>
      </c>
      <c r="F220" t="s">
        <v>160</v>
      </c>
      <c r="G220" t="s">
        <v>55</v>
      </c>
      <c r="H220" t="s">
        <v>144</v>
      </c>
      <c r="I220" t="s">
        <v>28</v>
      </c>
      <c r="J220" t="s">
        <v>362</v>
      </c>
      <c r="K220" s="2">
        <f>Sales_Export_2019_2020__2[[#This Row],[order_value_GBP]]-Sales_Export_2019_2020__2[[#This Row],[ cost ]]</f>
        <v>9738.43</v>
      </c>
      <c r="L220" t="b">
        <f>COUNTIF(Sales_Export_2019_2020__2[order_id],Sales_Export_2019_2020__2[[#This Row],[order_id]])&gt;1</f>
        <v>0</v>
      </c>
      <c r="M220" t="str">
        <f t="shared" si="3"/>
        <v>£60,000 - £64,999</v>
      </c>
      <c r="N220" t="str" cm="1">
        <f t="array" ref="N22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20">
        <f>FLOOR(Sales_Export_2019_2020__2[[#This Row],[order_value_GBP]],5000)</f>
        <v>60000</v>
      </c>
    </row>
    <row r="221" spans="1:15" x14ac:dyDescent="0.35">
      <c r="A221" t="s">
        <v>23</v>
      </c>
      <c r="B221" s="2">
        <v>148037.71</v>
      </c>
      <c r="C221" s="2">
        <v>117867.62</v>
      </c>
      <c r="D221" s="1">
        <v>43935</v>
      </c>
      <c r="E221" t="s">
        <v>80</v>
      </c>
      <c r="F221" t="s">
        <v>89</v>
      </c>
      <c r="G221" t="s">
        <v>26</v>
      </c>
      <c r="H221" t="s">
        <v>76</v>
      </c>
      <c r="I221" t="s">
        <v>28</v>
      </c>
      <c r="J221" t="s">
        <v>363</v>
      </c>
      <c r="K221" s="2">
        <f>Sales_Export_2019_2020__2[[#This Row],[order_value_GBP]]-Sales_Export_2019_2020__2[[#This Row],[ cost ]]</f>
        <v>30170.089999999997</v>
      </c>
      <c r="L221" t="b">
        <f>COUNTIF(Sales_Export_2019_2020__2[order_id],Sales_Export_2019_2020__2[[#This Row],[order_id]])&gt;1</f>
        <v>0</v>
      </c>
      <c r="M221" t="str">
        <f t="shared" si="3"/>
        <v>£145,000 - £149,999</v>
      </c>
      <c r="N221" t="str" cm="1">
        <f t="array" ref="N22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21">
        <f>FLOOR(Sales_Export_2019_2020__2[[#This Row],[order_value_GBP]],5000)</f>
        <v>145000</v>
      </c>
    </row>
    <row r="222" spans="1:15" x14ac:dyDescent="0.35">
      <c r="A222" t="s">
        <v>173</v>
      </c>
      <c r="B222" s="2">
        <v>55539.67</v>
      </c>
      <c r="C222" s="2">
        <v>45620.29</v>
      </c>
      <c r="D222" s="1">
        <v>43911</v>
      </c>
      <c r="E222" t="s">
        <v>80</v>
      </c>
      <c r="F222" t="s">
        <v>160</v>
      </c>
      <c r="G222" t="s">
        <v>175</v>
      </c>
      <c r="H222" t="s">
        <v>212</v>
      </c>
      <c r="I222" t="s">
        <v>28</v>
      </c>
      <c r="J222" t="s">
        <v>364</v>
      </c>
      <c r="K222" s="2">
        <f>Sales_Export_2019_2020__2[[#This Row],[order_value_GBP]]-Sales_Export_2019_2020__2[[#This Row],[ cost ]]</f>
        <v>9919.3799999999974</v>
      </c>
      <c r="L222" t="b">
        <f>COUNTIF(Sales_Export_2019_2020__2[order_id],Sales_Export_2019_2020__2[[#This Row],[order_id]])&gt;1</f>
        <v>0</v>
      </c>
      <c r="M222" t="str">
        <f t="shared" si="3"/>
        <v>£55,000 - £59,999</v>
      </c>
      <c r="N222" t="str" cm="1">
        <f t="array" ref="N22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22">
        <f>FLOOR(Sales_Export_2019_2020__2[[#This Row],[order_value_GBP]],5000)</f>
        <v>55000</v>
      </c>
    </row>
    <row r="223" spans="1:15" x14ac:dyDescent="0.35">
      <c r="A223" t="s">
        <v>53</v>
      </c>
      <c r="B223" s="2">
        <v>150135</v>
      </c>
      <c r="C223" s="2">
        <v>131067.85</v>
      </c>
      <c r="D223" s="1">
        <v>44083</v>
      </c>
      <c r="E223" t="s">
        <v>60</v>
      </c>
      <c r="F223" t="s">
        <v>25</v>
      </c>
      <c r="G223" t="s">
        <v>55</v>
      </c>
      <c r="H223" t="s">
        <v>144</v>
      </c>
      <c r="I223" t="s">
        <v>28</v>
      </c>
      <c r="J223" t="s">
        <v>365</v>
      </c>
      <c r="K223" s="2">
        <f>Sales_Export_2019_2020__2[[#This Row],[order_value_GBP]]-Sales_Export_2019_2020__2[[#This Row],[ cost ]]</f>
        <v>19067.149999999994</v>
      </c>
      <c r="L223" t="b">
        <f>COUNTIF(Sales_Export_2019_2020__2[order_id],Sales_Export_2019_2020__2[[#This Row],[order_id]])&gt;1</f>
        <v>0</v>
      </c>
      <c r="M223" t="str">
        <f t="shared" si="3"/>
        <v>£150,000 - £154,999</v>
      </c>
      <c r="N223" t="str" cm="1">
        <f t="array" ref="N22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23">
        <f>FLOOR(Sales_Export_2019_2020__2[[#This Row],[order_value_GBP]],5000)</f>
        <v>150000</v>
      </c>
    </row>
    <row r="224" spans="1:15" x14ac:dyDescent="0.35">
      <c r="A224" t="s">
        <v>173</v>
      </c>
      <c r="B224" s="2">
        <v>85294.3</v>
      </c>
      <c r="C224" s="2">
        <v>72662.210000000006</v>
      </c>
      <c r="D224" s="1">
        <v>43915</v>
      </c>
      <c r="E224" t="s">
        <v>30</v>
      </c>
      <c r="F224" t="s">
        <v>178</v>
      </c>
      <c r="G224" t="s">
        <v>175</v>
      </c>
      <c r="H224" t="s">
        <v>176</v>
      </c>
      <c r="I224" t="s">
        <v>28</v>
      </c>
      <c r="J224" t="s">
        <v>366</v>
      </c>
      <c r="K224" s="2">
        <f>Sales_Export_2019_2020__2[[#This Row],[order_value_GBP]]-Sales_Export_2019_2020__2[[#This Row],[ cost ]]</f>
        <v>12632.089999999997</v>
      </c>
      <c r="L224" t="b">
        <f>COUNTIF(Sales_Export_2019_2020__2[order_id],Sales_Export_2019_2020__2[[#This Row],[order_id]])&gt;1</f>
        <v>0</v>
      </c>
      <c r="M224" t="str">
        <f t="shared" si="3"/>
        <v>£85,000 - £89,999</v>
      </c>
      <c r="N224" t="str" cm="1">
        <f t="array" ref="N22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24">
        <f>FLOOR(Sales_Export_2019_2020__2[[#This Row],[order_value_GBP]],5000)</f>
        <v>85000</v>
      </c>
    </row>
    <row r="225" spans="1:15" x14ac:dyDescent="0.35">
      <c r="A225" t="s">
        <v>106</v>
      </c>
      <c r="B225" s="2">
        <v>136079.62</v>
      </c>
      <c r="C225" s="2">
        <v>119178.53</v>
      </c>
      <c r="D225" s="1">
        <v>43706</v>
      </c>
      <c r="E225" t="s">
        <v>18</v>
      </c>
      <c r="F225" t="s">
        <v>188</v>
      </c>
      <c r="G225" t="s">
        <v>107</v>
      </c>
      <c r="H225" t="s">
        <v>108</v>
      </c>
      <c r="I225" t="s">
        <v>28</v>
      </c>
      <c r="J225" t="s">
        <v>367</v>
      </c>
      <c r="K225" s="2">
        <f>Sales_Export_2019_2020__2[[#This Row],[order_value_GBP]]-Sales_Export_2019_2020__2[[#This Row],[ cost ]]</f>
        <v>16901.089999999997</v>
      </c>
      <c r="L225" t="b">
        <f>COUNTIF(Sales_Export_2019_2020__2[order_id],Sales_Export_2019_2020__2[[#This Row],[order_id]])&gt;1</f>
        <v>0</v>
      </c>
      <c r="M225" t="str">
        <f t="shared" si="3"/>
        <v>£135,000 - £139,999</v>
      </c>
      <c r="N225" t="str" cm="1">
        <f t="array" ref="N22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25">
        <f>FLOOR(Sales_Export_2019_2020__2[[#This Row],[order_value_GBP]],5000)</f>
        <v>135000</v>
      </c>
    </row>
    <row r="226" spans="1:15" x14ac:dyDescent="0.35">
      <c r="A226" t="s">
        <v>17</v>
      </c>
      <c r="B226" s="2">
        <v>186397.6</v>
      </c>
      <c r="C226" s="2">
        <v>161233.92000000001</v>
      </c>
      <c r="D226" s="1">
        <v>44169</v>
      </c>
      <c r="E226" t="s">
        <v>51</v>
      </c>
      <c r="F226" t="s">
        <v>368</v>
      </c>
      <c r="G226" t="s">
        <v>20</v>
      </c>
      <c r="H226" t="s">
        <v>353</v>
      </c>
      <c r="I226" t="s">
        <v>15</v>
      </c>
      <c r="J226" t="s">
        <v>369</v>
      </c>
      <c r="K226" s="2">
        <f>Sales_Export_2019_2020__2[[#This Row],[order_value_GBP]]-Sales_Export_2019_2020__2[[#This Row],[ cost ]]</f>
        <v>25163.679999999993</v>
      </c>
      <c r="L226" t="b">
        <f>COUNTIF(Sales_Export_2019_2020__2[order_id],Sales_Export_2019_2020__2[[#This Row],[order_id]])&gt;1</f>
        <v>0</v>
      </c>
      <c r="M226" t="str">
        <f t="shared" si="3"/>
        <v>£185,000 - £189,999</v>
      </c>
      <c r="N226" t="str" cm="1">
        <f t="array" ref="N22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26">
        <f>FLOOR(Sales_Export_2019_2020__2[[#This Row],[order_value_GBP]],5000)</f>
        <v>185000</v>
      </c>
    </row>
    <row r="227" spans="1:15" x14ac:dyDescent="0.35">
      <c r="A227" t="s">
        <v>215</v>
      </c>
      <c r="B227" s="2">
        <v>32695.37</v>
      </c>
      <c r="C227" s="2">
        <v>26375.35</v>
      </c>
      <c r="D227" s="1">
        <v>44163</v>
      </c>
      <c r="E227" t="s">
        <v>46</v>
      </c>
      <c r="F227" t="s">
        <v>35</v>
      </c>
      <c r="G227" t="s">
        <v>216</v>
      </c>
      <c r="H227" t="s">
        <v>217</v>
      </c>
      <c r="I227" t="s">
        <v>15</v>
      </c>
      <c r="J227" t="s">
        <v>370</v>
      </c>
      <c r="K227" s="2">
        <f>Sales_Export_2019_2020__2[[#This Row],[order_value_GBP]]-Sales_Export_2019_2020__2[[#This Row],[ cost ]]</f>
        <v>6320.02</v>
      </c>
      <c r="L227" t="b">
        <f>COUNTIF(Sales_Export_2019_2020__2[order_id],Sales_Export_2019_2020__2[[#This Row],[order_id]])&gt;1</f>
        <v>0</v>
      </c>
      <c r="M227" t="str">
        <f t="shared" si="3"/>
        <v>£30,000 - £34,999</v>
      </c>
      <c r="N227" t="str" cm="1">
        <f t="array" ref="N22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27">
        <f>FLOOR(Sales_Export_2019_2020__2[[#This Row],[order_value_GBP]],5000)</f>
        <v>30000</v>
      </c>
    </row>
    <row r="228" spans="1:15" x14ac:dyDescent="0.35">
      <c r="A228" t="s">
        <v>53</v>
      </c>
      <c r="B228" s="2">
        <v>86077.83</v>
      </c>
      <c r="C228" s="2">
        <v>72288.160000000003</v>
      </c>
      <c r="D228" s="1">
        <v>43772</v>
      </c>
      <c r="E228" t="s">
        <v>51</v>
      </c>
      <c r="F228" t="s">
        <v>35</v>
      </c>
      <c r="G228" t="s">
        <v>55</v>
      </c>
      <c r="H228" t="s">
        <v>72</v>
      </c>
      <c r="I228" t="s">
        <v>28</v>
      </c>
      <c r="J228" t="s">
        <v>371</v>
      </c>
      <c r="K228" s="2">
        <f>Sales_Export_2019_2020__2[[#This Row],[order_value_GBP]]-Sales_Export_2019_2020__2[[#This Row],[ cost ]]</f>
        <v>13789.669999999998</v>
      </c>
      <c r="L228" t="b">
        <f>COUNTIF(Sales_Export_2019_2020__2[order_id],Sales_Export_2019_2020__2[[#This Row],[order_id]])&gt;1</f>
        <v>0</v>
      </c>
      <c r="M228" t="str">
        <f t="shared" si="3"/>
        <v>£85,000 - £89,999</v>
      </c>
      <c r="N228" t="str" cm="1">
        <f t="array" ref="N22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28">
        <f>FLOOR(Sales_Export_2019_2020__2[[#This Row],[order_value_GBP]],5000)</f>
        <v>85000</v>
      </c>
    </row>
    <row r="229" spans="1:15" x14ac:dyDescent="0.35">
      <c r="A229" t="s">
        <v>10</v>
      </c>
      <c r="B229" s="2">
        <v>72885.55</v>
      </c>
      <c r="C229" s="2">
        <v>59773.440000000002</v>
      </c>
      <c r="D229" s="1">
        <v>44194</v>
      </c>
      <c r="E229" t="s">
        <v>24</v>
      </c>
      <c r="F229" t="s">
        <v>35</v>
      </c>
      <c r="G229" t="s">
        <v>13</v>
      </c>
      <c r="H229" t="s">
        <v>69</v>
      </c>
      <c r="I229" t="s">
        <v>28</v>
      </c>
      <c r="J229" t="s">
        <v>372</v>
      </c>
      <c r="K229" s="2">
        <f>Sales_Export_2019_2020__2[[#This Row],[order_value_GBP]]-Sales_Export_2019_2020__2[[#This Row],[ cost ]]</f>
        <v>13112.11</v>
      </c>
      <c r="L229" t="b">
        <f>COUNTIF(Sales_Export_2019_2020__2[order_id],Sales_Export_2019_2020__2[[#This Row],[order_id]])&gt;1</f>
        <v>0</v>
      </c>
      <c r="M229" t="str">
        <f t="shared" si="3"/>
        <v>£70,000 - £74,999</v>
      </c>
      <c r="N229" t="str" cm="1">
        <f t="array" ref="N22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29">
        <f>FLOOR(Sales_Export_2019_2020__2[[#This Row],[order_value_GBP]],5000)</f>
        <v>70000</v>
      </c>
    </row>
    <row r="230" spans="1:15" x14ac:dyDescent="0.35">
      <c r="A230" t="s">
        <v>23</v>
      </c>
      <c r="B230" s="2">
        <v>100469.75</v>
      </c>
      <c r="C230" s="2">
        <v>82566.039999999994</v>
      </c>
      <c r="D230" s="1">
        <v>43602</v>
      </c>
      <c r="E230" t="s">
        <v>80</v>
      </c>
      <c r="F230" t="s">
        <v>35</v>
      </c>
      <c r="G230" t="s">
        <v>26</v>
      </c>
      <c r="H230" t="s">
        <v>32</v>
      </c>
      <c r="I230" t="s">
        <v>28</v>
      </c>
      <c r="J230" t="s">
        <v>373</v>
      </c>
      <c r="K230" s="2">
        <f>Sales_Export_2019_2020__2[[#This Row],[order_value_GBP]]-Sales_Export_2019_2020__2[[#This Row],[ cost ]]</f>
        <v>17903.710000000006</v>
      </c>
      <c r="L230" t="b">
        <f>COUNTIF(Sales_Export_2019_2020__2[order_id],Sales_Export_2019_2020__2[[#This Row],[order_id]])&gt;1</f>
        <v>0</v>
      </c>
      <c r="M230" t="str">
        <f t="shared" si="3"/>
        <v>£100,000 - £104,999</v>
      </c>
      <c r="N230" t="str" cm="1">
        <f t="array" ref="N23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30">
        <f>FLOOR(Sales_Export_2019_2020__2[[#This Row],[order_value_GBP]],5000)</f>
        <v>100000</v>
      </c>
    </row>
    <row r="231" spans="1:15" x14ac:dyDescent="0.35">
      <c r="A231" t="s">
        <v>10</v>
      </c>
      <c r="B231" s="2">
        <v>40831.519999999997</v>
      </c>
      <c r="C231" s="2">
        <v>34192.31</v>
      </c>
      <c r="D231" s="1">
        <v>43581</v>
      </c>
      <c r="E231" t="s">
        <v>51</v>
      </c>
      <c r="F231" t="s">
        <v>123</v>
      </c>
      <c r="G231" t="s">
        <v>13</v>
      </c>
      <c r="H231" t="s">
        <v>14</v>
      </c>
      <c r="I231" t="s">
        <v>28</v>
      </c>
      <c r="J231" t="s">
        <v>374</v>
      </c>
      <c r="K231" s="2">
        <f>Sales_Export_2019_2020__2[[#This Row],[order_value_GBP]]-Sales_Export_2019_2020__2[[#This Row],[ cost ]]</f>
        <v>6639.2099999999991</v>
      </c>
      <c r="L231" t="b">
        <f>COUNTIF(Sales_Export_2019_2020__2[order_id],Sales_Export_2019_2020__2[[#This Row],[order_id]])&gt;1</f>
        <v>0</v>
      </c>
      <c r="M231" t="str">
        <f t="shared" si="3"/>
        <v>£40,000 - £44,999</v>
      </c>
      <c r="N231" t="str" cm="1">
        <f t="array" ref="N23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31">
        <f>FLOOR(Sales_Export_2019_2020__2[[#This Row],[order_value_GBP]],5000)</f>
        <v>40000</v>
      </c>
    </row>
    <row r="232" spans="1:15" x14ac:dyDescent="0.35">
      <c r="A232" t="s">
        <v>138</v>
      </c>
      <c r="B232" s="2">
        <v>142353.07</v>
      </c>
      <c r="C232" s="2">
        <v>116046.22</v>
      </c>
      <c r="D232" s="1">
        <v>43670</v>
      </c>
      <c r="E232" t="s">
        <v>11</v>
      </c>
      <c r="F232" t="s">
        <v>121</v>
      </c>
      <c r="G232" t="s">
        <v>140</v>
      </c>
      <c r="H232" t="s">
        <v>141</v>
      </c>
      <c r="I232" t="s">
        <v>28</v>
      </c>
      <c r="J232" t="s">
        <v>375</v>
      </c>
      <c r="K232" s="2">
        <f>Sales_Export_2019_2020__2[[#This Row],[order_value_GBP]]-Sales_Export_2019_2020__2[[#This Row],[ cost ]]</f>
        <v>26306.850000000006</v>
      </c>
      <c r="L232" t="b">
        <f>COUNTIF(Sales_Export_2019_2020__2[order_id],Sales_Export_2019_2020__2[[#This Row],[order_id]])&gt;1</f>
        <v>0</v>
      </c>
      <c r="M232" t="str">
        <f t="shared" si="3"/>
        <v>£140,000 - £144,999</v>
      </c>
      <c r="N232" t="str" cm="1">
        <f t="array" ref="N23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32">
        <f>FLOOR(Sales_Export_2019_2020__2[[#This Row],[order_value_GBP]],5000)</f>
        <v>140000</v>
      </c>
    </row>
    <row r="233" spans="1:15" x14ac:dyDescent="0.35">
      <c r="A233" t="s">
        <v>10</v>
      </c>
      <c r="B233" s="2">
        <v>250315.06</v>
      </c>
      <c r="C233" s="2">
        <v>218825.43</v>
      </c>
      <c r="D233" s="1">
        <v>43654</v>
      </c>
      <c r="E233" t="s">
        <v>30</v>
      </c>
      <c r="F233" t="s">
        <v>182</v>
      </c>
      <c r="G233" t="s">
        <v>13</v>
      </c>
      <c r="H233" t="s">
        <v>82</v>
      </c>
      <c r="I233" t="s">
        <v>28</v>
      </c>
      <c r="J233" t="s">
        <v>376</v>
      </c>
      <c r="K233" s="2">
        <f>Sales_Export_2019_2020__2[[#This Row],[order_value_GBP]]-Sales_Export_2019_2020__2[[#This Row],[ cost ]]</f>
        <v>31489.630000000005</v>
      </c>
      <c r="L233" t="b">
        <f>COUNTIF(Sales_Export_2019_2020__2[order_id],Sales_Export_2019_2020__2[[#This Row],[order_id]])&gt;1</f>
        <v>0</v>
      </c>
      <c r="M233" t="str">
        <f t="shared" si="3"/>
        <v>£250,000 - £254,999</v>
      </c>
      <c r="N233" t="str" cm="1">
        <f t="array" ref="N23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33">
        <f>FLOOR(Sales_Export_2019_2020__2[[#This Row],[order_value_GBP]],5000)</f>
        <v>250000</v>
      </c>
    </row>
    <row r="234" spans="1:15" x14ac:dyDescent="0.35">
      <c r="A234" t="s">
        <v>45</v>
      </c>
      <c r="B234" s="2">
        <v>100094.97</v>
      </c>
      <c r="C234" s="2">
        <v>84690.35</v>
      </c>
      <c r="D234" s="1">
        <v>44143</v>
      </c>
      <c r="E234" t="s">
        <v>18</v>
      </c>
      <c r="F234" t="s">
        <v>58</v>
      </c>
      <c r="G234" t="s">
        <v>48</v>
      </c>
      <c r="H234" t="s">
        <v>66</v>
      </c>
      <c r="I234" t="s">
        <v>28</v>
      </c>
      <c r="J234" t="s">
        <v>377</v>
      </c>
      <c r="K234" s="2">
        <f>Sales_Export_2019_2020__2[[#This Row],[order_value_GBP]]-Sales_Export_2019_2020__2[[#This Row],[ cost ]]</f>
        <v>15404.619999999995</v>
      </c>
      <c r="L234" t="b">
        <f>COUNTIF(Sales_Export_2019_2020__2[order_id],Sales_Export_2019_2020__2[[#This Row],[order_id]])&gt;1</f>
        <v>0</v>
      </c>
      <c r="M234" t="str">
        <f t="shared" si="3"/>
        <v>£100,000 - £104,999</v>
      </c>
      <c r="N234" t="str" cm="1">
        <f t="array" ref="N23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34">
        <f>FLOOR(Sales_Export_2019_2020__2[[#This Row],[order_value_GBP]],5000)</f>
        <v>100000</v>
      </c>
    </row>
    <row r="235" spans="1:15" x14ac:dyDescent="0.35">
      <c r="A235" t="s">
        <v>45</v>
      </c>
      <c r="B235" s="2">
        <v>77128.75</v>
      </c>
      <c r="C235" s="2">
        <v>65536.3</v>
      </c>
      <c r="D235" s="1">
        <v>44052</v>
      </c>
      <c r="E235" t="s">
        <v>11</v>
      </c>
      <c r="F235" t="s">
        <v>210</v>
      </c>
      <c r="G235" t="s">
        <v>48</v>
      </c>
      <c r="H235" t="s">
        <v>74</v>
      </c>
      <c r="I235" t="s">
        <v>15</v>
      </c>
      <c r="J235" t="s">
        <v>378</v>
      </c>
      <c r="K235" s="2">
        <f>Sales_Export_2019_2020__2[[#This Row],[order_value_GBP]]-Sales_Export_2019_2020__2[[#This Row],[ cost ]]</f>
        <v>11592.449999999997</v>
      </c>
      <c r="L235" t="b">
        <f>COUNTIF(Sales_Export_2019_2020__2[order_id],Sales_Export_2019_2020__2[[#This Row],[order_id]])&gt;1</f>
        <v>0</v>
      </c>
      <c r="M235" t="str">
        <f t="shared" si="3"/>
        <v>£75,000 - £79,999</v>
      </c>
      <c r="N235" t="str" cm="1">
        <f t="array" ref="N23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35">
        <f>FLOOR(Sales_Export_2019_2020__2[[#This Row],[order_value_GBP]],5000)</f>
        <v>75000</v>
      </c>
    </row>
    <row r="236" spans="1:15" x14ac:dyDescent="0.35">
      <c r="A236" t="s">
        <v>53</v>
      </c>
      <c r="B236" s="2">
        <v>176114.73</v>
      </c>
      <c r="C236" s="2">
        <v>149257.23000000001</v>
      </c>
      <c r="D236" s="1">
        <v>44159</v>
      </c>
      <c r="E236" t="s">
        <v>80</v>
      </c>
      <c r="F236" t="s">
        <v>35</v>
      </c>
      <c r="G236" t="s">
        <v>55</v>
      </c>
      <c r="H236" t="s">
        <v>56</v>
      </c>
      <c r="I236" t="s">
        <v>28</v>
      </c>
      <c r="J236" t="s">
        <v>379</v>
      </c>
      <c r="K236" s="2">
        <f>Sales_Export_2019_2020__2[[#This Row],[order_value_GBP]]-Sales_Export_2019_2020__2[[#This Row],[ cost ]]</f>
        <v>26857.5</v>
      </c>
      <c r="L236" t="b">
        <f>COUNTIF(Sales_Export_2019_2020__2[order_id],Sales_Export_2019_2020__2[[#This Row],[order_id]])&gt;1</f>
        <v>0</v>
      </c>
      <c r="M236" t="str">
        <f t="shared" si="3"/>
        <v>£175,000 - £179,999</v>
      </c>
      <c r="N236" t="str" cm="1">
        <f t="array" ref="N23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36">
        <f>FLOOR(Sales_Export_2019_2020__2[[#This Row],[order_value_GBP]],5000)</f>
        <v>175000</v>
      </c>
    </row>
    <row r="237" spans="1:15" x14ac:dyDescent="0.35">
      <c r="A237" t="s">
        <v>53</v>
      </c>
      <c r="B237" s="2">
        <v>146325.53</v>
      </c>
      <c r="C237" s="2">
        <v>118333.46</v>
      </c>
      <c r="D237" s="1">
        <v>44052</v>
      </c>
      <c r="E237" t="s">
        <v>18</v>
      </c>
      <c r="F237" t="s">
        <v>380</v>
      </c>
      <c r="G237" t="s">
        <v>55</v>
      </c>
      <c r="H237" t="s">
        <v>128</v>
      </c>
      <c r="I237" t="s">
        <v>28</v>
      </c>
      <c r="J237" t="s">
        <v>381</v>
      </c>
      <c r="K237" s="2">
        <f>Sales_Export_2019_2020__2[[#This Row],[order_value_GBP]]-Sales_Export_2019_2020__2[[#This Row],[ cost ]]</f>
        <v>27992.069999999992</v>
      </c>
      <c r="L237" t="b">
        <f>COUNTIF(Sales_Export_2019_2020__2[order_id],Sales_Export_2019_2020__2[[#This Row],[order_id]])&gt;1</f>
        <v>0</v>
      </c>
      <c r="M237" t="str">
        <f t="shared" si="3"/>
        <v>£145,000 - £149,999</v>
      </c>
      <c r="N237" t="str" cm="1">
        <f t="array" ref="N23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37">
        <f>FLOOR(Sales_Export_2019_2020__2[[#This Row],[order_value_GBP]],5000)</f>
        <v>145000</v>
      </c>
    </row>
    <row r="238" spans="1:15" x14ac:dyDescent="0.35">
      <c r="A238" t="s">
        <v>215</v>
      </c>
      <c r="B238" s="2">
        <v>161823.46</v>
      </c>
      <c r="C238" s="2">
        <v>130494.44</v>
      </c>
      <c r="D238" s="1">
        <v>44032</v>
      </c>
      <c r="E238" t="s">
        <v>24</v>
      </c>
      <c r="F238" t="s">
        <v>114</v>
      </c>
      <c r="G238" t="s">
        <v>216</v>
      </c>
      <c r="H238" t="s">
        <v>217</v>
      </c>
      <c r="I238" t="s">
        <v>28</v>
      </c>
      <c r="J238" t="s">
        <v>382</v>
      </c>
      <c r="K238" s="2">
        <f>Sales_Export_2019_2020__2[[#This Row],[order_value_GBP]]-Sales_Export_2019_2020__2[[#This Row],[ cost ]]</f>
        <v>31329.01999999999</v>
      </c>
      <c r="L238" t="b">
        <f>COUNTIF(Sales_Export_2019_2020__2[order_id],Sales_Export_2019_2020__2[[#This Row],[order_id]])&gt;1</f>
        <v>0</v>
      </c>
      <c r="M238" t="str">
        <f t="shared" si="3"/>
        <v>£160,000 - £164,999</v>
      </c>
      <c r="N238" t="str" cm="1">
        <f t="array" ref="N23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38">
        <f>FLOOR(Sales_Export_2019_2020__2[[#This Row],[order_value_GBP]],5000)</f>
        <v>160000</v>
      </c>
    </row>
    <row r="239" spans="1:15" x14ac:dyDescent="0.35">
      <c r="A239" t="s">
        <v>10</v>
      </c>
      <c r="B239" s="2">
        <v>132632.97</v>
      </c>
      <c r="C239" s="2">
        <v>112035.07</v>
      </c>
      <c r="D239" s="1">
        <v>43578</v>
      </c>
      <c r="E239" t="s">
        <v>80</v>
      </c>
      <c r="F239" t="s">
        <v>116</v>
      </c>
      <c r="G239" t="s">
        <v>13</v>
      </c>
      <c r="H239" t="s">
        <v>69</v>
      </c>
      <c r="I239" t="s">
        <v>28</v>
      </c>
      <c r="J239" t="s">
        <v>383</v>
      </c>
      <c r="K239" s="2">
        <f>Sales_Export_2019_2020__2[[#This Row],[order_value_GBP]]-Sales_Export_2019_2020__2[[#This Row],[ cost ]]</f>
        <v>20597.899999999994</v>
      </c>
      <c r="L239" t="b">
        <f>COUNTIF(Sales_Export_2019_2020__2[order_id],Sales_Export_2019_2020__2[[#This Row],[order_id]])&gt;1</f>
        <v>0</v>
      </c>
      <c r="M239" t="str">
        <f t="shared" si="3"/>
        <v>£130,000 - £134,999</v>
      </c>
      <c r="N239" t="str" cm="1">
        <f t="array" ref="N23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39">
        <f>FLOOR(Sales_Export_2019_2020__2[[#This Row],[order_value_GBP]],5000)</f>
        <v>130000</v>
      </c>
    </row>
    <row r="240" spans="1:15" x14ac:dyDescent="0.35">
      <c r="A240" t="s">
        <v>23</v>
      </c>
      <c r="B240" s="2">
        <v>107232.99</v>
      </c>
      <c r="C240" s="2">
        <v>85207.33</v>
      </c>
      <c r="D240" s="1">
        <v>43898</v>
      </c>
      <c r="E240" t="s">
        <v>51</v>
      </c>
      <c r="F240" t="s">
        <v>31</v>
      </c>
      <c r="G240" t="s">
        <v>26</v>
      </c>
      <c r="H240" t="s">
        <v>27</v>
      </c>
      <c r="I240" t="s">
        <v>28</v>
      </c>
      <c r="J240" t="s">
        <v>384</v>
      </c>
      <c r="K240" s="2">
        <f>Sales_Export_2019_2020__2[[#This Row],[order_value_GBP]]-Sales_Export_2019_2020__2[[#This Row],[ cost ]]</f>
        <v>22025.660000000003</v>
      </c>
      <c r="L240" t="b">
        <f>COUNTIF(Sales_Export_2019_2020__2[order_id],Sales_Export_2019_2020__2[[#This Row],[order_id]])&gt;1</f>
        <v>0</v>
      </c>
      <c r="M240" t="str">
        <f t="shared" si="3"/>
        <v>£105,000 - £109,999</v>
      </c>
      <c r="N240" t="str" cm="1">
        <f t="array" ref="N24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40">
        <f>FLOOR(Sales_Export_2019_2020__2[[#This Row],[order_value_GBP]],5000)</f>
        <v>105000</v>
      </c>
    </row>
    <row r="241" spans="1:15" x14ac:dyDescent="0.35">
      <c r="A241" t="s">
        <v>10</v>
      </c>
      <c r="B241" s="2">
        <v>120763.23</v>
      </c>
      <c r="C241" s="2">
        <v>96719.27</v>
      </c>
      <c r="D241" s="1">
        <v>43935</v>
      </c>
      <c r="E241" t="s">
        <v>24</v>
      </c>
      <c r="F241" t="s">
        <v>102</v>
      </c>
      <c r="G241" t="s">
        <v>13</v>
      </c>
      <c r="H241" t="s">
        <v>69</v>
      </c>
      <c r="I241" t="s">
        <v>28</v>
      </c>
      <c r="J241" t="s">
        <v>385</v>
      </c>
      <c r="K241" s="2">
        <f>Sales_Export_2019_2020__2[[#This Row],[order_value_GBP]]-Sales_Export_2019_2020__2[[#This Row],[ cost ]]</f>
        <v>24043.959999999992</v>
      </c>
      <c r="L241" t="b">
        <f>COUNTIF(Sales_Export_2019_2020__2[order_id],Sales_Export_2019_2020__2[[#This Row],[order_id]])&gt;1</f>
        <v>0</v>
      </c>
      <c r="M241" t="str">
        <f t="shared" si="3"/>
        <v>£120,000 - £124,999</v>
      </c>
      <c r="N241" t="str" cm="1">
        <f t="array" ref="N24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41">
        <f>FLOOR(Sales_Export_2019_2020__2[[#This Row],[order_value_GBP]],5000)</f>
        <v>120000</v>
      </c>
    </row>
    <row r="242" spans="1:15" x14ac:dyDescent="0.35">
      <c r="A242" t="s">
        <v>101</v>
      </c>
      <c r="B242" s="2">
        <v>278731.90000000002</v>
      </c>
      <c r="C242" s="2">
        <v>221591.86</v>
      </c>
      <c r="D242" s="1">
        <v>43804</v>
      </c>
      <c r="E242" t="s">
        <v>51</v>
      </c>
      <c r="F242" t="s">
        <v>188</v>
      </c>
      <c r="G242" t="s">
        <v>103</v>
      </c>
      <c r="H242" t="s">
        <v>162</v>
      </c>
      <c r="I242" t="s">
        <v>28</v>
      </c>
      <c r="J242" t="s">
        <v>386</v>
      </c>
      <c r="K242" s="2">
        <f>Sales_Export_2019_2020__2[[#This Row],[order_value_GBP]]-Sales_Export_2019_2020__2[[#This Row],[ cost ]]</f>
        <v>57140.040000000037</v>
      </c>
      <c r="L242" t="b">
        <f>COUNTIF(Sales_Export_2019_2020__2[order_id],Sales_Export_2019_2020__2[[#This Row],[order_id]])&gt;1</f>
        <v>0</v>
      </c>
      <c r="M242" t="str">
        <f t="shared" si="3"/>
        <v>£275,000 - £279,999</v>
      </c>
      <c r="N242" t="str" cm="1">
        <f t="array" ref="N24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42">
        <f>FLOOR(Sales_Export_2019_2020__2[[#This Row],[order_value_GBP]],5000)</f>
        <v>275000</v>
      </c>
    </row>
    <row r="243" spans="1:15" x14ac:dyDescent="0.35">
      <c r="A243" t="s">
        <v>101</v>
      </c>
      <c r="B243" s="2">
        <v>138153.70000000001</v>
      </c>
      <c r="C243" s="2">
        <v>112926.83</v>
      </c>
      <c r="D243" s="1">
        <v>43510</v>
      </c>
      <c r="E243" t="s">
        <v>18</v>
      </c>
      <c r="F243" t="s">
        <v>148</v>
      </c>
      <c r="G243" t="s">
        <v>103</v>
      </c>
      <c r="H243" t="s">
        <v>162</v>
      </c>
      <c r="I243" t="s">
        <v>28</v>
      </c>
      <c r="J243" t="s">
        <v>387</v>
      </c>
      <c r="K243" s="2">
        <f>Sales_Export_2019_2020__2[[#This Row],[order_value_GBP]]-Sales_Export_2019_2020__2[[#This Row],[ cost ]]</f>
        <v>25226.87000000001</v>
      </c>
      <c r="L243" t="b">
        <f>COUNTIF(Sales_Export_2019_2020__2[order_id],Sales_Export_2019_2020__2[[#This Row],[order_id]])&gt;1</f>
        <v>0</v>
      </c>
      <c r="M243" t="str">
        <f t="shared" si="3"/>
        <v>£135,000 - £139,999</v>
      </c>
      <c r="N243" t="str" cm="1">
        <f t="array" ref="N24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43">
        <f>FLOOR(Sales_Export_2019_2020__2[[#This Row],[order_value_GBP]],5000)</f>
        <v>135000</v>
      </c>
    </row>
    <row r="244" spans="1:15" x14ac:dyDescent="0.35">
      <c r="A244" t="s">
        <v>173</v>
      </c>
      <c r="B244" s="2">
        <v>68802.13</v>
      </c>
      <c r="C244" s="2">
        <v>54635.77</v>
      </c>
      <c r="D244" s="1">
        <v>44089</v>
      </c>
      <c r="E244" t="s">
        <v>30</v>
      </c>
      <c r="F244" t="s">
        <v>112</v>
      </c>
      <c r="G244" t="s">
        <v>175</v>
      </c>
      <c r="H244" t="s">
        <v>176</v>
      </c>
      <c r="I244" t="s">
        <v>28</v>
      </c>
      <c r="J244" t="s">
        <v>388</v>
      </c>
      <c r="K244" s="2">
        <f>Sales_Export_2019_2020__2[[#This Row],[order_value_GBP]]-Sales_Export_2019_2020__2[[#This Row],[ cost ]]</f>
        <v>14166.360000000008</v>
      </c>
      <c r="L244" t="b">
        <f>COUNTIF(Sales_Export_2019_2020__2[order_id],Sales_Export_2019_2020__2[[#This Row],[order_id]])&gt;1</f>
        <v>0</v>
      </c>
      <c r="M244" t="str">
        <f t="shared" si="3"/>
        <v>£65,000 - £69,999</v>
      </c>
      <c r="N244" t="str" cm="1">
        <f t="array" ref="N24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44">
        <f>FLOOR(Sales_Export_2019_2020__2[[#This Row],[order_value_GBP]],5000)</f>
        <v>65000</v>
      </c>
    </row>
    <row r="245" spans="1:15" x14ac:dyDescent="0.35">
      <c r="A245" t="s">
        <v>17</v>
      </c>
      <c r="B245" s="2">
        <v>35619.279999999999</v>
      </c>
      <c r="C245" s="2">
        <v>28192.66</v>
      </c>
      <c r="D245" s="1">
        <v>43473</v>
      </c>
      <c r="E245" t="s">
        <v>80</v>
      </c>
      <c r="F245" t="s">
        <v>102</v>
      </c>
      <c r="G245" t="s">
        <v>20</v>
      </c>
      <c r="H245" t="s">
        <v>21</v>
      </c>
      <c r="I245" t="s">
        <v>28</v>
      </c>
      <c r="J245" t="s">
        <v>389</v>
      </c>
      <c r="K245" s="2">
        <f>Sales_Export_2019_2020__2[[#This Row],[order_value_GBP]]-Sales_Export_2019_2020__2[[#This Row],[ cost ]]</f>
        <v>7426.619999999999</v>
      </c>
      <c r="L245" t="b">
        <f>COUNTIF(Sales_Export_2019_2020__2[order_id],Sales_Export_2019_2020__2[[#This Row],[order_id]])&gt;1</f>
        <v>0</v>
      </c>
      <c r="M245" t="str">
        <f t="shared" si="3"/>
        <v>£35,000 - £39,999</v>
      </c>
      <c r="N245" t="str" cm="1">
        <f t="array" ref="N24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45">
        <f>FLOOR(Sales_Export_2019_2020__2[[#This Row],[order_value_GBP]],5000)</f>
        <v>35000</v>
      </c>
    </row>
    <row r="246" spans="1:15" x14ac:dyDescent="0.35">
      <c r="A246" t="s">
        <v>45</v>
      </c>
      <c r="B246" s="2">
        <v>65014.84</v>
      </c>
      <c r="C246" s="2">
        <v>53669.75</v>
      </c>
      <c r="D246" s="1">
        <v>43917</v>
      </c>
      <c r="E246" t="s">
        <v>62</v>
      </c>
      <c r="F246" t="s">
        <v>210</v>
      </c>
      <c r="G246" t="s">
        <v>48</v>
      </c>
      <c r="H246" t="s">
        <v>66</v>
      </c>
      <c r="I246" t="s">
        <v>15</v>
      </c>
      <c r="J246" t="s">
        <v>390</v>
      </c>
      <c r="K246" s="2">
        <f>Sales_Export_2019_2020__2[[#This Row],[order_value_GBP]]-Sales_Export_2019_2020__2[[#This Row],[ cost ]]</f>
        <v>11345.089999999997</v>
      </c>
      <c r="L246" t="b">
        <f>COUNTIF(Sales_Export_2019_2020__2[order_id],Sales_Export_2019_2020__2[[#This Row],[order_id]])&gt;1</f>
        <v>0</v>
      </c>
      <c r="M246" t="str">
        <f t="shared" si="3"/>
        <v>£65,000 - £69,999</v>
      </c>
      <c r="N246" t="str" cm="1">
        <f t="array" ref="N24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46">
        <f>FLOOR(Sales_Export_2019_2020__2[[#This Row],[order_value_GBP]],5000)</f>
        <v>65000</v>
      </c>
    </row>
    <row r="247" spans="1:15" x14ac:dyDescent="0.35">
      <c r="A247" t="s">
        <v>215</v>
      </c>
      <c r="B247" s="2">
        <v>48922.42</v>
      </c>
      <c r="C247" s="2">
        <v>39387.440000000002</v>
      </c>
      <c r="D247" s="1">
        <v>44123</v>
      </c>
      <c r="E247" t="s">
        <v>62</v>
      </c>
      <c r="F247" t="s">
        <v>102</v>
      </c>
      <c r="G247" t="s">
        <v>216</v>
      </c>
      <c r="H247" t="s">
        <v>217</v>
      </c>
      <c r="I247" t="s">
        <v>38</v>
      </c>
      <c r="J247" t="s">
        <v>391</v>
      </c>
      <c r="K247" s="2">
        <f>Sales_Export_2019_2020__2[[#This Row],[order_value_GBP]]-Sales_Export_2019_2020__2[[#This Row],[ cost ]]</f>
        <v>9534.9799999999959</v>
      </c>
      <c r="L247" t="b">
        <f>COUNTIF(Sales_Export_2019_2020__2[order_id],Sales_Export_2019_2020__2[[#This Row],[order_id]])&gt;1</f>
        <v>0</v>
      </c>
      <c r="M247" t="str">
        <f t="shared" si="3"/>
        <v>£45,000 - £49,999</v>
      </c>
      <c r="N247" t="str" cm="1">
        <f t="array" ref="N24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47">
        <f>FLOOR(Sales_Export_2019_2020__2[[#This Row],[order_value_GBP]],5000)</f>
        <v>45000</v>
      </c>
    </row>
    <row r="248" spans="1:15" x14ac:dyDescent="0.35">
      <c r="A248" t="s">
        <v>53</v>
      </c>
      <c r="B248" s="2">
        <v>165262.34</v>
      </c>
      <c r="C248" s="2">
        <v>142621.4</v>
      </c>
      <c r="D248" s="1">
        <v>43970</v>
      </c>
      <c r="E248" t="s">
        <v>80</v>
      </c>
      <c r="F248" t="s">
        <v>160</v>
      </c>
      <c r="G248" t="s">
        <v>55</v>
      </c>
      <c r="H248" t="s">
        <v>72</v>
      </c>
      <c r="I248" t="s">
        <v>15</v>
      </c>
      <c r="J248" t="s">
        <v>392</v>
      </c>
      <c r="K248" s="2">
        <f>Sales_Export_2019_2020__2[[#This Row],[order_value_GBP]]-Sales_Export_2019_2020__2[[#This Row],[ cost ]]</f>
        <v>22640.940000000002</v>
      </c>
      <c r="L248" t="b">
        <f>COUNTIF(Sales_Export_2019_2020__2[order_id],Sales_Export_2019_2020__2[[#This Row],[order_id]])&gt;1</f>
        <v>0</v>
      </c>
      <c r="M248" t="str">
        <f t="shared" si="3"/>
        <v>£165,000 - £169,999</v>
      </c>
      <c r="N248" t="str" cm="1">
        <f t="array" ref="N24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48">
        <f>FLOOR(Sales_Export_2019_2020__2[[#This Row],[order_value_GBP]],5000)</f>
        <v>165000</v>
      </c>
    </row>
    <row r="249" spans="1:15" x14ac:dyDescent="0.35">
      <c r="A249" t="s">
        <v>23</v>
      </c>
      <c r="B249" s="2">
        <v>164117.24</v>
      </c>
      <c r="C249" s="2">
        <v>133509.37</v>
      </c>
      <c r="D249" s="1">
        <v>43979</v>
      </c>
      <c r="E249" t="s">
        <v>80</v>
      </c>
      <c r="F249" t="s">
        <v>178</v>
      </c>
      <c r="G249" t="s">
        <v>26</v>
      </c>
      <c r="H249" t="s">
        <v>76</v>
      </c>
      <c r="I249" t="s">
        <v>28</v>
      </c>
      <c r="J249" t="s">
        <v>393</v>
      </c>
      <c r="K249" s="2">
        <f>Sales_Export_2019_2020__2[[#This Row],[order_value_GBP]]-Sales_Export_2019_2020__2[[#This Row],[ cost ]]</f>
        <v>30607.869999999995</v>
      </c>
      <c r="L249" t="b">
        <f>COUNTIF(Sales_Export_2019_2020__2[order_id],Sales_Export_2019_2020__2[[#This Row],[order_id]])&gt;1</f>
        <v>0</v>
      </c>
      <c r="M249" t="str">
        <f t="shared" si="3"/>
        <v>£160,000 - £164,999</v>
      </c>
      <c r="N249" t="str" cm="1">
        <f t="array" ref="N24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49">
        <f>FLOOR(Sales_Export_2019_2020__2[[#This Row],[order_value_GBP]],5000)</f>
        <v>160000</v>
      </c>
    </row>
    <row r="250" spans="1:15" x14ac:dyDescent="0.35">
      <c r="A250" t="s">
        <v>23</v>
      </c>
      <c r="B250" s="2">
        <v>238085.99</v>
      </c>
      <c r="C250" s="2">
        <v>193587.72</v>
      </c>
      <c r="D250" s="1">
        <v>44028</v>
      </c>
      <c r="E250" t="s">
        <v>24</v>
      </c>
      <c r="F250" t="s">
        <v>71</v>
      </c>
      <c r="G250" t="s">
        <v>26</v>
      </c>
      <c r="H250" t="s">
        <v>90</v>
      </c>
      <c r="I250" t="s">
        <v>28</v>
      </c>
      <c r="J250" t="s">
        <v>394</v>
      </c>
      <c r="K250" s="2">
        <f>Sales_Export_2019_2020__2[[#This Row],[order_value_GBP]]-Sales_Export_2019_2020__2[[#This Row],[ cost ]]</f>
        <v>44498.26999999999</v>
      </c>
      <c r="L250" t="b">
        <f>COUNTIF(Sales_Export_2019_2020__2[order_id],Sales_Export_2019_2020__2[[#This Row],[order_id]])&gt;1</f>
        <v>0</v>
      </c>
      <c r="M250" t="str">
        <f t="shared" si="3"/>
        <v>£235,000 - £239,999</v>
      </c>
      <c r="N250" t="str" cm="1">
        <f t="array" ref="N25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50">
        <f>FLOOR(Sales_Export_2019_2020__2[[#This Row],[order_value_GBP]],5000)</f>
        <v>235000</v>
      </c>
    </row>
    <row r="251" spans="1:15" x14ac:dyDescent="0.35">
      <c r="A251" t="s">
        <v>10</v>
      </c>
      <c r="B251" s="2">
        <v>117733.51</v>
      </c>
      <c r="C251" s="2">
        <v>97294.97</v>
      </c>
      <c r="D251" s="1">
        <v>43659</v>
      </c>
      <c r="E251" t="s">
        <v>80</v>
      </c>
      <c r="F251" t="s">
        <v>395</v>
      </c>
      <c r="G251" t="s">
        <v>13</v>
      </c>
      <c r="H251" t="s">
        <v>170</v>
      </c>
      <c r="I251" t="s">
        <v>28</v>
      </c>
      <c r="J251" t="s">
        <v>396</v>
      </c>
      <c r="K251" s="2">
        <f>Sales_Export_2019_2020__2[[#This Row],[order_value_GBP]]-Sales_Export_2019_2020__2[[#This Row],[ cost ]]</f>
        <v>20438.539999999994</v>
      </c>
      <c r="L251" t="b">
        <f>COUNTIF(Sales_Export_2019_2020__2[order_id],Sales_Export_2019_2020__2[[#This Row],[order_id]])&gt;1</f>
        <v>0</v>
      </c>
      <c r="M251" t="str">
        <f t="shared" si="3"/>
        <v>£115,000 - £119,999</v>
      </c>
      <c r="N251" t="str" cm="1">
        <f t="array" ref="N25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51">
        <f>FLOOR(Sales_Export_2019_2020__2[[#This Row],[order_value_GBP]],5000)</f>
        <v>115000</v>
      </c>
    </row>
    <row r="252" spans="1:15" x14ac:dyDescent="0.35">
      <c r="A252" t="s">
        <v>53</v>
      </c>
      <c r="B252" s="2">
        <v>26713.46</v>
      </c>
      <c r="C252" s="2">
        <v>22043.95</v>
      </c>
      <c r="D252" s="1">
        <v>44116</v>
      </c>
      <c r="E252" t="s">
        <v>30</v>
      </c>
      <c r="F252" t="s">
        <v>64</v>
      </c>
      <c r="G252" t="s">
        <v>55</v>
      </c>
      <c r="H252" t="s">
        <v>133</v>
      </c>
      <c r="I252" t="s">
        <v>28</v>
      </c>
      <c r="J252" t="s">
        <v>397</v>
      </c>
      <c r="K252" s="2">
        <f>Sales_Export_2019_2020__2[[#This Row],[order_value_GBP]]-Sales_Export_2019_2020__2[[#This Row],[ cost ]]</f>
        <v>4669.5099999999984</v>
      </c>
      <c r="L252" t="b">
        <f>COUNTIF(Sales_Export_2019_2020__2[order_id],Sales_Export_2019_2020__2[[#This Row],[order_id]])&gt;1</f>
        <v>0</v>
      </c>
      <c r="M252" t="str">
        <f t="shared" si="3"/>
        <v>£25,000 - £29,999</v>
      </c>
      <c r="N252" t="str" cm="1">
        <f t="array" ref="N25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52">
        <f>FLOOR(Sales_Export_2019_2020__2[[#This Row],[order_value_GBP]],5000)</f>
        <v>25000</v>
      </c>
    </row>
    <row r="253" spans="1:15" x14ac:dyDescent="0.35">
      <c r="A253" t="s">
        <v>53</v>
      </c>
      <c r="B253" s="2">
        <v>49664.17</v>
      </c>
      <c r="C253" s="2">
        <v>39244.629999999997</v>
      </c>
      <c r="D253" s="1">
        <v>43768</v>
      </c>
      <c r="E253" t="s">
        <v>11</v>
      </c>
      <c r="F253" t="s">
        <v>58</v>
      </c>
      <c r="G253" t="s">
        <v>55</v>
      </c>
      <c r="H253" t="s">
        <v>72</v>
      </c>
      <c r="I253" t="s">
        <v>28</v>
      </c>
      <c r="J253" t="s">
        <v>398</v>
      </c>
      <c r="K253" s="2">
        <f>Sales_Export_2019_2020__2[[#This Row],[order_value_GBP]]-Sales_Export_2019_2020__2[[#This Row],[ cost ]]</f>
        <v>10419.540000000001</v>
      </c>
      <c r="L253" t="b">
        <f>COUNTIF(Sales_Export_2019_2020__2[order_id],Sales_Export_2019_2020__2[[#This Row],[order_id]])&gt;1</f>
        <v>0</v>
      </c>
      <c r="M253" t="str">
        <f t="shared" si="3"/>
        <v>£45,000 - £49,999</v>
      </c>
      <c r="N253" t="str" cm="1">
        <f t="array" ref="N25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53">
        <f>FLOOR(Sales_Export_2019_2020__2[[#This Row],[order_value_GBP]],5000)</f>
        <v>45000</v>
      </c>
    </row>
    <row r="254" spans="1:15" x14ac:dyDescent="0.35">
      <c r="A254" t="s">
        <v>10</v>
      </c>
      <c r="B254" s="2">
        <v>162101.93</v>
      </c>
      <c r="C254" s="2">
        <v>133912.4</v>
      </c>
      <c r="D254" s="1">
        <v>43818</v>
      </c>
      <c r="E254" t="s">
        <v>60</v>
      </c>
      <c r="F254" t="s">
        <v>71</v>
      </c>
      <c r="G254" t="s">
        <v>13</v>
      </c>
      <c r="H254" t="s">
        <v>170</v>
      </c>
      <c r="I254" t="s">
        <v>28</v>
      </c>
      <c r="J254" t="s">
        <v>399</v>
      </c>
      <c r="K254" s="2">
        <f>Sales_Export_2019_2020__2[[#This Row],[order_value_GBP]]-Sales_Export_2019_2020__2[[#This Row],[ cost ]]</f>
        <v>28189.53</v>
      </c>
      <c r="L254" t="b">
        <f>COUNTIF(Sales_Export_2019_2020__2[order_id],Sales_Export_2019_2020__2[[#This Row],[order_id]])&gt;1</f>
        <v>0</v>
      </c>
      <c r="M254" t="str">
        <f t="shared" si="3"/>
        <v>£160,000 - £164,999</v>
      </c>
      <c r="N254" t="str" cm="1">
        <f t="array" ref="N25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54">
        <f>FLOOR(Sales_Export_2019_2020__2[[#This Row],[order_value_GBP]],5000)</f>
        <v>160000</v>
      </c>
    </row>
    <row r="255" spans="1:15" x14ac:dyDescent="0.35">
      <c r="A255" t="s">
        <v>53</v>
      </c>
      <c r="B255" s="2">
        <v>118027.37</v>
      </c>
      <c r="C255" s="2">
        <v>96050.67</v>
      </c>
      <c r="D255" s="1">
        <v>43561</v>
      </c>
      <c r="E255" t="s">
        <v>30</v>
      </c>
      <c r="F255" t="s">
        <v>35</v>
      </c>
      <c r="G255" t="s">
        <v>55</v>
      </c>
      <c r="H255" t="s">
        <v>133</v>
      </c>
      <c r="I255" t="s">
        <v>28</v>
      </c>
      <c r="J255" t="s">
        <v>400</v>
      </c>
      <c r="K255" s="2">
        <f>Sales_Export_2019_2020__2[[#This Row],[order_value_GBP]]-Sales_Export_2019_2020__2[[#This Row],[ cost ]]</f>
        <v>21976.699999999997</v>
      </c>
      <c r="L255" t="b">
        <f>COUNTIF(Sales_Export_2019_2020__2[order_id],Sales_Export_2019_2020__2[[#This Row],[order_id]])&gt;1</f>
        <v>0</v>
      </c>
      <c r="M255" t="str">
        <f t="shared" si="3"/>
        <v>£115,000 - £119,999</v>
      </c>
      <c r="N255" t="str" cm="1">
        <f t="array" ref="N25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55">
        <f>FLOOR(Sales_Export_2019_2020__2[[#This Row],[order_value_GBP]],5000)</f>
        <v>115000</v>
      </c>
    </row>
    <row r="256" spans="1:15" x14ac:dyDescent="0.35">
      <c r="A256" t="s">
        <v>10</v>
      </c>
      <c r="B256" s="2">
        <v>147994.63</v>
      </c>
      <c r="C256" s="2">
        <v>129643.3</v>
      </c>
      <c r="D256" s="1">
        <v>43492</v>
      </c>
      <c r="E256" t="s">
        <v>18</v>
      </c>
      <c r="F256" t="s">
        <v>78</v>
      </c>
      <c r="G256" t="s">
        <v>13</v>
      </c>
      <c r="H256" t="s">
        <v>82</v>
      </c>
      <c r="I256" t="s">
        <v>28</v>
      </c>
      <c r="J256" t="s">
        <v>401</v>
      </c>
      <c r="K256" s="2">
        <f>Sales_Export_2019_2020__2[[#This Row],[order_value_GBP]]-Sales_Export_2019_2020__2[[#This Row],[ cost ]]</f>
        <v>18351.330000000002</v>
      </c>
      <c r="L256" t="b">
        <f>COUNTIF(Sales_Export_2019_2020__2[order_id],Sales_Export_2019_2020__2[[#This Row],[order_id]])&gt;1</f>
        <v>0</v>
      </c>
      <c r="M256" t="str">
        <f t="shared" si="3"/>
        <v>£145,000 - £149,999</v>
      </c>
      <c r="N256" t="str" cm="1">
        <f t="array" ref="N25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56">
        <f>FLOOR(Sales_Export_2019_2020__2[[#This Row],[order_value_GBP]],5000)</f>
        <v>145000</v>
      </c>
    </row>
    <row r="257" spans="1:15" x14ac:dyDescent="0.35">
      <c r="A257" t="s">
        <v>17</v>
      </c>
      <c r="B257" s="2">
        <v>48946.74</v>
      </c>
      <c r="C257" s="2">
        <v>38765.82</v>
      </c>
      <c r="D257" s="1">
        <v>43574</v>
      </c>
      <c r="E257" t="s">
        <v>46</v>
      </c>
      <c r="F257" t="s">
        <v>58</v>
      </c>
      <c r="G257" t="s">
        <v>20</v>
      </c>
      <c r="H257" t="s">
        <v>353</v>
      </c>
      <c r="I257" t="s">
        <v>28</v>
      </c>
      <c r="J257" t="s">
        <v>402</v>
      </c>
      <c r="K257" s="2">
        <f>Sales_Export_2019_2020__2[[#This Row],[order_value_GBP]]-Sales_Export_2019_2020__2[[#This Row],[ cost ]]</f>
        <v>10180.919999999998</v>
      </c>
      <c r="L257" t="b">
        <f>COUNTIF(Sales_Export_2019_2020__2[order_id],Sales_Export_2019_2020__2[[#This Row],[order_id]])&gt;1</f>
        <v>0</v>
      </c>
      <c r="M257" t="str">
        <f t="shared" si="3"/>
        <v>£45,000 - £49,999</v>
      </c>
      <c r="N257" t="str" cm="1">
        <f t="array" ref="N25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57">
        <f>FLOOR(Sales_Export_2019_2020__2[[#This Row],[order_value_GBP]],5000)</f>
        <v>45000</v>
      </c>
    </row>
    <row r="258" spans="1:15" x14ac:dyDescent="0.35">
      <c r="A258" t="s">
        <v>10</v>
      </c>
      <c r="B258" s="2">
        <v>73860.570000000007</v>
      </c>
      <c r="C258" s="2">
        <v>60336.7</v>
      </c>
      <c r="D258" s="1">
        <v>44148</v>
      </c>
      <c r="E258" t="s">
        <v>24</v>
      </c>
      <c r="F258" t="s">
        <v>182</v>
      </c>
      <c r="G258" t="s">
        <v>13</v>
      </c>
      <c r="H258" t="s">
        <v>14</v>
      </c>
      <c r="I258" t="s">
        <v>28</v>
      </c>
      <c r="J258" t="s">
        <v>403</v>
      </c>
      <c r="K258" s="2">
        <f>Sales_Export_2019_2020__2[[#This Row],[order_value_GBP]]-Sales_Export_2019_2020__2[[#This Row],[ cost ]]</f>
        <v>13523.87000000001</v>
      </c>
      <c r="L258" t="b">
        <f>COUNTIF(Sales_Export_2019_2020__2[order_id],Sales_Export_2019_2020__2[[#This Row],[order_id]])&gt;1</f>
        <v>0</v>
      </c>
      <c r="M258" t="str">
        <f t="shared" ref="M258:M321" si="4">TEXT(FLOOR(B258,5000),"£#,##0")&amp;" - "&amp;TEXT(FLOOR(B258,5000)+4999,"£#,##0")</f>
        <v>£70,000 - £74,999</v>
      </c>
      <c r="N258" t="str" cm="1">
        <f t="array" ref="N25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58">
        <f>FLOOR(Sales_Export_2019_2020__2[[#This Row],[order_value_GBP]],5000)</f>
        <v>70000</v>
      </c>
    </row>
    <row r="259" spans="1:15" x14ac:dyDescent="0.35">
      <c r="A259" t="s">
        <v>23</v>
      </c>
      <c r="B259" s="2">
        <v>86083.27</v>
      </c>
      <c r="C259" s="2">
        <v>72309.95</v>
      </c>
      <c r="D259" s="1">
        <v>43799</v>
      </c>
      <c r="E259" t="s">
        <v>80</v>
      </c>
      <c r="F259" t="s">
        <v>395</v>
      </c>
      <c r="G259" t="s">
        <v>26</v>
      </c>
      <c r="H259" t="s">
        <v>90</v>
      </c>
      <c r="I259" t="s">
        <v>28</v>
      </c>
      <c r="J259" t="s">
        <v>404</v>
      </c>
      <c r="K259" s="2">
        <f>Sales_Export_2019_2020__2[[#This Row],[order_value_GBP]]-Sales_Export_2019_2020__2[[#This Row],[ cost ]]</f>
        <v>13773.320000000007</v>
      </c>
      <c r="L259" t="b">
        <f>COUNTIF(Sales_Export_2019_2020__2[order_id],Sales_Export_2019_2020__2[[#This Row],[order_id]])&gt;1</f>
        <v>0</v>
      </c>
      <c r="M259" t="str">
        <f t="shared" si="4"/>
        <v>£85,000 - £89,999</v>
      </c>
      <c r="N259" t="str" cm="1">
        <f t="array" ref="N25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59">
        <f>FLOOR(Sales_Export_2019_2020__2[[#This Row],[order_value_GBP]],5000)</f>
        <v>85000</v>
      </c>
    </row>
    <row r="260" spans="1:15" x14ac:dyDescent="0.35">
      <c r="A260" t="s">
        <v>17</v>
      </c>
      <c r="B260" s="2">
        <v>72385.53</v>
      </c>
      <c r="C260" s="2">
        <v>60181.33</v>
      </c>
      <c r="D260" s="1">
        <v>43718</v>
      </c>
      <c r="E260" t="s">
        <v>24</v>
      </c>
      <c r="F260" t="s">
        <v>35</v>
      </c>
      <c r="G260" t="s">
        <v>20</v>
      </c>
      <c r="H260" t="s">
        <v>21</v>
      </c>
      <c r="I260" t="s">
        <v>28</v>
      </c>
      <c r="J260" t="s">
        <v>405</v>
      </c>
      <c r="K260" s="2">
        <f>Sales_Export_2019_2020__2[[#This Row],[order_value_GBP]]-Sales_Export_2019_2020__2[[#This Row],[ cost ]]</f>
        <v>12204.199999999997</v>
      </c>
      <c r="L260" t="b">
        <f>COUNTIF(Sales_Export_2019_2020__2[order_id],Sales_Export_2019_2020__2[[#This Row],[order_id]])&gt;1</f>
        <v>0</v>
      </c>
      <c r="M260" t="str">
        <f t="shared" si="4"/>
        <v>£70,000 - £74,999</v>
      </c>
      <c r="N260" t="str" cm="1">
        <f t="array" ref="N26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60">
        <f>FLOOR(Sales_Export_2019_2020__2[[#This Row],[order_value_GBP]],5000)</f>
        <v>70000</v>
      </c>
    </row>
    <row r="261" spans="1:15" x14ac:dyDescent="0.35">
      <c r="A261" t="s">
        <v>23</v>
      </c>
      <c r="B261" s="2">
        <v>120332.26</v>
      </c>
      <c r="C261" s="2">
        <v>102282.42</v>
      </c>
      <c r="D261" s="1">
        <v>43844</v>
      </c>
      <c r="E261" t="s">
        <v>24</v>
      </c>
      <c r="F261" t="s">
        <v>333</v>
      </c>
      <c r="G261" t="s">
        <v>26</v>
      </c>
      <c r="H261" t="s">
        <v>90</v>
      </c>
      <c r="I261" t="s">
        <v>38</v>
      </c>
      <c r="J261" t="s">
        <v>406</v>
      </c>
      <c r="K261" s="2">
        <f>Sales_Export_2019_2020__2[[#This Row],[order_value_GBP]]-Sales_Export_2019_2020__2[[#This Row],[ cost ]]</f>
        <v>18049.839999999997</v>
      </c>
      <c r="L261" t="b">
        <f>COUNTIF(Sales_Export_2019_2020__2[order_id],Sales_Export_2019_2020__2[[#This Row],[order_id]])&gt;1</f>
        <v>0</v>
      </c>
      <c r="M261" t="str">
        <f t="shared" si="4"/>
        <v>£120,000 - £124,999</v>
      </c>
      <c r="N261" t="str" cm="1">
        <f t="array" ref="N26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61">
        <f>FLOOR(Sales_Export_2019_2020__2[[#This Row],[order_value_GBP]],5000)</f>
        <v>120000</v>
      </c>
    </row>
    <row r="262" spans="1:15" x14ac:dyDescent="0.35">
      <c r="A262" t="s">
        <v>10</v>
      </c>
      <c r="B262" s="2">
        <v>81262.34</v>
      </c>
      <c r="C262" s="2">
        <v>65326.8</v>
      </c>
      <c r="D262" s="1">
        <v>43714</v>
      </c>
      <c r="E262" t="s">
        <v>11</v>
      </c>
      <c r="F262" t="s">
        <v>35</v>
      </c>
      <c r="G262" t="s">
        <v>13</v>
      </c>
      <c r="H262" t="s">
        <v>69</v>
      </c>
      <c r="I262" t="s">
        <v>15</v>
      </c>
      <c r="J262" t="s">
        <v>407</v>
      </c>
      <c r="K262" s="2">
        <f>Sales_Export_2019_2020__2[[#This Row],[order_value_GBP]]-Sales_Export_2019_2020__2[[#This Row],[ cost ]]</f>
        <v>15935.539999999994</v>
      </c>
      <c r="L262" t="b">
        <f>COUNTIF(Sales_Export_2019_2020__2[order_id],Sales_Export_2019_2020__2[[#This Row],[order_id]])&gt;1</f>
        <v>0</v>
      </c>
      <c r="M262" t="str">
        <f t="shared" si="4"/>
        <v>£80,000 - £84,999</v>
      </c>
      <c r="N262" t="str" cm="1">
        <f t="array" ref="N26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62">
        <f>FLOOR(Sales_Export_2019_2020__2[[#This Row],[order_value_GBP]],5000)</f>
        <v>80000</v>
      </c>
    </row>
    <row r="263" spans="1:15" x14ac:dyDescent="0.35">
      <c r="A263" t="s">
        <v>408</v>
      </c>
      <c r="B263" s="2">
        <v>139075.59</v>
      </c>
      <c r="C263" s="2">
        <v>113708.2</v>
      </c>
      <c r="D263" s="1">
        <v>44181</v>
      </c>
      <c r="E263" t="s">
        <v>18</v>
      </c>
      <c r="F263" t="s">
        <v>102</v>
      </c>
      <c r="G263" t="s">
        <v>409</v>
      </c>
      <c r="H263" t="s">
        <v>410</v>
      </c>
      <c r="I263" t="s">
        <v>28</v>
      </c>
      <c r="J263" t="s">
        <v>411</v>
      </c>
      <c r="K263" s="2">
        <f>Sales_Export_2019_2020__2[[#This Row],[order_value_GBP]]-Sales_Export_2019_2020__2[[#This Row],[ cost ]]</f>
        <v>25367.39</v>
      </c>
      <c r="L263" t="b">
        <f>COUNTIF(Sales_Export_2019_2020__2[order_id],Sales_Export_2019_2020__2[[#This Row],[order_id]])&gt;1</f>
        <v>0</v>
      </c>
      <c r="M263" t="str">
        <f t="shared" si="4"/>
        <v>£135,000 - £139,999</v>
      </c>
      <c r="N263" t="str" cm="1">
        <f t="array" ref="N26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63">
        <f>FLOOR(Sales_Export_2019_2020__2[[#This Row],[order_value_GBP]],5000)</f>
        <v>135000</v>
      </c>
    </row>
    <row r="264" spans="1:15" x14ac:dyDescent="0.35">
      <c r="A264" t="s">
        <v>53</v>
      </c>
      <c r="B264" s="2">
        <v>50516.2</v>
      </c>
      <c r="C264" s="2">
        <v>43918.78</v>
      </c>
      <c r="D264" s="1">
        <v>43546</v>
      </c>
      <c r="E264" t="s">
        <v>80</v>
      </c>
      <c r="F264" t="s">
        <v>126</v>
      </c>
      <c r="G264" t="s">
        <v>55</v>
      </c>
      <c r="H264" t="s">
        <v>56</v>
      </c>
      <c r="I264" t="s">
        <v>28</v>
      </c>
      <c r="J264" t="s">
        <v>412</v>
      </c>
      <c r="K264" s="2">
        <f>Sales_Export_2019_2020__2[[#This Row],[order_value_GBP]]-Sales_Export_2019_2020__2[[#This Row],[ cost ]]</f>
        <v>6597.4199999999983</v>
      </c>
      <c r="L264" t="b">
        <f>COUNTIF(Sales_Export_2019_2020__2[order_id],Sales_Export_2019_2020__2[[#This Row],[order_id]])&gt;1</f>
        <v>0</v>
      </c>
      <c r="M264" t="str">
        <f t="shared" si="4"/>
        <v>£50,000 - £54,999</v>
      </c>
      <c r="N264" t="str" cm="1">
        <f t="array" ref="N26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64">
        <f>FLOOR(Sales_Export_2019_2020__2[[#This Row],[order_value_GBP]],5000)</f>
        <v>50000</v>
      </c>
    </row>
    <row r="265" spans="1:15" x14ac:dyDescent="0.35">
      <c r="A265" t="s">
        <v>10</v>
      </c>
      <c r="B265" s="2">
        <v>112228.82</v>
      </c>
      <c r="C265" s="2">
        <v>97470.73</v>
      </c>
      <c r="D265" s="1">
        <v>43723</v>
      </c>
      <c r="E265" t="s">
        <v>62</v>
      </c>
      <c r="F265" t="s">
        <v>54</v>
      </c>
      <c r="G265" t="s">
        <v>13</v>
      </c>
      <c r="H265" t="s">
        <v>14</v>
      </c>
      <c r="I265" t="s">
        <v>28</v>
      </c>
      <c r="J265" t="s">
        <v>413</v>
      </c>
      <c r="K265" s="2">
        <f>Sales_Export_2019_2020__2[[#This Row],[order_value_GBP]]-Sales_Export_2019_2020__2[[#This Row],[ cost ]]</f>
        <v>14758.090000000011</v>
      </c>
      <c r="L265" t="b">
        <f>COUNTIF(Sales_Export_2019_2020__2[order_id],Sales_Export_2019_2020__2[[#This Row],[order_id]])&gt;1</f>
        <v>0</v>
      </c>
      <c r="M265" t="str">
        <f t="shared" si="4"/>
        <v>£110,000 - £114,999</v>
      </c>
      <c r="N265" t="str" cm="1">
        <f t="array" ref="N26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65">
        <f>FLOOR(Sales_Export_2019_2020__2[[#This Row],[order_value_GBP]],5000)</f>
        <v>110000</v>
      </c>
    </row>
    <row r="266" spans="1:15" x14ac:dyDescent="0.35">
      <c r="A266" t="s">
        <v>53</v>
      </c>
      <c r="B266" s="2">
        <v>79833.600000000006</v>
      </c>
      <c r="C266" s="2">
        <v>63411.83</v>
      </c>
      <c r="D266" s="1">
        <v>43631</v>
      </c>
      <c r="E266" t="s">
        <v>51</v>
      </c>
      <c r="F266" t="s">
        <v>148</v>
      </c>
      <c r="G266" t="s">
        <v>55</v>
      </c>
      <c r="H266" t="s">
        <v>144</v>
      </c>
      <c r="I266" t="s">
        <v>28</v>
      </c>
      <c r="J266" t="s">
        <v>414</v>
      </c>
      <c r="K266" s="2">
        <f>Sales_Export_2019_2020__2[[#This Row],[order_value_GBP]]-Sales_Export_2019_2020__2[[#This Row],[ cost ]]</f>
        <v>16421.770000000004</v>
      </c>
      <c r="L266" t="b">
        <f>COUNTIF(Sales_Export_2019_2020__2[order_id],Sales_Export_2019_2020__2[[#This Row],[order_id]])&gt;1</f>
        <v>0</v>
      </c>
      <c r="M266" t="str">
        <f t="shared" si="4"/>
        <v>£75,000 - £79,999</v>
      </c>
      <c r="N266" t="str" cm="1">
        <f t="array" ref="N26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66">
        <f>FLOOR(Sales_Export_2019_2020__2[[#This Row],[order_value_GBP]],5000)</f>
        <v>75000</v>
      </c>
    </row>
    <row r="267" spans="1:15" x14ac:dyDescent="0.35">
      <c r="A267" t="s">
        <v>17</v>
      </c>
      <c r="B267" s="2">
        <v>135629.35999999999</v>
      </c>
      <c r="C267" s="2">
        <v>118526.5</v>
      </c>
      <c r="D267" s="1">
        <v>44055</v>
      </c>
      <c r="E267" t="s">
        <v>18</v>
      </c>
      <c r="F267" t="s">
        <v>68</v>
      </c>
      <c r="G267" t="s">
        <v>20</v>
      </c>
      <c r="H267" t="s">
        <v>353</v>
      </c>
      <c r="I267" t="s">
        <v>28</v>
      </c>
      <c r="J267" t="s">
        <v>415</v>
      </c>
      <c r="K267" s="2">
        <f>Sales_Export_2019_2020__2[[#This Row],[order_value_GBP]]-Sales_Export_2019_2020__2[[#This Row],[ cost ]]</f>
        <v>17102.859999999986</v>
      </c>
      <c r="L267" t="b">
        <f>COUNTIF(Sales_Export_2019_2020__2[order_id],Sales_Export_2019_2020__2[[#This Row],[order_id]])&gt;1</f>
        <v>0</v>
      </c>
      <c r="M267" t="str">
        <f t="shared" si="4"/>
        <v>£135,000 - £139,999</v>
      </c>
      <c r="N267" t="str" cm="1">
        <f t="array" ref="N26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67">
        <f>FLOOR(Sales_Export_2019_2020__2[[#This Row],[order_value_GBP]],5000)</f>
        <v>135000</v>
      </c>
    </row>
    <row r="268" spans="1:15" x14ac:dyDescent="0.35">
      <c r="A268" t="s">
        <v>106</v>
      </c>
      <c r="B268" s="2">
        <v>175332.04</v>
      </c>
      <c r="C268" s="2">
        <v>144999.6</v>
      </c>
      <c r="D268" s="1">
        <v>44098</v>
      </c>
      <c r="E268" t="s">
        <v>46</v>
      </c>
      <c r="F268" t="s">
        <v>166</v>
      </c>
      <c r="G268" t="s">
        <v>107</v>
      </c>
      <c r="H268" t="s">
        <v>108</v>
      </c>
      <c r="I268" t="s">
        <v>28</v>
      </c>
      <c r="J268" t="s">
        <v>416</v>
      </c>
      <c r="K268" s="2">
        <f>Sales_Export_2019_2020__2[[#This Row],[order_value_GBP]]-Sales_Export_2019_2020__2[[#This Row],[ cost ]]</f>
        <v>30332.440000000002</v>
      </c>
      <c r="L268" t="b">
        <f>COUNTIF(Sales_Export_2019_2020__2[order_id],Sales_Export_2019_2020__2[[#This Row],[order_id]])&gt;1</f>
        <v>0</v>
      </c>
      <c r="M268" t="str">
        <f t="shared" si="4"/>
        <v>£175,000 - £179,999</v>
      </c>
      <c r="N268" t="str" cm="1">
        <f t="array" ref="N26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68">
        <f>FLOOR(Sales_Export_2019_2020__2[[#This Row],[order_value_GBP]],5000)</f>
        <v>175000</v>
      </c>
    </row>
    <row r="269" spans="1:15" x14ac:dyDescent="0.35">
      <c r="A269" t="s">
        <v>23</v>
      </c>
      <c r="B269" s="2">
        <v>101923.36</v>
      </c>
      <c r="C269" s="2">
        <v>86115.05</v>
      </c>
      <c r="D269" s="1">
        <v>43484</v>
      </c>
      <c r="E269" t="s">
        <v>30</v>
      </c>
      <c r="F269" t="s">
        <v>201</v>
      </c>
      <c r="G269" t="s">
        <v>26</v>
      </c>
      <c r="H269" t="s">
        <v>219</v>
      </c>
      <c r="I269" t="s">
        <v>15</v>
      </c>
      <c r="J269" t="s">
        <v>417</v>
      </c>
      <c r="K269" s="2">
        <f>Sales_Export_2019_2020__2[[#This Row],[order_value_GBP]]-Sales_Export_2019_2020__2[[#This Row],[ cost ]]</f>
        <v>15808.309999999998</v>
      </c>
      <c r="L269" t="b">
        <f>COUNTIF(Sales_Export_2019_2020__2[order_id],Sales_Export_2019_2020__2[[#This Row],[order_id]])&gt;1</f>
        <v>0</v>
      </c>
      <c r="M269" t="str">
        <f t="shared" si="4"/>
        <v>£100,000 - £104,999</v>
      </c>
      <c r="N269" t="str" cm="1">
        <f t="array" ref="N26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69">
        <f>FLOOR(Sales_Export_2019_2020__2[[#This Row],[order_value_GBP]],5000)</f>
        <v>100000</v>
      </c>
    </row>
    <row r="270" spans="1:15" x14ac:dyDescent="0.35">
      <c r="A270" t="s">
        <v>215</v>
      </c>
      <c r="B270" s="2">
        <v>190100.96</v>
      </c>
      <c r="C270" s="2">
        <v>160749.37</v>
      </c>
      <c r="D270" s="1">
        <v>43819</v>
      </c>
      <c r="E270" t="s">
        <v>80</v>
      </c>
      <c r="F270" t="s">
        <v>155</v>
      </c>
      <c r="G270" t="s">
        <v>216</v>
      </c>
      <c r="H270" t="s">
        <v>217</v>
      </c>
      <c r="I270" t="s">
        <v>28</v>
      </c>
      <c r="J270" t="s">
        <v>418</v>
      </c>
      <c r="K270" s="2">
        <f>Sales_Export_2019_2020__2[[#This Row],[order_value_GBP]]-Sales_Export_2019_2020__2[[#This Row],[ cost ]]</f>
        <v>29351.589999999997</v>
      </c>
      <c r="L270" t="b">
        <f>COUNTIF(Sales_Export_2019_2020__2[order_id],Sales_Export_2019_2020__2[[#This Row],[order_id]])&gt;1</f>
        <v>0</v>
      </c>
      <c r="M270" t="str">
        <f t="shared" si="4"/>
        <v>£190,000 - £194,999</v>
      </c>
      <c r="N270" t="str" cm="1">
        <f t="array" ref="N27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70">
        <f>FLOOR(Sales_Export_2019_2020__2[[#This Row],[order_value_GBP]],5000)</f>
        <v>190000</v>
      </c>
    </row>
    <row r="271" spans="1:15" x14ac:dyDescent="0.35">
      <c r="A271" t="s">
        <v>84</v>
      </c>
      <c r="B271" s="2">
        <v>152771.9</v>
      </c>
      <c r="C271" s="2">
        <v>134423.99</v>
      </c>
      <c r="D271" s="1">
        <v>43953</v>
      </c>
      <c r="E271" t="s">
        <v>24</v>
      </c>
      <c r="F271" t="s">
        <v>224</v>
      </c>
      <c r="G271" t="s">
        <v>85</v>
      </c>
      <c r="H271" t="s">
        <v>86</v>
      </c>
      <c r="I271" t="s">
        <v>28</v>
      </c>
      <c r="J271" t="s">
        <v>419</v>
      </c>
      <c r="K271" s="2">
        <f>Sales_Export_2019_2020__2[[#This Row],[order_value_GBP]]-Sales_Export_2019_2020__2[[#This Row],[ cost ]]</f>
        <v>18347.910000000003</v>
      </c>
      <c r="L271" t="b">
        <f>COUNTIF(Sales_Export_2019_2020__2[order_id],Sales_Export_2019_2020__2[[#This Row],[order_id]])&gt;1</f>
        <v>0</v>
      </c>
      <c r="M271" t="str">
        <f t="shared" si="4"/>
        <v>£150,000 - £154,999</v>
      </c>
      <c r="N271" t="str" cm="1">
        <f t="array" ref="N27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71">
        <f>FLOOR(Sales_Export_2019_2020__2[[#This Row],[order_value_GBP]],5000)</f>
        <v>150000</v>
      </c>
    </row>
    <row r="272" spans="1:15" x14ac:dyDescent="0.35">
      <c r="A272" t="s">
        <v>53</v>
      </c>
      <c r="B272" s="2">
        <v>52805.94</v>
      </c>
      <c r="C272" s="2">
        <v>43791.97</v>
      </c>
      <c r="D272" s="1">
        <v>44004</v>
      </c>
      <c r="E272" t="s">
        <v>60</v>
      </c>
      <c r="F272" t="s">
        <v>234</v>
      </c>
      <c r="G272" t="s">
        <v>55</v>
      </c>
      <c r="H272" t="s">
        <v>72</v>
      </c>
      <c r="I272" t="s">
        <v>28</v>
      </c>
      <c r="J272" t="s">
        <v>420</v>
      </c>
      <c r="K272" s="2">
        <f>Sales_Export_2019_2020__2[[#This Row],[order_value_GBP]]-Sales_Export_2019_2020__2[[#This Row],[ cost ]]</f>
        <v>9013.9700000000012</v>
      </c>
      <c r="L272" t="b">
        <f>COUNTIF(Sales_Export_2019_2020__2[order_id],Sales_Export_2019_2020__2[[#This Row],[order_id]])&gt;1</f>
        <v>0</v>
      </c>
      <c r="M272" t="str">
        <f t="shared" si="4"/>
        <v>£50,000 - £54,999</v>
      </c>
      <c r="N272" t="str" cm="1">
        <f t="array" ref="N27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72">
        <f>FLOOR(Sales_Export_2019_2020__2[[#This Row],[order_value_GBP]],5000)</f>
        <v>50000</v>
      </c>
    </row>
    <row r="273" spans="1:15" x14ac:dyDescent="0.35">
      <c r="A273" t="s">
        <v>23</v>
      </c>
      <c r="B273" s="2">
        <v>51416.24</v>
      </c>
      <c r="C273" s="2">
        <v>43338.75</v>
      </c>
      <c r="D273" s="1">
        <v>43936</v>
      </c>
      <c r="E273" t="s">
        <v>60</v>
      </c>
      <c r="F273" t="s">
        <v>150</v>
      </c>
      <c r="G273" t="s">
        <v>26</v>
      </c>
      <c r="H273" t="s">
        <v>32</v>
      </c>
      <c r="I273" t="s">
        <v>28</v>
      </c>
      <c r="J273" t="s">
        <v>421</v>
      </c>
      <c r="K273" s="2">
        <f>Sales_Export_2019_2020__2[[#This Row],[order_value_GBP]]-Sales_Export_2019_2020__2[[#This Row],[ cost ]]</f>
        <v>8077.489999999998</v>
      </c>
      <c r="L273" t="b">
        <f>COUNTIF(Sales_Export_2019_2020__2[order_id],Sales_Export_2019_2020__2[[#This Row],[order_id]])&gt;1</f>
        <v>0</v>
      </c>
      <c r="M273" t="str">
        <f t="shared" si="4"/>
        <v>£50,000 - £54,999</v>
      </c>
      <c r="N273" t="str" cm="1">
        <f t="array" ref="N27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73">
        <f>FLOOR(Sales_Export_2019_2020__2[[#This Row],[order_value_GBP]],5000)</f>
        <v>50000</v>
      </c>
    </row>
    <row r="274" spans="1:15" x14ac:dyDescent="0.35">
      <c r="A274" t="s">
        <v>106</v>
      </c>
      <c r="B274" s="2">
        <v>76426.539999999994</v>
      </c>
      <c r="C274" s="2">
        <v>66116.600000000006</v>
      </c>
      <c r="D274" s="1">
        <v>43540</v>
      </c>
      <c r="E274" t="s">
        <v>24</v>
      </c>
      <c r="F274" t="s">
        <v>185</v>
      </c>
      <c r="G274" t="s">
        <v>107</v>
      </c>
      <c r="H274" t="s">
        <v>108</v>
      </c>
      <c r="I274" t="s">
        <v>28</v>
      </c>
      <c r="J274" t="s">
        <v>422</v>
      </c>
      <c r="K274" s="2">
        <f>Sales_Export_2019_2020__2[[#This Row],[order_value_GBP]]-Sales_Export_2019_2020__2[[#This Row],[ cost ]]</f>
        <v>10309.939999999988</v>
      </c>
      <c r="L274" t="b">
        <f>COUNTIF(Sales_Export_2019_2020__2[order_id],Sales_Export_2019_2020__2[[#This Row],[order_id]])&gt;1</f>
        <v>0</v>
      </c>
      <c r="M274" t="str">
        <f t="shared" si="4"/>
        <v>£75,000 - £79,999</v>
      </c>
      <c r="N274" t="str" cm="1">
        <f t="array" ref="N27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74">
        <f>FLOOR(Sales_Export_2019_2020__2[[#This Row],[order_value_GBP]],5000)</f>
        <v>75000</v>
      </c>
    </row>
    <row r="275" spans="1:15" x14ac:dyDescent="0.35">
      <c r="A275" t="s">
        <v>53</v>
      </c>
      <c r="B275" s="2">
        <v>118021.59</v>
      </c>
      <c r="C275" s="2">
        <v>98229.37</v>
      </c>
      <c r="D275" s="1">
        <v>43576</v>
      </c>
      <c r="E275" t="s">
        <v>30</v>
      </c>
      <c r="F275" t="s">
        <v>203</v>
      </c>
      <c r="G275" t="s">
        <v>55</v>
      </c>
      <c r="H275" t="s">
        <v>56</v>
      </c>
      <c r="I275" t="s">
        <v>28</v>
      </c>
      <c r="J275" t="s">
        <v>423</v>
      </c>
      <c r="K275" s="2">
        <f>Sales_Export_2019_2020__2[[#This Row],[order_value_GBP]]-Sales_Export_2019_2020__2[[#This Row],[ cost ]]</f>
        <v>19792.22</v>
      </c>
      <c r="L275" t="b">
        <f>COUNTIF(Sales_Export_2019_2020__2[order_id],Sales_Export_2019_2020__2[[#This Row],[order_id]])&gt;1</f>
        <v>0</v>
      </c>
      <c r="M275" t="str">
        <f t="shared" si="4"/>
        <v>£115,000 - £119,999</v>
      </c>
      <c r="N275" t="str" cm="1">
        <f t="array" ref="N27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75">
        <f>FLOOR(Sales_Export_2019_2020__2[[#This Row],[order_value_GBP]],5000)</f>
        <v>115000</v>
      </c>
    </row>
    <row r="276" spans="1:15" x14ac:dyDescent="0.35">
      <c r="A276" t="s">
        <v>23</v>
      </c>
      <c r="B276" s="2">
        <v>59378.97</v>
      </c>
      <c r="C276" s="2">
        <v>52176.3</v>
      </c>
      <c r="D276" s="1">
        <v>43946</v>
      </c>
      <c r="E276" t="s">
        <v>51</v>
      </c>
      <c r="F276" t="s">
        <v>43</v>
      </c>
      <c r="G276" t="s">
        <v>26</v>
      </c>
      <c r="H276" t="s">
        <v>76</v>
      </c>
      <c r="I276" t="s">
        <v>28</v>
      </c>
      <c r="J276" t="s">
        <v>424</v>
      </c>
      <c r="K276" s="2">
        <f>Sales_Export_2019_2020__2[[#This Row],[order_value_GBP]]-Sales_Export_2019_2020__2[[#This Row],[ cost ]]</f>
        <v>7202.6699999999983</v>
      </c>
      <c r="L276" t="b">
        <f>COUNTIF(Sales_Export_2019_2020__2[order_id],Sales_Export_2019_2020__2[[#This Row],[order_id]])&gt;1</f>
        <v>0</v>
      </c>
      <c r="M276" t="str">
        <f t="shared" si="4"/>
        <v>£55,000 - £59,999</v>
      </c>
      <c r="N276" t="str" cm="1">
        <f t="array" ref="N27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76">
        <f>FLOOR(Sales_Export_2019_2020__2[[#This Row],[order_value_GBP]],5000)</f>
        <v>55000</v>
      </c>
    </row>
    <row r="277" spans="1:15" x14ac:dyDescent="0.35">
      <c r="A277" t="s">
        <v>34</v>
      </c>
      <c r="B277" s="2">
        <v>61325.25</v>
      </c>
      <c r="C277" s="2">
        <v>49379.09</v>
      </c>
      <c r="D277" s="1">
        <v>44041</v>
      </c>
      <c r="E277" t="s">
        <v>30</v>
      </c>
      <c r="F277" t="s">
        <v>31</v>
      </c>
      <c r="G277" t="s">
        <v>36</v>
      </c>
      <c r="H277" t="s">
        <v>425</v>
      </c>
      <c r="I277" t="s">
        <v>38</v>
      </c>
      <c r="J277" t="s">
        <v>426</v>
      </c>
      <c r="K277" s="2">
        <f>Sales_Export_2019_2020__2[[#This Row],[order_value_GBP]]-Sales_Export_2019_2020__2[[#This Row],[ cost ]]</f>
        <v>11946.160000000003</v>
      </c>
      <c r="L277" t="b">
        <f>COUNTIF(Sales_Export_2019_2020__2[order_id],Sales_Export_2019_2020__2[[#This Row],[order_id]])&gt;1</f>
        <v>0</v>
      </c>
      <c r="M277" t="str">
        <f t="shared" si="4"/>
        <v>£60,000 - £64,999</v>
      </c>
      <c r="N277" t="str" cm="1">
        <f t="array" ref="N27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77">
        <f>FLOOR(Sales_Export_2019_2020__2[[#This Row],[order_value_GBP]],5000)</f>
        <v>60000</v>
      </c>
    </row>
    <row r="278" spans="1:15" x14ac:dyDescent="0.35">
      <c r="A278" t="s">
        <v>53</v>
      </c>
      <c r="B278" s="2">
        <v>80431.34</v>
      </c>
      <c r="C278" s="2">
        <v>69774.19</v>
      </c>
      <c r="D278" s="1">
        <v>43668</v>
      </c>
      <c r="E278" t="s">
        <v>30</v>
      </c>
      <c r="F278" t="s">
        <v>31</v>
      </c>
      <c r="G278" t="s">
        <v>55</v>
      </c>
      <c r="H278" t="s">
        <v>128</v>
      </c>
      <c r="I278" t="s">
        <v>28</v>
      </c>
      <c r="J278" t="s">
        <v>427</v>
      </c>
      <c r="K278" s="2">
        <f>Sales_Export_2019_2020__2[[#This Row],[order_value_GBP]]-Sales_Export_2019_2020__2[[#This Row],[ cost ]]</f>
        <v>10657.149999999994</v>
      </c>
      <c r="L278" t="b">
        <f>COUNTIF(Sales_Export_2019_2020__2[order_id],Sales_Export_2019_2020__2[[#This Row],[order_id]])&gt;1</f>
        <v>0</v>
      </c>
      <c r="M278" t="str">
        <f t="shared" si="4"/>
        <v>£80,000 - £84,999</v>
      </c>
      <c r="N278" t="str" cm="1">
        <f t="array" ref="N27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78">
        <f>FLOOR(Sales_Export_2019_2020__2[[#This Row],[order_value_GBP]],5000)</f>
        <v>80000</v>
      </c>
    </row>
    <row r="279" spans="1:15" x14ac:dyDescent="0.35">
      <c r="A279" t="s">
        <v>23</v>
      </c>
      <c r="B279" s="2">
        <v>177919.14</v>
      </c>
      <c r="C279" s="2">
        <v>147370.42000000001</v>
      </c>
      <c r="D279" s="1">
        <v>43989</v>
      </c>
      <c r="E279" t="s">
        <v>30</v>
      </c>
      <c r="F279" t="s">
        <v>155</v>
      </c>
      <c r="G279" t="s">
        <v>26</v>
      </c>
      <c r="H279" t="s">
        <v>32</v>
      </c>
      <c r="I279" t="s">
        <v>28</v>
      </c>
      <c r="J279" t="s">
        <v>428</v>
      </c>
      <c r="K279" s="2">
        <f>Sales_Export_2019_2020__2[[#This Row],[order_value_GBP]]-Sales_Export_2019_2020__2[[#This Row],[ cost ]]</f>
        <v>30548.720000000001</v>
      </c>
      <c r="L279" t="b">
        <f>COUNTIF(Sales_Export_2019_2020__2[order_id],Sales_Export_2019_2020__2[[#This Row],[order_id]])&gt;1</f>
        <v>0</v>
      </c>
      <c r="M279" t="str">
        <f t="shared" si="4"/>
        <v>£175,000 - £179,999</v>
      </c>
      <c r="N279" t="str" cm="1">
        <f t="array" ref="N27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79">
        <f>FLOOR(Sales_Export_2019_2020__2[[#This Row],[order_value_GBP]],5000)</f>
        <v>175000</v>
      </c>
    </row>
    <row r="280" spans="1:15" x14ac:dyDescent="0.35">
      <c r="A280" t="s">
        <v>173</v>
      </c>
      <c r="B280" s="2">
        <v>37520.089999999997</v>
      </c>
      <c r="C280" s="2">
        <v>32781.300000000003</v>
      </c>
      <c r="D280" s="1">
        <v>43978</v>
      </c>
      <c r="E280" t="s">
        <v>24</v>
      </c>
      <c r="F280" t="s">
        <v>234</v>
      </c>
      <c r="G280" t="s">
        <v>175</v>
      </c>
      <c r="H280" t="s">
        <v>176</v>
      </c>
      <c r="I280" t="s">
        <v>15</v>
      </c>
      <c r="J280" t="s">
        <v>429</v>
      </c>
      <c r="K280" s="2">
        <f>Sales_Export_2019_2020__2[[#This Row],[order_value_GBP]]-Sales_Export_2019_2020__2[[#This Row],[ cost ]]</f>
        <v>4738.7899999999936</v>
      </c>
      <c r="L280" t="b">
        <f>COUNTIF(Sales_Export_2019_2020__2[order_id],Sales_Export_2019_2020__2[[#This Row],[order_id]])&gt;1</f>
        <v>0</v>
      </c>
      <c r="M280" t="str">
        <f t="shared" si="4"/>
        <v>£35,000 - £39,999</v>
      </c>
      <c r="N280" t="str" cm="1">
        <f t="array" ref="N28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80">
        <f>FLOOR(Sales_Export_2019_2020__2[[#This Row],[order_value_GBP]],5000)</f>
        <v>35000</v>
      </c>
    </row>
    <row r="281" spans="1:15" x14ac:dyDescent="0.35">
      <c r="A281" t="s">
        <v>34</v>
      </c>
      <c r="B281" s="2">
        <v>68745.86</v>
      </c>
      <c r="C281" s="2">
        <v>58014.63</v>
      </c>
      <c r="D281" s="1">
        <v>43564</v>
      </c>
      <c r="E281" t="s">
        <v>80</v>
      </c>
      <c r="F281" t="s">
        <v>123</v>
      </c>
      <c r="G281" t="s">
        <v>36</v>
      </c>
      <c r="H281" t="s">
        <v>425</v>
      </c>
      <c r="I281" t="s">
        <v>28</v>
      </c>
      <c r="J281" t="s">
        <v>430</v>
      </c>
      <c r="K281" s="2">
        <f>Sales_Export_2019_2020__2[[#This Row],[order_value_GBP]]-Sales_Export_2019_2020__2[[#This Row],[ cost ]]</f>
        <v>10731.230000000003</v>
      </c>
      <c r="L281" t="b">
        <f>COUNTIF(Sales_Export_2019_2020__2[order_id],Sales_Export_2019_2020__2[[#This Row],[order_id]])&gt;1</f>
        <v>0</v>
      </c>
      <c r="M281" t="str">
        <f t="shared" si="4"/>
        <v>£65,000 - £69,999</v>
      </c>
      <c r="N281" t="str" cm="1">
        <f t="array" ref="N28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81">
        <f>FLOOR(Sales_Export_2019_2020__2[[#This Row],[order_value_GBP]],5000)</f>
        <v>65000</v>
      </c>
    </row>
    <row r="282" spans="1:15" x14ac:dyDescent="0.35">
      <c r="A282" t="s">
        <v>346</v>
      </c>
      <c r="B282" s="2">
        <v>69017.42</v>
      </c>
      <c r="C282" s="2">
        <v>55897.21</v>
      </c>
      <c r="D282" s="1">
        <v>43923</v>
      </c>
      <c r="E282" t="s">
        <v>80</v>
      </c>
      <c r="F282" t="s">
        <v>166</v>
      </c>
      <c r="G282" t="s">
        <v>347</v>
      </c>
      <c r="H282" t="s">
        <v>348</v>
      </c>
      <c r="I282" t="s">
        <v>28</v>
      </c>
      <c r="J282" t="s">
        <v>431</v>
      </c>
      <c r="K282" s="2">
        <f>Sales_Export_2019_2020__2[[#This Row],[order_value_GBP]]-Sales_Export_2019_2020__2[[#This Row],[ cost ]]</f>
        <v>13120.21</v>
      </c>
      <c r="L282" t="b">
        <f>COUNTIF(Sales_Export_2019_2020__2[order_id],Sales_Export_2019_2020__2[[#This Row],[order_id]])&gt;1</f>
        <v>0</v>
      </c>
      <c r="M282" t="str">
        <f t="shared" si="4"/>
        <v>£65,000 - £69,999</v>
      </c>
      <c r="N282" t="str" cm="1">
        <f t="array" ref="N28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82">
        <f>FLOOR(Sales_Export_2019_2020__2[[#This Row],[order_value_GBP]],5000)</f>
        <v>65000</v>
      </c>
    </row>
    <row r="283" spans="1:15" x14ac:dyDescent="0.35">
      <c r="A283" t="s">
        <v>53</v>
      </c>
      <c r="B283" s="2">
        <v>48850.38</v>
      </c>
      <c r="C283" s="2">
        <v>39788.629999999997</v>
      </c>
      <c r="D283" s="1">
        <v>43555</v>
      </c>
      <c r="E283" t="s">
        <v>51</v>
      </c>
      <c r="F283" t="s">
        <v>150</v>
      </c>
      <c r="G283" t="s">
        <v>55</v>
      </c>
      <c r="H283" t="s">
        <v>128</v>
      </c>
      <c r="I283" t="s">
        <v>28</v>
      </c>
      <c r="J283" t="s">
        <v>432</v>
      </c>
      <c r="K283" s="2">
        <f>Sales_Export_2019_2020__2[[#This Row],[order_value_GBP]]-Sales_Export_2019_2020__2[[#This Row],[ cost ]]</f>
        <v>9061.75</v>
      </c>
      <c r="L283" t="b">
        <f>COUNTIF(Sales_Export_2019_2020__2[order_id],Sales_Export_2019_2020__2[[#This Row],[order_id]])&gt;1</f>
        <v>0</v>
      </c>
      <c r="M283" t="str">
        <f t="shared" si="4"/>
        <v>£45,000 - £49,999</v>
      </c>
      <c r="N283" t="str" cm="1">
        <f t="array" ref="N28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83">
        <f>FLOOR(Sales_Export_2019_2020__2[[#This Row],[order_value_GBP]],5000)</f>
        <v>45000</v>
      </c>
    </row>
    <row r="284" spans="1:15" x14ac:dyDescent="0.35">
      <c r="A284" t="s">
        <v>84</v>
      </c>
      <c r="B284" s="2">
        <v>253291.55</v>
      </c>
      <c r="C284" s="2">
        <v>219502.46</v>
      </c>
      <c r="D284" s="1">
        <v>43994</v>
      </c>
      <c r="E284" t="s">
        <v>11</v>
      </c>
      <c r="F284" t="s">
        <v>160</v>
      </c>
      <c r="G284" t="s">
        <v>85</v>
      </c>
      <c r="H284" t="s">
        <v>86</v>
      </c>
      <c r="I284" t="s">
        <v>28</v>
      </c>
      <c r="J284" t="s">
        <v>433</v>
      </c>
      <c r="K284" s="2">
        <f>Sales_Export_2019_2020__2[[#This Row],[order_value_GBP]]-Sales_Export_2019_2020__2[[#This Row],[ cost ]]</f>
        <v>33789.089999999997</v>
      </c>
      <c r="L284" t="b">
        <f>COUNTIF(Sales_Export_2019_2020__2[order_id],Sales_Export_2019_2020__2[[#This Row],[order_id]])&gt;1</f>
        <v>0</v>
      </c>
      <c r="M284" t="str">
        <f t="shared" si="4"/>
        <v>£250,000 - £254,999</v>
      </c>
      <c r="N284" t="str" cm="1">
        <f t="array" ref="N28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84">
        <f>FLOOR(Sales_Export_2019_2020__2[[#This Row],[order_value_GBP]],5000)</f>
        <v>250000</v>
      </c>
    </row>
    <row r="285" spans="1:15" x14ac:dyDescent="0.35">
      <c r="A285" t="s">
        <v>23</v>
      </c>
      <c r="B285" s="2">
        <v>47186.74</v>
      </c>
      <c r="C285" s="2">
        <v>38112.730000000003</v>
      </c>
      <c r="D285" s="1">
        <v>43674</v>
      </c>
      <c r="E285" t="s">
        <v>80</v>
      </c>
      <c r="F285" t="s">
        <v>434</v>
      </c>
      <c r="G285" t="s">
        <v>26</v>
      </c>
      <c r="H285" t="s">
        <v>32</v>
      </c>
      <c r="I285" t="s">
        <v>28</v>
      </c>
      <c r="J285" t="s">
        <v>435</v>
      </c>
      <c r="K285" s="2">
        <f>Sales_Export_2019_2020__2[[#This Row],[order_value_GBP]]-Sales_Export_2019_2020__2[[#This Row],[ cost ]]</f>
        <v>9074.0099999999948</v>
      </c>
      <c r="L285" t="b">
        <f>COUNTIF(Sales_Export_2019_2020__2[order_id],Sales_Export_2019_2020__2[[#This Row],[order_id]])&gt;1</f>
        <v>0</v>
      </c>
      <c r="M285" t="str">
        <f t="shared" si="4"/>
        <v>£45,000 - £49,999</v>
      </c>
      <c r="N285" t="str" cm="1">
        <f t="array" ref="N28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85">
        <f>FLOOR(Sales_Export_2019_2020__2[[#This Row],[order_value_GBP]],5000)</f>
        <v>45000</v>
      </c>
    </row>
    <row r="286" spans="1:15" x14ac:dyDescent="0.35">
      <c r="A286" t="s">
        <v>23</v>
      </c>
      <c r="B286" s="2">
        <v>59670.68</v>
      </c>
      <c r="C286" s="2">
        <v>51269.05</v>
      </c>
      <c r="D286" s="1">
        <v>43718</v>
      </c>
      <c r="E286" t="s">
        <v>51</v>
      </c>
      <c r="F286" t="s">
        <v>201</v>
      </c>
      <c r="G286" t="s">
        <v>26</v>
      </c>
      <c r="H286" t="s">
        <v>32</v>
      </c>
      <c r="I286" t="s">
        <v>28</v>
      </c>
      <c r="J286" t="s">
        <v>436</v>
      </c>
      <c r="K286" s="2">
        <f>Sales_Export_2019_2020__2[[#This Row],[order_value_GBP]]-Sales_Export_2019_2020__2[[#This Row],[ cost ]]</f>
        <v>8401.6299999999974</v>
      </c>
      <c r="L286" t="b">
        <f>COUNTIF(Sales_Export_2019_2020__2[order_id],Sales_Export_2019_2020__2[[#This Row],[order_id]])&gt;1</f>
        <v>0</v>
      </c>
      <c r="M286" t="str">
        <f t="shared" si="4"/>
        <v>£55,000 - £59,999</v>
      </c>
      <c r="N286" t="str" cm="1">
        <f t="array" ref="N28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86">
        <f>FLOOR(Sales_Export_2019_2020__2[[#This Row],[order_value_GBP]],5000)</f>
        <v>55000</v>
      </c>
    </row>
    <row r="287" spans="1:15" x14ac:dyDescent="0.35">
      <c r="A287" t="s">
        <v>23</v>
      </c>
      <c r="B287" s="2">
        <v>228961.3</v>
      </c>
      <c r="C287" s="2">
        <v>183764.34</v>
      </c>
      <c r="D287" s="1">
        <v>43983</v>
      </c>
      <c r="E287" t="s">
        <v>51</v>
      </c>
      <c r="F287" t="s">
        <v>35</v>
      </c>
      <c r="G287" t="s">
        <v>26</v>
      </c>
      <c r="H287" t="s">
        <v>90</v>
      </c>
      <c r="I287" t="s">
        <v>28</v>
      </c>
      <c r="J287" t="s">
        <v>437</v>
      </c>
      <c r="K287" s="2">
        <f>Sales_Export_2019_2020__2[[#This Row],[order_value_GBP]]-Sales_Export_2019_2020__2[[#This Row],[ cost ]]</f>
        <v>45196.959999999992</v>
      </c>
      <c r="L287" t="b">
        <f>COUNTIF(Sales_Export_2019_2020__2[order_id],Sales_Export_2019_2020__2[[#This Row],[order_id]])&gt;1</f>
        <v>0</v>
      </c>
      <c r="M287" t="str">
        <f t="shared" si="4"/>
        <v>£225,000 - £229,999</v>
      </c>
      <c r="N287" t="str" cm="1">
        <f t="array" ref="N28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87">
        <f>FLOOR(Sales_Export_2019_2020__2[[#This Row],[order_value_GBP]],5000)</f>
        <v>225000</v>
      </c>
    </row>
    <row r="288" spans="1:15" x14ac:dyDescent="0.35">
      <c r="A288" t="s">
        <v>53</v>
      </c>
      <c r="B288" s="2">
        <v>165259.57999999999</v>
      </c>
      <c r="C288" s="2">
        <v>130703.8</v>
      </c>
      <c r="D288" s="1">
        <v>44008</v>
      </c>
      <c r="E288" t="s">
        <v>62</v>
      </c>
      <c r="F288" t="s">
        <v>97</v>
      </c>
      <c r="G288" t="s">
        <v>55</v>
      </c>
      <c r="H288" t="s">
        <v>128</v>
      </c>
      <c r="I288" t="s">
        <v>28</v>
      </c>
      <c r="J288" t="s">
        <v>438</v>
      </c>
      <c r="K288" s="2">
        <f>Sales_Export_2019_2020__2[[#This Row],[order_value_GBP]]-Sales_Export_2019_2020__2[[#This Row],[ cost ]]</f>
        <v>34555.779999999984</v>
      </c>
      <c r="L288" t="b">
        <f>COUNTIF(Sales_Export_2019_2020__2[order_id],Sales_Export_2019_2020__2[[#This Row],[order_id]])&gt;1</f>
        <v>0</v>
      </c>
      <c r="M288" t="str">
        <f t="shared" si="4"/>
        <v>£165,000 - £169,999</v>
      </c>
      <c r="N288" t="str" cm="1">
        <f t="array" ref="N28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88">
        <f>FLOOR(Sales_Export_2019_2020__2[[#This Row],[order_value_GBP]],5000)</f>
        <v>165000</v>
      </c>
    </row>
    <row r="289" spans="1:15" x14ac:dyDescent="0.35">
      <c r="A289" t="s">
        <v>53</v>
      </c>
      <c r="B289" s="2">
        <v>219911.81</v>
      </c>
      <c r="C289" s="2">
        <v>179426.05</v>
      </c>
      <c r="D289" s="1">
        <v>43651</v>
      </c>
      <c r="E289" t="s">
        <v>24</v>
      </c>
      <c r="F289" t="s">
        <v>174</v>
      </c>
      <c r="G289" t="s">
        <v>55</v>
      </c>
      <c r="H289" t="s">
        <v>128</v>
      </c>
      <c r="I289" t="s">
        <v>28</v>
      </c>
      <c r="J289" t="s">
        <v>439</v>
      </c>
      <c r="K289" s="2">
        <f>Sales_Export_2019_2020__2[[#This Row],[order_value_GBP]]-Sales_Export_2019_2020__2[[#This Row],[ cost ]]</f>
        <v>40485.760000000009</v>
      </c>
      <c r="L289" t="b">
        <f>COUNTIF(Sales_Export_2019_2020__2[order_id],Sales_Export_2019_2020__2[[#This Row],[order_id]])&gt;1</f>
        <v>0</v>
      </c>
      <c r="M289" t="str">
        <f t="shared" si="4"/>
        <v>£215,000 - £219,999</v>
      </c>
      <c r="N289" t="str" cm="1">
        <f t="array" ref="N28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289">
        <f>FLOOR(Sales_Export_2019_2020__2[[#This Row],[order_value_GBP]],5000)</f>
        <v>215000</v>
      </c>
    </row>
    <row r="290" spans="1:15" x14ac:dyDescent="0.35">
      <c r="A290" t="s">
        <v>17</v>
      </c>
      <c r="B290" s="2">
        <v>55882.12</v>
      </c>
      <c r="C290" s="2">
        <v>48561.56</v>
      </c>
      <c r="D290" s="1">
        <v>43971</v>
      </c>
      <c r="E290" t="s">
        <v>24</v>
      </c>
      <c r="F290" t="s">
        <v>102</v>
      </c>
      <c r="G290" t="s">
        <v>20</v>
      </c>
      <c r="H290" t="s">
        <v>353</v>
      </c>
      <c r="I290" t="s">
        <v>28</v>
      </c>
      <c r="J290" t="s">
        <v>440</v>
      </c>
      <c r="K290" s="2">
        <f>Sales_Export_2019_2020__2[[#This Row],[order_value_GBP]]-Sales_Export_2019_2020__2[[#This Row],[ cost ]]</f>
        <v>7320.5600000000049</v>
      </c>
      <c r="L290" t="b">
        <f>COUNTIF(Sales_Export_2019_2020__2[order_id],Sales_Export_2019_2020__2[[#This Row],[order_id]])&gt;1</f>
        <v>0</v>
      </c>
      <c r="M290" t="str">
        <f t="shared" si="4"/>
        <v>£55,000 - £59,999</v>
      </c>
      <c r="N290" t="str" cm="1">
        <f t="array" ref="N29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90">
        <f>FLOOR(Sales_Export_2019_2020__2[[#This Row],[order_value_GBP]],5000)</f>
        <v>55000</v>
      </c>
    </row>
    <row r="291" spans="1:15" x14ac:dyDescent="0.35">
      <c r="A291" t="s">
        <v>53</v>
      </c>
      <c r="B291" s="2">
        <v>16388.900000000001</v>
      </c>
      <c r="C291" s="2">
        <v>13430.7</v>
      </c>
      <c r="D291" s="1">
        <v>43905</v>
      </c>
      <c r="E291" t="s">
        <v>80</v>
      </c>
      <c r="F291" t="s">
        <v>188</v>
      </c>
      <c r="G291" t="s">
        <v>55</v>
      </c>
      <c r="H291" t="s">
        <v>128</v>
      </c>
      <c r="I291" t="s">
        <v>28</v>
      </c>
      <c r="J291" t="s">
        <v>441</v>
      </c>
      <c r="K291" s="2">
        <f>Sales_Export_2019_2020__2[[#This Row],[order_value_GBP]]-Sales_Export_2019_2020__2[[#This Row],[ cost ]]</f>
        <v>2958.2000000000007</v>
      </c>
      <c r="L291" t="b">
        <f>COUNTIF(Sales_Export_2019_2020__2[order_id],Sales_Export_2019_2020__2[[#This Row],[order_id]])&gt;1</f>
        <v>0</v>
      </c>
      <c r="M291" t="str">
        <f t="shared" si="4"/>
        <v>£15,000 - £19,999</v>
      </c>
      <c r="N291" t="str" cm="1">
        <f t="array" ref="N29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291">
        <f>FLOOR(Sales_Export_2019_2020__2[[#This Row],[order_value_GBP]],5000)</f>
        <v>15000</v>
      </c>
    </row>
    <row r="292" spans="1:15" x14ac:dyDescent="0.35">
      <c r="A292" t="s">
        <v>34</v>
      </c>
      <c r="B292" s="2">
        <v>85927.37</v>
      </c>
      <c r="C292" s="2">
        <v>74490.44</v>
      </c>
      <c r="D292" s="1">
        <v>43570</v>
      </c>
      <c r="E292" t="s">
        <v>24</v>
      </c>
      <c r="F292" t="s">
        <v>434</v>
      </c>
      <c r="G292" t="s">
        <v>36</v>
      </c>
      <c r="H292" t="s">
        <v>41</v>
      </c>
      <c r="I292" t="s">
        <v>28</v>
      </c>
      <c r="J292" t="s">
        <v>442</v>
      </c>
      <c r="K292" s="2">
        <f>Sales_Export_2019_2020__2[[#This Row],[order_value_GBP]]-Sales_Export_2019_2020__2[[#This Row],[ cost ]]</f>
        <v>11436.929999999993</v>
      </c>
      <c r="L292" t="b">
        <f>COUNTIF(Sales_Export_2019_2020__2[order_id],Sales_Export_2019_2020__2[[#This Row],[order_id]])&gt;1</f>
        <v>0</v>
      </c>
      <c r="M292" t="str">
        <f t="shared" si="4"/>
        <v>£85,000 - £89,999</v>
      </c>
      <c r="N292" t="str" cm="1">
        <f t="array" ref="N29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92">
        <f>FLOOR(Sales_Export_2019_2020__2[[#This Row],[order_value_GBP]],5000)</f>
        <v>85000</v>
      </c>
    </row>
    <row r="293" spans="1:15" x14ac:dyDescent="0.35">
      <c r="A293" t="s">
        <v>53</v>
      </c>
      <c r="B293" s="2">
        <v>161212.39000000001</v>
      </c>
      <c r="C293" s="2">
        <v>138046.17000000001</v>
      </c>
      <c r="D293" s="1">
        <v>44016</v>
      </c>
      <c r="E293" t="s">
        <v>46</v>
      </c>
      <c r="F293" t="s">
        <v>19</v>
      </c>
      <c r="G293" t="s">
        <v>55</v>
      </c>
      <c r="H293" t="s">
        <v>128</v>
      </c>
      <c r="I293" t="s">
        <v>28</v>
      </c>
      <c r="J293" t="s">
        <v>443</v>
      </c>
      <c r="K293" s="2">
        <f>Sales_Export_2019_2020__2[[#This Row],[order_value_GBP]]-Sales_Export_2019_2020__2[[#This Row],[ cost ]]</f>
        <v>23166.22</v>
      </c>
      <c r="L293" t="b">
        <f>COUNTIF(Sales_Export_2019_2020__2[order_id],Sales_Export_2019_2020__2[[#This Row],[order_id]])&gt;1</f>
        <v>0</v>
      </c>
      <c r="M293" t="str">
        <f t="shared" si="4"/>
        <v>£160,000 - £164,999</v>
      </c>
      <c r="N293" t="str" cm="1">
        <f t="array" ref="N29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93">
        <f>FLOOR(Sales_Export_2019_2020__2[[#This Row],[order_value_GBP]],5000)</f>
        <v>160000</v>
      </c>
    </row>
    <row r="294" spans="1:15" x14ac:dyDescent="0.35">
      <c r="A294" t="s">
        <v>53</v>
      </c>
      <c r="B294" s="2">
        <v>66678.38</v>
      </c>
      <c r="C294" s="2">
        <v>53009.31</v>
      </c>
      <c r="D294" s="1">
        <v>43528</v>
      </c>
      <c r="E294" t="s">
        <v>60</v>
      </c>
      <c r="F294" t="s">
        <v>155</v>
      </c>
      <c r="G294" t="s">
        <v>55</v>
      </c>
      <c r="H294" t="s">
        <v>72</v>
      </c>
      <c r="I294" t="s">
        <v>28</v>
      </c>
      <c r="J294" t="s">
        <v>444</v>
      </c>
      <c r="K294" s="2">
        <f>Sales_Export_2019_2020__2[[#This Row],[order_value_GBP]]-Sales_Export_2019_2020__2[[#This Row],[ cost ]]</f>
        <v>13669.070000000007</v>
      </c>
      <c r="L294" t="b">
        <f>COUNTIF(Sales_Export_2019_2020__2[order_id],Sales_Export_2019_2020__2[[#This Row],[order_id]])&gt;1</f>
        <v>0</v>
      </c>
      <c r="M294" t="str">
        <f t="shared" si="4"/>
        <v>£65,000 - £69,999</v>
      </c>
      <c r="N294" t="str" cm="1">
        <f t="array" ref="N29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94">
        <f>FLOOR(Sales_Export_2019_2020__2[[#This Row],[order_value_GBP]],5000)</f>
        <v>65000</v>
      </c>
    </row>
    <row r="295" spans="1:15" x14ac:dyDescent="0.35">
      <c r="A295" t="s">
        <v>10</v>
      </c>
      <c r="B295" s="2">
        <v>148243.04999999999</v>
      </c>
      <c r="C295" s="2">
        <v>120566.07</v>
      </c>
      <c r="D295" s="1">
        <v>44172</v>
      </c>
      <c r="E295" t="s">
        <v>30</v>
      </c>
      <c r="F295" t="s">
        <v>35</v>
      </c>
      <c r="G295" t="s">
        <v>13</v>
      </c>
      <c r="H295" t="s">
        <v>14</v>
      </c>
      <c r="I295" t="s">
        <v>28</v>
      </c>
      <c r="J295" t="s">
        <v>445</v>
      </c>
      <c r="K295" s="2">
        <f>Sales_Export_2019_2020__2[[#This Row],[order_value_GBP]]-Sales_Export_2019_2020__2[[#This Row],[ cost ]]</f>
        <v>27676.979999999981</v>
      </c>
      <c r="L295" t="b">
        <f>COUNTIF(Sales_Export_2019_2020__2[order_id],Sales_Export_2019_2020__2[[#This Row],[order_id]])&gt;1</f>
        <v>0</v>
      </c>
      <c r="M295" t="str">
        <f t="shared" si="4"/>
        <v>£145,000 - £149,999</v>
      </c>
      <c r="N295" t="str" cm="1">
        <f t="array" ref="N29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95">
        <f>FLOOR(Sales_Export_2019_2020__2[[#This Row],[order_value_GBP]],5000)</f>
        <v>145000</v>
      </c>
    </row>
    <row r="296" spans="1:15" x14ac:dyDescent="0.35">
      <c r="A296" t="s">
        <v>173</v>
      </c>
      <c r="B296" s="2">
        <v>126523.36</v>
      </c>
      <c r="C296" s="2">
        <v>106368.19</v>
      </c>
      <c r="D296" s="1">
        <v>43965</v>
      </c>
      <c r="E296" t="s">
        <v>18</v>
      </c>
      <c r="F296" t="s">
        <v>446</v>
      </c>
      <c r="G296" t="s">
        <v>175</v>
      </c>
      <c r="H296" t="s">
        <v>176</v>
      </c>
      <c r="I296" t="s">
        <v>28</v>
      </c>
      <c r="J296" t="s">
        <v>447</v>
      </c>
      <c r="K296" s="2">
        <f>Sales_Export_2019_2020__2[[#This Row],[order_value_GBP]]-Sales_Export_2019_2020__2[[#This Row],[ cost ]]</f>
        <v>20155.169999999998</v>
      </c>
      <c r="L296" t="b">
        <f>COUNTIF(Sales_Export_2019_2020__2[order_id],Sales_Export_2019_2020__2[[#This Row],[order_id]])&gt;1</f>
        <v>0</v>
      </c>
      <c r="M296" t="str">
        <f t="shared" si="4"/>
        <v>£125,000 - £129,999</v>
      </c>
      <c r="N296" t="str" cm="1">
        <f t="array" ref="N29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96">
        <f>FLOOR(Sales_Export_2019_2020__2[[#This Row],[order_value_GBP]],5000)</f>
        <v>125000</v>
      </c>
    </row>
    <row r="297" spans="1:15" x14ac:dyDescent="0.35">
      <c r="A297" t="s">
        <v>173</v>
      </c>
      <c r="B297" s="2">
        <v>63373.72</v>
      </c>
      <c r="C297" s="2">
        <v>55572.41</v>
      </c>
      <c r="D297" s="1">
        <v>43893</v>
      </c>
      <c r="E297" t="s">
        <v>24</v>
      </c>
      <c r="F297" t="s">
        <v>210</v>
      </c>
      <c r="G297" t="s">
        <v>175</v>
      </c>
      <c r="H297" t="s">
        <v>176</v>
      </c>
      <c r="I297" t="s">
        <v>28</v>
      </c>
      <c r="J297" t="s">
        <v>448</v>
      </c>
      <c r="K297" s="2">
        <f>Sales_Export_2019_2020__2[[#This Row],[order_value_GBP]]-Sales_Export_2019_2020__2[[#This Row],[ cost ]]</f>
        <v>7801.3099999999977</v>
      </c>
      <c r="L297" t="b">
        <f>COUNTIF(Sales_Export_2019_2020__2[order_id],Sales_Export_2019_2020__2[[#This Row],[order_id]])&gt;1</f>
        <v>0</v>
      </c>
      <c r="M297" t="str">
        <f t="shared" si="4"/>
        <v>£60,000 - £64,999</v>
      </c>
      <c r="N297" t="str" cm="1">
        <f t="array" ref="N29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97">
        <f>FLOOR(Sales_Export_2019_2020__2[[#This Row],[order_value_GBP]],5000)</f>
        <v>60000</v>
      </c>
    </row>
    <row r="298" spans="1:15" x14ac:dyDescent="0.35">
      <c r="A298" t="s">
        <v>173</v>
      </c>
      <c r="B298" s="2">
        <v>76767.77</v>
      </c>
      <c r="C298" s="2">
        <v>64500.28</v>
      </c>
      <c r="D298" s="1">
        <v>43852</v>
      </c>
      <c r="E298" t="s">
        <v>18</v>
      </c>
      <c r="F298" t="s">
        <v>150</v>
      </c>
      <c r="G298" t="s">
        <v>175</v>
      </c>
      <c r="H298" t="s">
        <v>176</v>
      </c>
      <c r="I298" t="s">
        <v>28</v>
      </c>
      <c r="J298" t="s">
        <v>449</v>
      </c>
      <c r="K298" s="2">
        <f>Sales_Export_2019_2020__2[[#This Row],[order_value_GBP]]-Sales_Export_2019_2020__2[[#This Row],[ cost ]]</f>
        <v>12267.490000000005</v>
      </c>
      <c r="L298" t="b">
        <f>COUNTIF(Sales_Export_2019_2020__2[order_id],Sales_Export_2019_2020__2[[#This Row],[order_id]])&gt;1</f>
        <v>0</v>
      </c>
      <c r="M298" t="str">
        <f t="shared" si="4"/>
        <v>£75,000 - £79,999</v>
      </c>
      <c r="N298" t="str" cm="1">
        <f t="array" ref="N29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98">
        <f>FLOOR(Sales_Export_2019_2020__2[[#This Row],[order_value_GBP]],5000)</f>
        <v>75000</v>
      </c>
    </row>
    <row r="299" spans="1:15" x14ac:dyDescent="0.35">
      <c r="A299" t="s">
        <v>23</v>
      </c>
      <c r="B299" s="2">
        <v>78938.820000000007</v>
      </c>
      <c r="C299" s="2">
        <v>65471.86</v>
      </c>
      <c r="D299" s="1">
        <v>43579</v>
      </c>
      <c r="E299" t="s">
        <v>18</v>
      </c>
      <c r="F299" t="s">
        <v>146</v>
      </c>
      <c r="G299" t="s">
        <v>26</v>
      </c>
      <c r="H299" t="s">
        <v>219</v>
      </c>
      <c r="I299" t="s">
        <v>28</v>
      </c>
      <c r="J299" t="s">
        <v>450</v>
      </c>
      <c r="K299" s="2">
        <f>Sales_Export_2019_2020__2[[#This Row],[order_value_GBP]]-Sales_Export_2019_2020__2[[#This Row],[ cost ]]</f>
        <v>13466.960000000006</v>
      </c>
      <c r="L299" t="b">
        <f>COUNTIF(Sales_Export_2019_2020__2[order_id],Sales_Export_2019_2020__2[[#This Row],[order_id]])&gt;1</f>
        <v>0</v>
      </c>
      <c r="M299" t="str">
        <f t="shared" si="4"/>
        <v>£75,000 - £79,999</v>
      </c>
      <c r="N299" t="str" cm="1">
        <f t="array" ref="N29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299">
        <f>FLOOR(Sales_Export_2019_2020__2[[#This Row],[order_value_GBP]],5000)</f>
        <v>75000</v>
      </c>
    </row>
    <row r="300" spans="1:15" x14ac:dyDescent="0.35">
      <c r="A300" t="s">
        <v>53</v>
      </c>
      <c r="B300" s="2">
        <v>131864.04</v>
      </c>
      <c r="C300" s="2">
        <v>110277.9</v>
      </c>
      <c r="D300" s="1">
        <v>43564</v>
      </c>
      <c r="E300" t="s">
        <v>51</v>
      </c>
      <c r="F300" t="s">
        <v>102</v>
      </c>
      <c r="G300" t="s">
        <v>55</v>
      </c>
      <c r="H300" t="s">
        <v>133</v>
      </c>
      <c r="I300" t="s">
        <v>28</v>
      </c>
      <c r="J300" t="s">
        <v>451</v>
      </c>
      <c r="K300" s="2">
        <f>Sales_Export_2019_2020__2[[#This Row],[order_value_GBP]]-Sales_Export_2019_2020__2[[#This Row],[ cost ]]</f>
        <v>21586.140000000014</v>
      </c>
      <c r="L300" t="b">
        <f>COUNTIF(Sales_Export_2019_2020__2[order_id],Sales_Export_2019_2020__2[[#This Row],[order_id]])&gt;1</f>
        <v>0</v>
      </c>
      <c r="M300" t="str">
        <f t="shared" si="4"/>
        <v>£130,000 - £134,999</v>
      </c>
      <c r="N300" t="str" cm="1">
        <f t="array" ref="N30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00">
        <f>FLOOR(Sales_Export_2019_2020__2[[#This Row],[order_value_GBP]],5000)</f>
        <v>130000</v>
      </c>
    </row>
    <row r="301" spans="1:15" x14ac:dyDescent="0.35">
      <c r="A301" t="s">
        <v>23</v>
      </c>
      <c r="B301" s="2">
        <v>116774.43</v>
      </c>
      <c r="C301" s="2">
        <v>98954.65</v>
      </c>
      <c r="D301" s="1">
        <v>43576</v>
      </c>
      <c r="E301" t="s">
        <v>46</v>
      </c>
      <c r="F301" t="s">
        <v>123</v>
      </c>
      <c r="G301" t="s">
        <v>26</v>
      </c>
      <c r="H301" t="s">
        <v>90</v>
      </c>
      <c r="I301" t="s">
        <v>15</v>
      </c>
      <c r="J301" t="s">
        <v>452</v>
      </c>
      <c r="K301" s="2">
        <f>Sales_Export_2019_2020__2[[#This Row],[order_value_GBP]]-Sales_Export_2019_2020__2[[#This Row],[ cost ]]</f>
        <v>17819.78</v>
      </c>
      <c r="L301" t="b">
        <f>COUNTIF(Sales_Export_2019_2020__2[order_id],Sales_Export_2019_2020__2[[#This Row],[order_id]])&gt;1</f>
        <v>0</v>
      </c>
      <c r="M301" t="str">
        <f t="shared" si="4"/>
        <v>£115,000 - £119,999</v>
      </c>
      <c r="N301" t="str" cm="1">
        <f t="array" ref="N30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01">
        <f>FLOOR(Sales_Export_2019_2020__2[[#This Row],[order_value_GBP]],5000)</f>
        <v>115000</v>
      </c>
    </row>
    <row r="302" spans="1:15" x14ac:dyDescent="0.35">
      <c r="A302" t="s">
        <v>53</v>
      </c>
      <c r="B302" s="2">
        <v>141112.84</v>
      </c>
      <c r="C302" s="2">
        <v>120044.69</v>
      </c>
      <c r="D302" s="1">
        <v>44051</v>
      </c>
      <c r="E302" t="s">
        <v>80</v>
      </c>
      <c r="F302" t="s">
        <v>54</v>
      </c>
      <c r="G302" t="s">
        <v>55</v>
      </c>
      <c r="H302" t="s">
        <v>144</v>
      </c>
      <c r="I302" t="s">
        <v>15</v>
      </c>
      <c r="J302" t="s">
        <v>453</v>
      </c>
      <c r="K302" s="2">
        <f>Sales_Export_2019_2020__2[[#This Row],[order_value_GBP]]-Sales_Export_2019_2020__2[[#This Row],[ cost ]]</f>
        <v>21068.149999999994</v>
      </c>
      <c r="L302" t="b">
        <f>COUNTIF(Sales_Export_2019_2020__2[order_id],Sales_Export_2019_2020__2[[#This Row],[order_id]])&gt;1</f>
        <v>0</v>
      </c>
      <c r="M302" t="str">
        <f t="shared" si="4"/>
        <v>£140,000 - £144,999</v>
      </c>
      <c r="N302" t="str" cm="1">
        <f t="array" ref="N30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02">
        <f>FLOOR(Sales_Export_2019_2020__2[[#This Row],[order_value_GBP]],5000)</f>
        <v>140000</v>
      </c>
    </row>
    <row r="303" spans="1:15" x14ac:dyDescent="0.35">
      <c r="A303" t="s">
        <v>101</v>
      </c>
      <c r="B303" s="2">
        <v>33210.559999999998</v>
      </c>
      <c r="C303" s="2">
        <v>29109.06</v>
      </c>
      <c r="D303" s="1">
        <v>44155</v>
      </c>
      <c r="E303" t="s">
        <v>11</v>
      </c>
      <c r="F303" t="s">
        <v>31</v>
      </c>
      <c r="G303" t="s">
        <v>103</v>
      </c>
      <c r="H303" t="s">
        <v>162</v>
      </c>
      <c r="I303" t="s">
        <v>28</v>
      </c>
      <c r="J303" t="s">
        <v>454</v>
      </c>
      <c r="K303" s="2">
        <f>Sales_Export_2019_2020__2[[#This Row],[order_value_GBP]]-Sales_Export_2019_2020__2[[#This Row],[ cost ]]</f>
        <v>4101.4999999999964</v>
      </c>
      <c r="L303" t="b">
        <f>COUNTIF(Sales_Export_2019_2020__2[order_id],Sales_Export_2019_2020__2[[#This Row],[order_id]])&gt;1</f>
        <v>0</v>
      </c>
      <c r="M303" t="str">
        <f t="shared" si="4"/>
        <v>£30,000 - £34,999</v>
      </c>
      <c r="N303" t="str" cm="1">
        <f t="array" ref="N30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03">
        <f>FLOOR(Sales_Export_2019_2020__2[[#This Row],[order_value_GBP]],5000)</f>
        <v>30000</v>
      </c>
    </row>
    <row r="304" spans="1:15" x14ac:dyDescent="0.35">
      <c r="A304" t="s">
        <v>53</v>
      </c>
      <c r="B304" s="2">
        <v>174392.33</v>
      </c>
      <c r="C304" s="2">
        <v>141449.62</v>
      </c>
      <c r="D304" s="1">
        <v>44046</v>
      </c>
      <c r="E304" t="s">
        <v>60</v>
      </c>
      <c r="F304" t="s">
        <v>123</v>
      </c>
      <c r="G304" t="s">
        <v>55</v>
      </c>
      <c r="H304" t="s">
        <v>133</v>
      </c>
      <c r="I304" t="s">
        <v>28</v>
      </c>
      <c r="J304" t="s">
        <v>455</v>
      </c>
      <c r="K304" s="2">
        <f>Sales_Export_2019_2020__2[[#This Row],[order_value_GBP]]-Sales_Export_2019_2020__2[[#This Row],[ cost ]]</f>
        <v>32942.709999999992</v>
      </c>
      <c r="L304" t="b">
        <f>COUNTIF(Sales_Export_2019_2020__2[order_id],Sales_Export_2019_2020__2[[#This Row],[order_id]])&gt;1</f>
        <v>0</v>
      </c>
      <c r="M304" t="str">
        <f t="shared" si="4"/>
        <v>£170,000 - £174,999</v>
      </c>
      <c r="N304" t="str" cm="1">
        <f t="array" ref="N30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04">
        <f>FLOOR(Sales_Export_2019_2020__2[[#This Row],[order_value_GBP]],5000)</f>
        <v>170000</v>
      </c>
    </row>
    <row r="305" spans="1:15" x14ac:dyDescent="0.35">
      <c r="A305" t="s">
        <v>10</v>
      </c>
      <c r="B305" s="2">
        <v>204484.61</v>
      </c>
      <c r="C305" s="2">
        <v>177308.61</v>
      </c>
      <c r="D305" s="1">
        <v>43632</v>
      </c>
      <c r="E305" t="s">
        <v>18</v>
      </c>
      <c r="F305" t="s">
        <v>47</v>
      </c>
      <c r="G305" t="s">
        <v>13</v>
      </c>
      <c r="H305" t="s">
        <v>118</v>
      </c>
      <c r="I305" t="s">
        <v>38</v>
      </c>
      <c r="J305" t="s">
        <v>456</v>
      </c>
      <c r="K305" s="2">
        <f>Sales_Export_2019_2020__2[[#This Row],[order_value_GBP]]-Sales_Export_2019_2020__2[[#This Row],[ cost ]]</f>
        <v>27176</v>
      </c>
      <c r="L305" t="b">
        <f>COUNTIF(Sales_Export_2019_2020__2[order_id],Sales_Export_2019_2020__2[[#This Row],[order_id]])&gt;1</f>
        <v>0</v>
      </c>
      <c r="M305" t="str">
        <f t="shared" si="4"/>
        <v>£200,000 - £204,999</v>
      </c>
      <c r="N305" t="str" cm="1">
        <f t="array" ref="N30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305">
        <f>FLOOR(Sales_Export_2019_2020__2[[#This Row],[order_value_GBP]],5000)</f>
        <v>200000</v>
      </c>
    </row>
    <row r="306" spans="1:15" x14ac:dyDescent="0.35">
      <c r="A306" t="s">
        <v>215</v>
      </c>
      <c r="B306" s="2">
        <v>80986.100000000006</v>
      </c>
      <c r="C306" s="2">
        <v>64124.79</v>
      </c>
      <c r="D306" s="1">
        <v>43801</v>
      </c>
      <c r="E306" t="s">
        <v>51</v>
      </c>
      <c r="F306" t="s">
        <v>210</v>
      </c>
      <c r="G306" t="s">
        <v>216</v>
      </c>
      <c r="H306" t="s">
        <v>217</v>
      </c>
      <c r="I306" t="s">
        <v>15</v>
      </c>
      <c r="J306" t="s">
        <v>457</v>
      </c>
      <c r="K306" s="2">
        <f>Sales_Export_2019_2020__2[[#This Row],[order_value_GBP]]-Sales_Export_2019_2020__2[[#This Row],[ cost ]]</f>
        <v>16861.310000000005</v>
      </c>
      <c r="L306" t="b">
        <f>COUNTIF(Sales_Export_2019_2020__2[order_id],Sales_Export_2019_2020__2[[#This Row],[order_id]])&gt;1</f>
        <v>0</v>
      </c>
      <c r="M306" t="str">
        <f t="shared" si="4"/>
        <v>£80,000 - £84,999</v>
      </c>
      <c r="N306" t="str" cm="1">
        <f t="array" ref="N30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06">
        <f>FLOOR(Sales_Export_2019_2020__2[[#This Row],[order_value_GBP]],5000)</f>
        <v>80000</v>
      </c>
    </row>
    <row r="307" spans="1:15" x14ac:dyDescent="0.35">
      <c r="A307" t="s">
        <v>10</v>
      </c>
      <c r="B307" s="2">
        <v>179179.73</v>
      </c>
      <c r="C307" s="2">
        <v>154936.71</v>
      </c>
      <c r="D307" s="1">
        <v>43760</v>
      </c>
      <c r="E307" t="s">
        <v>11</v>
      </c>
      <c r="F307" t="s">
        <v>178</v>
      </c>
      <c r="G307" t="s">
        <v>13</v>
      </c>
      <c r="H307" t="s">
        <v>69</v>
      </c>
      <c r="I307" t="s">
        <v>28</v>
      </c>
      <c r="J307" t="s">
        <v>458</v>
      </c>
      <c r="K307" s="2">
        <f>Sales_Export_2019_2020__2[[#This Row],[order_value_GBP]]-Sales_Export_2019_2020__2[[#This Row],[ cost ]]</f>
        <v>24243.020000000019</v>
      </c>
      <c r="L307" t="b">
        <f>COUNTIF(Sales_Export_2019_2020__2[order_id],Sales_Export_2019_2020__2[[#This Row],[order_id]])&gt;1</f>
        <v>0</v>
      </c>
      <c r="M307" t="str">
        <f t="shared" si="4"/>
        <v>£175,000 - £179,999</v>
      </c>
      <c r="N307" t="str" cm="1">
        <f t="array" ref="N30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307">
        <f>FLOOR(Sales_Export_2019_2020__2[[#This Row],[order_value_GBP]],5000)</f>
        <v>175000</v>
      </c>
    </row>
    <row r="308" spans="1:15" x14ac:dyDescent="0.35">
      <c r="A308" t="s">
        <v>84</v>
      </c>
      <c r="B308" s="2">
        <v>99731.4</v>
      </c>
      <c r="C308" s="2">
        <v>84731.8</v>
      </c>
      <c r="D308" s="1">
        <v>43842</v>
      </c>
      <c r="E308" t="s">
        <v>80</v>
      </c>
      <c r="F308" t="s">
        <v>174</v>
      </c>
      <c r="G308" t="s">
        <v>85</v>
      </c>
      <c r="H308" t="s">
        <v>86</v>
      </c>
      <c r="I308" t="s">
        <v>28</v>
      </c>
      <c r="J308" t="s">
        <v>459</v>
      </c>
      <c r="K308" s="2">
        <f>Sales_Export_2019_2020__2[[#This Row],[order_value_GBP]]-Sales_Export_2019_2020__2[[#This Row],[ cost ]]</f>
        <v>14999.599999999991</v>
      </c>
      <c r="L308" t="b">
        <f>COUNTIF(Sales_Export_2019_2020__2[order_id],Sales_Export_2019_2020__2[[#This Row],[order_id]])&gt;1</f>
        <v>0</v>
      </c>
      <c r="M308" t="str">
        <f t="shared" si="4"/>
        <v>£95,000 - £99,999</v>
      </c>
      <c r="N308" t="str" cm="1">
        <f t="array" ref="N30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08">
        <f>FLOOR(Sales_Export_2019_2020__2[[#This Row],[order_value_GBP]],5000)</f>
        <v>95000</v>
      </c>
    </row>
    <row r="309" spans="1:15" x14ac:dyDescent="0.35">
      <c r="A309" t="s">
        <v>53</v>
      </c>
      <c r="B309" s="2">
        <v>32661.62</v>
      </c>
      <c r="C309" s="2">
        <v>27922.42</v>
      </c>
      <c r="D309" s="1">
        <v>43869</v>
      </c>
      <c r="E309" t="s">
        <v>80</v>
      </c>
      <c r="F309" t="s">
        <v>178</v>
      </c>
      <c r="G309" t="s">
        <v>55</v>
      </c>
      <c r="H309" t="s">
        <v>72</v>
      </c>
      <c r="I309" t="s">
        <v>28</v>
      </c>
      <c r="J309" t="s">
        <v>460</v>
      </c>
      <c r="K309" s="2">
        <f>Sales_Export_2019_2020__2[[#This Row],[order_value_GBP]]-Sales_Export_2019_2020__2[[#This Row],[ cost ]]</f>
        <v>4739.2000000000007</v>
      </c>
      <c r="L309" t="b">
        <f>COUNTIF(Sales_Export_2019_2020__2[order_id],Sales_Export_2019_2020__2[[#This Row],[order_id]])&gt;1</f>
        <v>0</v>
      </c>
      <c r="M309" t="str">
        <f t="shared" si="4"/>
        <v>£30,000 - £34,999</v>
      </c>
      <c r="N309" t="str" cm="1">
        <f t="array" ref="N30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09">
        <f>FLOOR(Sales_Export_2019_2020__2[[#This Row],[order_value_GBP]],5000)</f>
        <v>30000</v>
      </c>
    </row>
    <row r="310" spans="1:15" x14ac:dyDescent="0.35">
      <c r="A310" t="s">
        <v>10</v>
      </c>
      <c r="B310" s="2">
        <v>30166.93</v>
      </c>
      <c r="C310" s="2">
        <v>24658.45</v>
      </c>
      <c r="D310" s="1">
        <v>43798</v>
      </c>
      <c r="E310" t="s">
        <v>51</v>
      </c>
      <c r="F310" t="s">
        <v>254</v>
      </c>
      <c r="G310" t="s">
        <v>13</v>
      </c>
      <c r="H310" t="s">
        <v>170</v>
      </c>
      <c r="I310" t="s">
        <v>28</v>
      </c>
      <c r="J310" t="s">
        <v>461</v>
      </c>
      <c r="K310" s="2">
        <f>Sales_Export_2019_2020__2[[#This Row],[order_value_GBP]]-Sales_Export_2019_2020__2[[#This Row],[ cost ]]</f>
        <v>5508.48</v>
      </c>
      <c r="L310" t="b">
        <f>COUNTIF(Sales_Export_2019_2020__2[order_id],Sales_Export_2019_2020__2[[#This Row],[order_id]])&gt;1</f>
        <v>0</v>
      </c>
      <c r="M310" t="str">
        <f t="shared" si="4"/>
        <v>£30,000 - £34,999</v>
      </c>
      <c r="N310" t="str" cm="1">
        <f t="array" ref="N31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10">
        <f>FLOOR(Sales_Export_2019_2020__2[[#This Row],[order_value_GBP]],5000)</f>
        <v>30000</v>
      </c>
    </row>
    <row r="311" spans="1:15" x14ac:dyDescent="0.35">
      <c r="A311" t="s">
        <v>215</v>
      </c>
      <c r="B311" s="2">
        <v>36747.24</v>
      </c>
      <c r="C311" s="2">
        <v>31900.28</v>
      </c>
      <c r="D311" s="1">
        <v>43484</v>
      </c>
      <c r="E311" t="s">
        <v>46</v>
      </c>
      <c r="F311" t="s">
        <v>35</v>
      </c>
      <c r="G311" t="s">
        <v>216</v>
      </c>
      <c r="H311" t="s">
        <v>217</v>
      </c>
      <c r="I311" t="s">
        <v>28</v>
      </c>
      <c r="J311" t="s">
        <v>462</v>
      </c>
      <c r="K311" s="2">
        <f>Sales_Export_2019_2020__2[[#This Row],[order_value_GBP]]-Sales_Export_2019_2020__2[[#This Row],[ cost ]]</f>
        <v>4846.9599999999991</v>
      </c>
      <c r="L311" t="b">
        <f>COUNTIF(Sales_Export_2019_2020__2[order_id],Sales_Export_2019_2020__2[[#This Row],[order_id]])&gt;1</f>
        <v>0</v>
      </c>
      <c r="M311" t="str">
        <f t="shared" si="4"/>
        <v>£35,000 - £39,999</v>
      </c>
      <c r="N311" t="str" cm="1">
        <f t="array" ref="N31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11">
        <f>FLOOR(Sales_Export_2019_2020__2[[#This Row],[order_value_GBP]],5000)</f>
        <v>35000</v>
      </c>
    </row>
    <row r="312" spans="1:15" x14ac:dyDescent="0.35">
      <c r="A312" t="s">
        <v>53</v>
      </c>
      <c r="B312" s="2">
        <v>66884.7</v>
      </c>
      <c r="C312" s="2">
        <v>58544.18</v>
      </c>
      <c r="D312" s="1">
        <v>43849</v>
      </c>
      <c r="E312" t="s">
        <v>60</v>
      </c>
      <c r="F312" t="s">
        <v>64</v>
      </c>
      <c r="G312" t="s">
        <v>55</v>
      </c>
      <c r="H312" t="s">
        <v>128</v>
      </c>
      <c r="I312" t="s">
        <v>28</v>
      </c>
      <c r="J312" t="s">
        <v>463</v>
      </c>
      <c r="K312" s="2">
        <f>Sales_Export_2019_2020__2[[#This Row],[order_value_GBP]]-Sales_Export_2019_2020__2[[#This Row],[ cost ]]</f>
        <v>8340.5199999999968</v>
      </c>
      <c r="L312" t="b">
        <f>COUNTIF(Sales_Export_2019_2020__2[order_id],Sales_Export_2019_2020__2[[#This Row],[order_id]])&gt;1</f>
        <v>0</v>
      </c>
      <c r="M312" t="str">
        <f t="shared" si="4"/>
        <v>£65,000 - £69,999</v>
      </c>
      <c r="N312" t="str" cm="1">
        <f t="array" ref="N31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12">
        <f>FLOOR(Sales_Export_2019_2020__2[[#This Row],[order_value_GBP]],5000)</f>
        <v>65000</v>
      </c>
    </row>
    <row r="313" spans="1:15" x14ac:dyDescent="0.35">
      <c r="A313" t="s">
        <v>23</v>
      </c>
      <c r="B313" s="2">
        <v>165305.70000000001</v>
      </c>
      <c r="C313" s="2">
        <v>134757.21</v>
      </c>
      <c r="D313" s="1">
        <v>43659</v>
      </c>
      <c r="E313" t="s">
        <v>18</v>
      </c>
      <c r="F313" t="s">
        <v>158</v>
      </c>
      <c r="G313" t="s">
        <v>26</v>
      </c>
      <c r="H313" t="s">
        <v>32</v>
      </c>
      <c r="I313" t="s">
        <v>28</v>
      </c>
      <c r="J313" t="s">
        <v>464</v>
      </c>
      <c r="K313" s="2">
        <f>Sales_Export_2019_2020__2[[#This Row],[order_value_GBP]]-Sales_Export_2019_2020__2[[#This Row],[ cost ]]</f>
        <v>30548.49000000002</v>
      </c>
      <c r="L313" t="b">
        <f>COUNTIF(Sales_Export_2019_2020__2[order_id],Sales_Export_2019_2020__2[[#This Row],[order_id]])&gt;1</f>
        <v>0</v>
      </c>
      <c r="M313" t="str">
        <f t="shared" si="4"/>
        <v>£165,000 - £169,999</v>
      </c>
      <c r="N313" t="str" cm="1">
        <f t="array" ref="N31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13">
        <f>FLOOR(Sales_Export_2019_2020__2[[#This Row],[order_value_GBP]],5000)</f>
        <v>165000</v>
      </c>
    </row>
    <row r="314" spans="1:15" x14ac:dyDescent="0.35">
      <c r="A314" t="s">
        <v>10</v>
      </c>
      <c r="B314" s="2">
        <v>50618.21</v>
      </c>
      <c r="C314" s="2">
        <v>41835.949999999997</v>
      </c>
      <c r="D314" s="1">
        <v>43529</v>
      </c>
      <c r="E314" t="s">
        <v>30</v>
      </c>
      <c r="F314" t="s">
        <v>166</v>
      </c>
      <c r="G314" t="s">
        <v>13</v>
      </c>
      <c r="H314" t="s">
        <v>170</v>
      </c>
      <c r="I314" t="s">
        <v>28</v>
      </c>
      <c r="J314" t="s">
        <v>465</v>
      </c>
      <c r="K314" s="2">
        <f>Sales_Export_2019_2020__2[[#This Row],[order_value_GBP]]-Sales_Export_2019_2020__2[[#This Row],[ cost ]]</f>
        <v>8782.260000000002</v>
      </c>
      <c r="L314" t="b">
        <f>COUNTIF(Sales_Export_2019_2020__2[order_id],Sales_Export_2019_2020__2[[#This Row],[order_id]])&gt;1</f>
        <v>0</v>
      </c>
      <c r="M314" t="str">
        <f t="shared" si="4"/>
        <v>£50,000 - £54,999</v>
      </c>
      <c r="N314" t="str" cm="1">
        <f t="array" ref="N31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14">
        <f>FLOOR(Sales_Export_2019_2020__2[[#This Row],[order_value_GBP]],5000)</f>
        <v>50000</v>
      </c>
    </row>
    <row r="315" spans="1:15" x14ac:dyDescent="0.35">
      <c r="A315" t="s">
        <v>10</v>
      </c>
      <c r="B315" s="2">
        <v>82116.31</v>
      </c>
      <c r="C315" s="2">
        <v>70652.87</v>
      </c>
      <c r="D315" s="1">
        <v>43981</v>
      </c>
      <c r="E315" t="s">
        <v>30</v>
      </c>
      <c r="F315" t="s">
        <v>178</v>
      </c>
      <c r="G315" t="s">
        <v>13</v>
      </c>
      <c r="H315" t="s">
        <v>118</v>
      </c>
      <c r="I315" t="s">
        <v>38</v>
      </c>
      <c r="J315" t="s">
        <v>466</v>
      </c>
      <c r="K315" s="2">
        <f>Sales_Export_2019_2020__2[[#This Row],[order_value_GBP]]-Sales_Export_2019_2020__2[[#This Row],[ cost ]]</f>
        <v>11463.440000000002</v>
      </c>
      <c r="L315" t="b">
        <f>COUNTIF(Sales_Export_2019_2020__2[order_id],Sales_Export_2019_2020__2[[#This Row],[order_id]])&gt;1</f>
        <v>0</v>
      </c>
      <c r="M315" t="str">
        <f t="shared" si="4"/>
        <v>£80,000 - £84,999</v>
      </c>
      <c r="N315" t="str" cm="1">
        <f t="array" ref="N31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15">
        <f>FLOOR(Sales_Export_2019_2020__2[[#This Row],[order_value_GBP]],5000)</f>
        <v>80000</v>
      </c>
    </row>
    <row r="316" spans="1:15" x14ac:dyDescent="0.35">
      <c r="A316" t="s">
        <v>10</v>
      </c>
      <c r="B316" s="2">
        <v>106142.65</v>
      </c>
      <c r="C316" s="2">
        <v>88151.47</v>
      </c>
      <c r="D316" s="1">
        <v>43620</v>
      </c>
      <c r="E316" t="s">
        <v>18</v>
      </c>
      <c r="F316" t="s">
        <v>467</v>
      </c>
      <c r="G316" t="s">
        <v>13</v>
      </c>
      <c r="H316" t="s">
        <v>69</v>
      </c>
      <c r="I316" t="s">
        <v>28</v>
      </c>
      <c r="J316" t="s">
        <v>468</v>
      </c>
      <c r="K316" s="2">
        <f>Sales_Export_2019_2020__2[[#This Row],[order_value_GBP]]-Sales_Export_2019_2020__2[[#This Row],[ cost ]]</f>
        <v>17991.179999999993</v>
      </c>
      <c r="L316" t="b">
        <f>COUNTIF(Sales_Export_2019_2020__2[order_id],Sales_Export_2019_2020__2[[#This Row],[order_id]])&gt;1</f>
        <v>0</v>
      </c>
      <c r="M316" t="str">
        <f t="shared" si="4"/>
        <v>£105,000 - £109,999</v>
      </c>
      <c r="N316" t="str" cm="1">
        <f t="array" ref="N31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16">
        <f>FLOOR(Sales_Export_2019_2020__2[[#This Row],[order_value_GBP]],5000)</f>
        <v>105000</v>
      </c>
    </row>
    <row r="317" spans="1:15" x14ac:dyDescent="0.35">
      <c r="A317" t="s">
        <v>23</v>
      </c>
      <c r="B317" s="2">
        <v>149514</v>
      </c>
      <c r="C317" s="2">
        <v>122646.33</v>
      </c>
      <c r="D317" s="1">
        <v>44122</v>
      </c>
      <c r="E317" t="s">
        <v>18</v>
      </c>
      <c r="F317" t="s">
        <v>180</v>
      </c>
      <c r="G317" t="s">
        <v>26</v>
      </c>
      <c r="H317" t="s">
        <v>27</v>
      </c>
      <c r="I317" t="s">
        <v>15</v>
      </c>
      <c r="J317" t="s">
        <v>469</v>
      </c>
      <c r="K317" s="2">
        <f>Sales_Export_2019_2020__2[[#This Row],[order_value_GBP]]-Sales_Export_2019_2020__2[[#This Row],[ cost ]]</f>
        <v>26867.67</v>
      </c>
      <c r="L317" t="b">
        <f>COUNTIF(Sales_Export_2019_2020__2[order_id],Sales_Export_2019_2020__2[[#This Row],[order_id]])&gt;1</f>
        <v>0</v>
      </c>
      <c r="M317" t="str">
        <f t="shared" si="4"/>
        <v>£145,000 - £149,999</v>
      </c>
      <c r="N317" t="str" cm="1">
        <f t="array" ref="N31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17">
        <f>FLOOR(Sales_Export_2019_2020__2[[#This Row],[order_value_GBP]],5000)</f>
        <v>145000</v>
      </c>
    </row>
    <row r="318" spans="1:15" x14ac:dyDescent="0.35">
      <c r="A318" t="s">
        <v>10</v>
      </c>
      <c r="B318" s="2">
        <v>30975.79</v>
      </c>
      <c r="C318" s="2">
        <v>27072.84</v>
      </c>
      <c r="D318" s="1">
        <v>43905</v>
      </c>
      <c r="E318" t="s">
        <v>24</v>
      </c>
      <c r="F318" t="s">
        <v>148</v>
      </c>
      <c r="G318" t="s">
        <v>13</v>
      </c>
      <c r="H318" t="s">
        <v>170</v>
      </c>
      <c r="I318" t="s">
        <v>28</v>
      </c>
      <c r="J318" t="s">
        <v>470</v>
      </c>
      <c r="K318" s="2">
        <f>Sales_Export_2019_2020__2[[#This Row],[order_value_GBP]]-Sales_Export_2019_2020__2[[#This Row],[ cost ]]</f>
        <v>3902.9500000000007</v>
      </c>
      <c r="L318" t="b">
        <f>COUNTIF(Sales_Export_2019_2020__2[order_id],Sales_Export_2019_2020__2[[#This Row],[order_id]])&gt;1</f>
        <v>0</v>
      </c>
      <c r="M318" t="str">
        <f t="shared" si="4"/>
        <v>£30,000 - £34,999</v>
      </c>
      <c r="N318" t="str" cm="1">
        <f t="array" ref="N31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18">
        <f>FLOOR(Sales_Export_2019_2020__2[[#This Row],[order_value_GBP]],5000)</f>
        <v>30000</v>
      </c>
    </row>
    <row r="319" spans="1:15" x14ac:dyDescent="0.35">
      <c r="A319" t="s">
        <v>53</v>
      </c>
      <c r="B319" s="2">
        <v>165118.74</v>
      </c>
      <c r="C319" s="2">
        <v>137527.4</v>
      </c>
      <c r="D319" s="1">
        <v>43771</v>
      </c>
      <c r="E319" t="s">
        <v>24</v>
      </c>
      <c r="F319" t="s">
        <v>174</v>
      </c>
      <c r="G319" t="s">
        <v>55</v>
      </c>
      <c r="H319" t="s">
        <v>72</v>
      </c>
      <c r="I319" t="s">
        <v>28</v>
      </c>
      <c r="J319" t="s">
        <v>471</v>
      </c>
      <c r="K319" s="2">
        <f>Sales_Export_2019_2020__2[[#This Row],[order_value_GBP]]-Sales_Export_2019_2020__2[[#This Row],[ cost ]]</f>
        <v>27591.339999999997</v>
      </c>
      <c r="L319" t="b">
        <f>COUNTIF(Sales_Export_2019_2020__2[order_id],Sales_Export_2019_2020__2[[#This Row],[order_id]])&gt;1</f>
        <v>0</v>
      </c>
      <c r="M319" t="str">
        <f t="shared" si="4"/>
        <v>£165,000 - £169,999</v>
      </c>
      <c r="N319" t="str" cm="1">
        <f t="array" ref="N31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19">
        <f>FLOOR(Sales_Export_2019_2020__2[[#This Row],[order_value_GBP]],5000)</f>
        <v>165000</v>
      </c>
    </row>
    <row r="320" spans="1:15" x14ac:dyDescent="0.35">
      <c r="A320" t="s">
        <v>215</v>
      </c>
      <c r="B320" s="2">
        <v>76652.73</v>
      </c>
      <c r="C320" s="2">
        <v>64311.64</v>
      </c>
      <c r="D320" s="1">
        <v>44047</v>
      </c>
      <c r="E320" t="s">
        <v>46</v>
      </c>
      <c r="F320" t="s">
        <v>40</v>
      </c>
      <c r="G320" t="s">
        <v>216</v>
      </c>
      <c r="H320" t="s">
        <v>217</v>
      </c>
      <c r="I320" t="s">
        <v>28</v>
      </c>
      <c r="J320" t="s">
        <v>472</v>
      </c>
      <c r="K320" s="2">
        <f>Sales_Export_2019_2020__2[[#This Row],[order_value_GBP]]-Sales_Export_2019_2020__2[[#This Row],[ cost ]]</f>
        <v>12341.089999999997</v>
      </c>
      <c r="L320" t="b">
        <f>COUNTIF(Sales_Export_2019_2020__2[order_id],Sales_Export_2019_2020__2[[#This Row],[order_id]])&gt;1</f>
        <v>0</v>
      </c>
      <c r="M320" t="str">
        <f t="shared" si="4"/>
        <v>£75,000 - £79,999</v>
      </c>
      <c r="N320" t="str" cm="1">
        <f t="array" ref="N32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20">
        <f>FLOOR(Sales_Export_2019_2020__2[[#This Row],[order_value_GBP]],5000)</f>
        <v>75000</v>
      </c>
    </row>
    <row r="321" spans="1:15" x14ac:dyDescent="0.35">
      <c r="A321" t="s">
        <v>45</v>
      </c>
      <c r="B321" s="2">
        <v>151632.32999999999</v>
      </c>
      <c r="C321" s="2">
        <v>120744.82</v>
      </c>
      <c r="D321" s="1">
        <v>44026</v>
      </c>
      <c r="E321" t="s">
        <v>24</v>
      </c>
      <c r="F321" t="s">
        <v>97</v>
      </c>
      <c r="G321" t="s">
        <v>48</v>
      </c>
      <c r="H321" t="s">
        <v>49</v>
      </c>
      <c r="I321" t="s">
        <v>28</v>
      </c>
      <c r="J321" t="s">
        <v>473</v>
      </c>
      <c r="K321" s="2">
        <f>Sales_Export_2019_2020__2[[#This Row],[order_value_GBP]]-Sales_Export_2019_2020__2[[#This Row],[ cost ]]</f>
        <v>30887.50999999998</v>
      </c>
      <c r="L321" t="b">
        <f>COUNTIF(Sales_Export_2019_2020__2[order_id],Sales_Export_2019_2020__2[[#This Row],[order_id]])&gt;1</f>
        <v>0</v>
      </c>
      <c r="M321" t="str">
        <f t="shared" si="4"/>
        <v>£150,000 - £154,999</v>
      </c>
      <c r="N321" t="str" cm="1">
        <f t="array" ref="N32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21">
        <f>FLOOR(Sales_Export_2019_2020__2[[#This Row],[order_value_GBP]],5000)</f>
        <v>150000</v>
      </c>
    </row>
    <row r="322" spans="1:15" x14ac:dyDescent="0.35">
      <c r="A322" t="s">
        <v>53</v>
      </c>
      <c r="B322" s="2">
        <v>35289.75</v>
      </c>
      <c r="C322" s="2">
        <v>29424.59</v>
      </c>
      <c r="D322" s="1">
        <v>43522</v>
      </c>
      <c r="E322" t="s">
        <v>60</v>
      </c>
      <c r="F322" t="s">
        <v>97</v>
      </c>
      <c r="G322" t="s">
        <v>55</v>
      </c>
      <c r="H322" t="s">
        <v>56</v>
      </c>
      <c r="I322" t="s">
        <v>28</v>
      </c>
      <c r="J322" t="s">
        <v>474</v>
      </c>
      <c r="K322" s="2">
        <f>Sales_Export_2019_2020__2[[#This Row],[order_value_GBP]]-Sales_Export_2019_2020__2[[#This Row],[ cost ]]</f>
        <v>5865.16</v>
      </c>
      <c r="L322" t="b">
        <f>COUNTIF(Sales_Export_2019_2020__2[order_id],Sales_Export_2019_2020__2[[#This Row],[order_id]])&gt;1</f>
        <v>0</v>
      </c>
      <c r="M322" t="str">
        <f t="shared" ref="M322:M385" si="5">TEXT(FLOOR(B322,5000),"£#,##0")&amp;" - "&amp;TEXT(FLOOR(B322,5000)+4999,"£#,##0")</f>
        <v>£35,000 - £39,999</v>
      </c>
      <c r="N322" t="str" cm="1">
        <f t="array" ref="N32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22">
        <f>FLOOR(Sales_Export_2019_2020__2[[#This Row],[order_value_GBP]],5000)</f>
        <v>35000</v>
      </c>
    </row>
    <row r="323" spans="1:15" x14ac:dyDescent="0.35">
      <c r="A323" t="s">
        <v>53</v>
      </c>
      <c r="B323" s="2">
        <v>77043.839999999997</v>
      </c>
      <c r="C323" s="2">
        <v>63245.29</v>
      </c>
      <c r="D323" s="1">
        <v>43869</v>
      </c>
      <c r="E323" t="s">
        <v>62</v>
      </c>
      <c r="F323" t="s">
        <v>97</v>
      </c>
      <c r="G323" t="s">
        <v>55</v>
      </c>
      <c r="H323" t="s">
        <v>144</v>
      </c>
      <c r="I323" t="s">
        <v>28</v>
      </c>
      <c r="J323" t="s">
        <v>475</v>
      </c>
      <c r="K323" s="2">
        <f>Sales_Export_2019_2020__2[[#This Row],[order_value_GBP]]-Sales_Export_2019_2020__2[[#This Row],[ cost ]]</f>
        <v>13798.549999999996</v>
      </c>
      <c r="L323" t="b">
        <f>COUNTIF(Sales_Export_2019_2020__2[order_id],Sales_Export_2019_2020__2[[#This Row],[order_id]])&gt;1</f>
        <v>0</v>
      </c>
      <c r="M323" t="str">
        <f t="shared" si="5"/>
        <v>£75,000 - £79,999</v>
      </c>
      <c r="N323" t="str" cm="1">
        <f t="array" ref="N32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23">
        <f>FLOOR(Sales_Export_2019_2020__2[[#This Row],[order_value_GBP]],5000)</f>
        <v>75000</v>
      </c>
    </row>
    <row r="324" spans="1:15" x14ac:dyDescent="0.35">
      <c r="A324" t="s">
        <v>23</v>
      </c>
      <c r="B324" s="2">
        <v>59691.71</v>
      </c>
      <c r="C324" s="2">
        <v>49239.69</v>
      </c>
      <c r="D324" s="1">
        <v>43633</v>
      </c>
      <c r="E324" t="s">
        <v>139</v>
      </c>
      <c r="F324" t="s">
        <v>155</v>
      </c>
      <c r="G324" t="s">
        <v>26</v>
      </c>
      <c r="H324" t="s">
        <v>90</v>
      </c>
      <c r="I324" t="s">
        <v>28</v>
      </c>
      <c r="J324" t="s">
        <v>476</v>
      </c>
      <c r="K324" s="2">
        <f>Sales_Export_2019_2020__2[[#This Row],[order_value_GBP]]-Sales_Export_2019_2020__2[[#This Row],[ cost ]]</f>
        <v>10452.019999999997</v>
      </c>
      <c r="L324" t="b">
        <f>COUNTIF(Sales_Export_2019_2020__2[order_id],Sales_Export_2019_2020__2[[#This Row],[order_id]])&gt;1</f>
        <v>0</v>
      </c>
      <c r="M324" t="str">
        <f t="shared" si="5"/>
        <v>£55,000 - £59,999</v>
      </c>
      <c r="N324" t="str" cm="1">
        <f t="array" ref="N32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24">
        <f>FLOOR(Sales_Export_2019_2020__2[[#This Row],[order_value_GBP]],5000)</f>
        <v>55000</v>
      </c>
    </row>
    <row r="325" spans="1:15" x14ac:dyDescent="0.35">
      <c r="A325" t="s">
        <v>23</v>
      </c>
      <c r="B325" s="2">
        <v>181882.43</v>
      </c>
      <c r="C325" s="2">
        <v>149834.75</v>
      </c>
      <c r="D325" s="1">
        <v>43674</v>
      </c>
      <c r="E325" t="s">
        <v>11</v>
      </c>
      <c r="F325" t="s">
        <v>224</v>
      </c>
      <c r="G325" t="s">
        <v>26</v>
      </c>
      <c r="H325" t="s">
        <v>76</v>
      </c>
      <c r="I325" t="s">
        <v>28</v>
      </c>
      <c r="J325" t="s">
        <v>477</v>
      </c>
      <c r="K325" s="2">
        <f>Sales_Export_2019_2020__2[[#This Row],[order_value_GBP]]-Sales_Export_2019_2020__2[[#This Row],[ cost ]]</f>
        <v>32047.679999999993</v>
      </c>
      <c r="L325" t="b">
        <f>COUNTIF(Sales_Export_2019_2020__2[order_id],Sales_Export_2019_2020__2[[#This Row],[order_id]])&gt;1</f>
        <v>0</v>
      </c>
      <c r="M325" t="str">
        <f t="shared" si="5"/>
        <v>£180,000 - £184,999</v>
      </c>
      <c r="N325" t="str" cm="1">
        <f t="array" ref="N32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325">
        <f>FLOOR(Sales_Export_2019_2020__2[[#This Row],[order_value_GBP]],5000)</f>
        <v>180000</v>
      </c>
    </row>
    <row r="326" spans="1:15" x14ac:dyDescent="0.35">
      <c r="A326" t="s">
        <v>23</v>
      </c>
      <c r="B326" s="2">
        <v>50796.04</v>
      </c>
      <c r="C326" s="2">
        <v>44090.96</v>
      </c>
      <c r="D326" s="1">
        <v>43729</v>
      </c>
      <c r="E326" t="s">
        <v>11</v>
      </c>
      <c r="F326" t="s">
        <v>40</v>
      </c>
      <c r="G326" t="s">
        <v>26</v>
      </c>
      <c r="H326" t="s">
        <v>90</v>
      </c>
      <c r="I326" t="s">
        <v>28</v>
      </c>
      <c r="J326" t="s">
        <v>478</v>
      </c>
      <c r="K326" s="2">
        <f>Sales_Export_2019_2020__2[[#This Row],[order_value_GBP]]-Sales_Export_2019_2020__2[[#This Row],[ cost ]]</f>
        <v>6705.0800000000017</v>
      </c>
      <c r="L326" t="b">
        <f>COUNTIF(Sales_Export_2019_2020__2[order_id],Sales_Export_2019_2020__2[[#This Row],[order_id]])&gt;1</f>
        <v>0</v>
      </c>
      <c r="M326" t="str">
        <f t="shared" si="5"/>
        <v>£50,000 - £54,999</v>
      </c>
      <c r="N326" t="str" cm="1">
        <f t="array" ref="N32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26">
        <f>FLOOR(Sales_Export_2019_2020__2[[#This Row],[order_value_GBP]],5000)</f>
        <v>50000</v>
      </c>
    </row>
    <row r="327" spans="1:15" x14ac:dyDescent="0.35">
      <c r="A327" t="s">
        <v>84</v>
      </c>
      <c r="B327" s="2">
        <v>73981.77</v>
      </c>
      <c r="C327" s="2">
        <v>61959.73</v>
      </c>
      <c r="D327" s="1">
        <v>43787</v>
      </c>
      <c r="E327" t="s">
        <v>24</v>
      </c>
      <c r="F327" t="s">
        <v>135</v>
      </c>
      <c r="G327" t="s">
        <v>85</v>
      </c>
      <c r="H327" t="s">
        <v>86</v>
      </c>
      <c r="I327" t="s">
        <v>28</v>
      </c>
      <c r="J327" t="s">
        <v>479</v>
      </c>
      <c r="K327" s="2">
        <f>Sales_Export_2019_2020__2[[#This Row],[order_value_GBP]]-Sales_Export_2019_2020__2[[#This Row],[ cost ]]</f>
        <v>12022.04</v>
      </c>
      <c r="L327" t="b">
        <f>COUNTIF(Sales_Export_2019_2020__2[order_id],Sales_Export_2019_2020__2[[#This Row],[order_id]])&gt;1</f>
        <v>0</v>
      </c>
      <c r="M327" t="str">
        <f t="shared" si="5"/>
        <v>£70,000 - £74,999</v>
      </c>
      <c r="N327" t="str" cm="1">
        <f t="array" ref="N32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27">
        <f>FLOOR(Sales_Export_2019_2020__2[[#This Row],[order_value_GBP]],5000)</f>
        <v>70000</v>
      </c>
    </row>
    <row r="328" spans="1:15" x14ac:dyDescent="0.35">
      <c r="A328" t="s">
        <v>45</v>
      </c>
      <c r="B328" s="2">
        <v>105686.13</v>
      </c>
      <c r="C328" s="2">
        <v>86694.33</v>
      </c>
      <c r="D328" s="1">
        <v>43751</v>
      </c>
      <c r="E328" t="s">
        <v>62</v>
      </c>
      <c r="F328" t="s">
        <v>35</v>
      </c>
      <c r="G328" t="s">
        <v>48</v>
      </c>
      <c r="H328" t="s">
        <v>66</v>
      </c>
      <c r="I328" t="s">
        <v>28</v>
      </c>
      <c r="J328" t="s">
        <v>480</v>
      </c>
      <c r="K328" s="2">
        <f>Sales_Export_2019_2020__2[[#This Row],[order_value_GBP]]-Sales_Export_2019_2020__2[[#This Row],[ cost ]]</f>
        <v>18991.800000000003</v>
      </c>
      <c r="L328" t="b">
        <f>COUNTIF(Sales_Export_2019_2020__2[order_id],Sales_Export_2019_2020__2[[#This Row],[order_id]])&gt;1</f>
        <v>0</v>
      </c>
      <c r="M328" t="str">
        <f t="shared" si="5"/>
        <v>£105,000 - £109,999</v>
      </c>
      <c r="N328" t="str" cm="1">
        <f t="array" ref="N32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28">
        <f>FLOOR(Sales_Export_2019_2020__2[[#This Row],[order_value_GBP]],5000)</f>
        <v>105000</v>
      </c>
    </row>
    <row r="329" spans="1:15" x14ac:dyDescent="0.35">
      <c r="A329" t="s">
        <v>10</v>
      </c>
      <c r="B329" s="2">
        <v>149376.26</v>
      </c>
      <c r="C329" s="2">
        <v>123653.67</v>
      </c>
      <c r="D329" s="1">
        <v>43861</v>
      </c>
      <c r="E329" t="s">
        <v>139</v>
      </c>
      <c r="F329" t="s">
        <v>146</v>
      </c>
      <c r="G329" t="s">
        <v>13</v>
      </c>
      <c r="H329" t="s">
        <v>82</v>
      </c>
      <c r="I329" t="s">
        <v>28</v>
      </c>
      <c r="J329" t="s">
        <v>481</v>
      </c>
      <c r="K329" s="2">
        <f>Sales_Export_2019_2020__2[[#This Row],[order_value_GBP]]-Sales_Export_2019_2020__2[[#This Row],[ cost ]]</f>
        <v>25722.590000000011</v>
      </c>
      <c r="L329" t="b">
        <f>COUNTIF(Sales_Export_2019_2020__2[order_id],Sales_Export_2019_2020__2[[#This Row],[order_id]])&gt;1</f>
        <v>0</v>
      </c>
      <c r="M329" t="str">
        <f t="shared" si="5"/>
        <v>£145,000 - £149,999</v>
      </c>
      <c r="N329" t="str" cm="1">
        <f t="array" ref="N32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29">
        <f>FLOOR(Sales_Export_2019_2020__2[[#This Row],[order_value_GBP]],5000)</f>
        <v>145000</v>
      </c>
    </row>
    <row r="330" spans="1:15" x14ac:dyDescent="0.35">
      <c r="A330" t="s">
        <v>84</v>
      </c>
      <c r="B330" s="2">
        <v>85237.91</v>
      </c>
      <c r="C330" s="2">
        <v>72384.03</v>
      </c>
      <c r="D330" s="1">
        <v>43908</v>
      </c>
      <c r="E330" t="s">
        <v>60</v>
      </c>
      <c r="F330" t="s">
        <v>97</v>
      </c>
      <c r="G330" t="s">
        <v>85</v>
      </c>
      <c r="H330" t="s">
        <v>86</v>
      </c>
      <c r="I330" t="s">
        <v>28</v>
      </c>
      <c r="J330" t="s">
        <v>482</v>
      </c>
      <c r="K330" s="2">
        <f>Sales_Export_2019_2020__2[[#This Row],[order_value_GBP]]-Sales_Export_2019_2020__2[[#This Row],[ cost ]]</f>
        <v>12853.880000000005</v>
      </c>
      <c r="L330" t="b">
        <f>COUNTIF(Sales_Export_2019_2020__2[order_id],Sales_Export_2019_2020__2[[#This Row],[order_id]])&gt;1</f>
        <v>0</v>
      </c>
      <c r="M330" t="str">
        <f t="shared" si="5"/>
        <v>£85,000 - £89,999</v>
      </c>
      <c r="N330" t="str" cm="1">
        <f t="array" ref="N33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30">
        <f>FLOOR(Sales_Export_2019_2020__2[[#This Row],[order_value_GBP]],5000)</f>
        <v>85000</v>
      </c>
    </row>
    <row r="331" spans="1:15" x14ac:dyDescent="0.35">
      <c r="A331" t="s">
        <v>106</v>
      </c>
      <c r="B331" s="2">
        <v>104743.22</v>
      </c>
      <c r="C331" s="2">
        <v>83281.33</v>
      </c>
      <c r="D331" s="1">
        <v>43548</v>
      </c>
      <c r="E331" t="s">
        <v>80</v>
      </c>
      <c r="F331" t="s">
        <v>35</v>
      </c>
      <c r="G331" t="s">
        <v>107</v>
      </c>
      <c r="H331" t="s">
        <v>108</v>
      </c>
      <c r="I331" t="s">
        <v>15</v>
      </c>
      <c r="J331" t="s">
        <v>483</v>
      </c>
      <c r="K331" s="2">
        <f>Sales_Export_2019_2020__2[[#This Row],[order_value_GBP]]-Sales_Export_2019_2020__2[[#This Row],[ cost ]]</f>
        <v>21461.89</v>
      </c>
      <c r="L331" t="b">
        <f>COUNTIF(Sales_Export_2019_2020__2[order_id],Sales_Export_2019_2020__2[[#This Row],[order_id]])&gt;1</f>
        <v>0</v>
      </c>
      <c r="M331" t="str">
        <f t="shared" si="5"/>
        <v>£100,000 - £104,999</v>
      </c>
      <c r="N331" t="str" cm="1">
        <f t="array" ref="N33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31">
        <f>FLOOR(Sales_Export_2019_2020__2[[#This Row],[order_value_GBP]],5000)</f>
        <v>100000</v>
      </c>
    </row>
    <row r="332" spans="1:15" x14ac:dyDescent="0.35">
      <c r="A332" t="s">
        <v>23</v>
      </c>
      <c r="B332" s="2">
        <v>290551.74</v>
      </c>
      <c r="C332" s="2">
        <v>239530.86</v>
      </c>
      <c r="D332" s="1">
        <v>44179</v>
      </c>
      <c r="E332" t="s">
        <v>139</v>
      </c>
      <c r="F332" t="s">
        <v>31</v>
      </c>
      <c r="G332" t="s">
        <v>26</v>
      </c>
      <c r="H332" t="s">
        <v>219</v>
      </c>
      <c r="I332" t="s">
        <v>28</v>
      </c>
      <c r="J332" t="s">
        <v>484</v>
      </c>
      <c r="K332" s="2">
        <f>Sales_Export_2019_2020__2[[#This Row],[order_value_GBP]]-Sales_Export_2019_2020__2[[#This Row],[ cost ]]</f>
        <v>51020.880000000005</v>
      </c>
      <c r="L332" t="b">
        <f>COUNTIF(Sales_Export_2019_2020__2[order_id],Sales_Export_2019_2020__2[[#This Row],[order_id]])&gt;1</f>
        <v>0</v>
      </c>
      <c r="M332" t="str">
        <f t="shared" si="5"/>
        <v>£290,000 - £294,999</v>
      </c>
      <c r="N332" t="str" cm="1">
        <f t="array" ref="N33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332">
        <f>FLOOR(Sales_Export_2019_2020__2[[#This Row],[order_value_GBP]],5000)</f>
        <v>290000</v>
      </c>
    </row>
    <row r="333" spans="1:15" x14ac:dyDescent="0.35">
      <c r="A333" t="s">
        <v>53</v>
      </c>
      <c r="B333" s="2">
        <v>72314.73</v>
      </c>
      <c r="C333" s="2">
        <v>57309.42</v>
      </c>
      <c r="D333" s="1">
        <v>43704</v>
      </c>
      <c r="E333" t="s">
        <v>51</v>
      </c>
      <c r="F333" t="s">
        <v>35</v>
      </c>
      <c r="G333" t="s">
        <v>55</v>
      </c>
      <c r="H333" t="s">
        <v>133</v>
      </c>
      <c r="I333" t="s">
        <v>28</v>
      </c>
      <c r="J333" t="s">
        <v>485</v>
      </c>
      <c r="K333" s="2">
        <f>Sales_Export_2019_2020__2[[#This Row],[order_value_GBP]]-Sales_Export_2019_2020__2[[#This Row],[ cost ]]</f>
        <v>15005.309999999998</v>
      </c>
      <c r="L333" t="b">
        <f>COUNTIF(Sales_Export_2019_2020__2[order_id],Sales_Export_2019_2020__2[[#This Row],[order_id]])&gt;1</f>
        <v>0</v>
      </c>
      <c r="M333" t="str">
        <f t="shared" si="5"/>
        <v>£70,000 - £74,999</v>
      </c>
      <c r="N333" t="str" cm="1">
        <f t="array" ref="N33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33">
        <f>FLOOR(Sales_Export_2019_2020__2[[#This Row],[order_value_GBP]],5000)</f>
        <v>70000</v>
      </c>
    </row>
    <row r="334" spans="1:15" x14ac:dyDescent="0.35">
      <c r="A334" t="s">
        <v>84</v>
      </c>
      <c r="B334" s="2">
        <v>119858.15</v>
      </c>
      <c r="C334" s="2">
        <v>99997.65</v>
      </c>
      <c r="D334" s="1">
        <v>44154</v>
      </c>
      <c r="E334" t="s">
        <v>80</v>
      </c>
      <c r="F334" t="s">
        <v>182</v>
      </c>
      <c r="G334" t="s">
        <v>85</v>
      </c>
      <c r="H334" t="s">
        <v>86</v>
      </c>
      <c r="I334" t="s">
        <v>28</v>
      </c>
      <c r="J334" t="s">
        <v>486</v>
      </c>
      <c r="K334" s="2">
        <f>Sales_Export_2019_2020__2[[#This Row],[order_value_GBP]]-Sales_Export_2019_2020__2[[#This Row],[ cost ]]</f>
        <v>19860.5</v>
      </c>
      <c r="L334" t="b">
        <f>COUNTIF(Sales_Export_2019_2020__2[order_id],Sales_Export_2019_2020__2[[#This Row],[order_id]])&gt;1</f>
        <v>0</v>
      </c>
      <c r="M334" t="str">
        <f t="shared" si="5"/>
        <v>£115,000 - £119,999</v>
      </c>
      <c r="N334" t="str" cm="1">
        <f t="array" ref="N33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34">
        <f>FLOOR(Sales_Export_2019_2020__2[[#This Row],[order_value_GBP]],5000)</f>
        <v>115000</v>
      </c>
    </row>
    <row r="335" spans="1:15" x14ac:dyDescent="0.35">
      <c r="A335" t="s">
        <v>23</v>
      </c>
      <c r="B335" s="2">
        <v>119937.47</v>
      </c>
      <c r="C335" s="2">
        <v>98720.53</v>
      </c>
      <c r="D335" s="1">
        <v>43690</v>
      </c>
      <c r="E335" t="s">
        <v>18</v>
      </c>
      <c r="F335" t="s">
        <v>434</v>
      </c>
      <c r="G335" t="s">
        <v>26</v>
      </c>
      <c r="H335" t="s">
        <v>32</v>
      </c>
      <c r="I335" t="s">
        <v>28</v>
      </c>
      <c r="J335" t="s">
        <v>487</v>
      </c>
      <c r="K335" s="2">
        <f>Sales_Export_2019_2020__2[[#This Row],[order_value_GBP]]-Sales_Export_2019_2020__2[[#This Row],[ cost ]]</f>
        <v>21216.940000000002</v>
      </c>
      <c r="L335" t="b">
        <f>COUNTIF(Sales_Export_2019_2020__2[order_id],Sales_Export_2019_2020__2[[#This Row],[order_id]])&gt;1</f>
        <v>0</v>
      </c>
      <c r="M335" t="str">
        <f t="shared" si="5"/>
        <v>£115,000 - £119,999</v>
      </c>
      <c r="N335" t="str" cm="1">
        <f t="array" ref="N33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35">
        <f>FLOOR(Sales_Export_2019_2020__2[[#This Row],[order_value_GBP]],5000)</f>
        <v>115000</v>
      </c>
    </row>
    <row r="336" spans="1:15" x14ac:dyDescent="0.35">
      <c r="A336" t="s">
        <v>53</v>
      </c>
      <c r="B336" s="2">
        <v>60592.4</v>
      </c>
      <c r="C336" s="2">
        <v>52363.95</v>
      </c>
      <c r="D336" s="1">
        <v>43518</v>
      </c>
      <c r="E336" t="s">
        <v>46</v>
      </c>
      <c r="F336" t="s">
        <v>71</v>
      </c>
      <c r="G336" t="s">
        <v>55</v>
      </c>
      <c r="H336" t="s">
        <v>128</v>
      </c>
      <c r="I336" t="s">
        <v>28</v>
      </c>
      <c r="J336" t="s">
        <v>488</v>
      </c>
      <c r="K336" s="2">
        <f>Sales_Export_2019_2020__2[[#This Row],[order_value_GBP]]-Sales_Export_2019_2020__2[[#This Row],[ cost ]]</f>
        <v>8228.4500000000044</v>
      </c>
      <c r="L336" t="b">
        <f>COUNTIF(Sales_Export_2019_2020__2[order_id],Sales_Export_2019_2020__2[[#This Row],[order_id]])&gt;1</f>
        <v>0</v>
      </c>
      <c r="M336" t="str">
        <f t="shared" si="5"/>
        <v>£60,000 - £64,999</v>
      </c>
      <c r="N336" t="str" cm="1">
        <f t="array" ref="N33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36">
        <f>FLOOR(Sales_Export_2019_2020__2[[#This Row],[order_value_GBP]],5000)</f>
        <v>60000</v>
      </c>
    </row>
    <row r="337" spans="1:15" x14ac:dyDescent="0.35">
      <c r="A337" t="s">
        <v>173</v>
      </c>
      <c r="B337" s="2">
        <v>31966.82</v>
      </c>
      <c r="C337" s="2">
        <v>26593.200000000001</v>
      </c>
      <c r="D337" s="1">
        <v>44067</v>
      </c>
      <c r="E337" t="s">
        <v>51</v>
      </c>
      <c r="F337" t="s">
        <v>35</v>
      </c>
      <c r="G337" t="s">
        <v>175</v>
      </c>
      <c r="H337" t="s">
        <v>212</v>
      </c>
      <c r="I337" t="s">
        <v>28</v>
      </c>
      <c r="J337" t="s">
        <v>489</v>
      </c>
      <c r="K337" s="2">
        <f>Sales_Export_2019_2020__2[[#This Row],[order_value_GBP]]-Sales_Export_2019_2020__2[[#This Row],[ cost ]]</f>
        <v>5373.619999999999</v>
      </c>
      <c r="L337" t="b">
        <f>COUNTIF(Sales_Export_2019_2020__2[order_id],Sales_Export_2019_2020__2[[#This Row],[order_id]])&gt;1</f>
        <v>0</v>
      </c>
      <c r="M337" t="str">
        <f t="shared" si="5"/>
        <v>£30,000 - £34,999</v>
      </c>
      <c r="N337" t="str" cm="1">
        <f t="array" ref="N33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37">
        <f>FLOOR(Sales_Export_2019_2020__2[[#This Row],[order_value_GBP]],5000)</f>
        <v>30000</v>
      </c>
    </row>
    <row r="338" spans="1:15" x14ac:dyDescent="0.35">
      <c r="A338" t="s">
        <v>23</v>
      </c>
      <c r="B338" s="2">
        <v>83226.45</v>
      </c>
      <c r="C338" s="2">
        <v>71699.59</v>
      </c>
      <c r="D338" s="1">
        <v>44157</v>
      </c>
      <c r="E338" t="s">
        <v>30</v>
      </c>
      <c r="F338" t="s">
        <v>58</v>
      </c>
      <c r="G338" t="s">
        <v>26</v>
      </c>
      <c r="H338" t="s">
        <v>76</v>
      </c>
      <c r="I338" t="s">
        <v>28</v>
      </c>
      <c r="J338" t="s">
        <v>490</v>
      </c>
      <c r="K338" s="2">
        <f>Sales_Export_2019_2020__2[[#This Row],[order_value_GBP]]-Sales_Export_2019_2020__2[[#This Row],[ cost ]]</f>
        <v>11526.86</v>
      </c>
      <c r="L338" t="b">
        <f>COUNTIF(Sales_Export_2019_2020__2[order_id],Sales_Export_2019_2020__2[[#This Row],[order_id]])&gt;1</f>
        <v>0</v>
      </c>
      <c r="M338" t="str">
        <f t="shared" si="5"/>
        <v>£80,000 - £84,999</v>
      </c>
      <c r="N338" t="str" cm="1">
        <f t="array" ref="N33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38">
        <f>FLOOR(Sales_Export_2019_2020__2[[#This Row],[order_value_GBP]],5000)</f>
        <v>80000</v>
      </c>
    </row>
    <row r="339" spans="1:15" x14ac:dyDescent="0.35">
      <c r="A339" t="s">
        <v>215</v>
      </c>
      <c r="B339" s="2">
        <v>51407.3</v>
      </c>
      <c r="C339" s="2">
        <v>44292.53</v>
      </c>
      <c r="D339" s="1">
        <v>43587</v>
      </c>
      <c r="E339" t="s">
        <v>24</v>
      </c>
      <c r="F339" t="s">
        <v>160</v>
      </c>
      <c r="G339" t="s">
        <v>216</v>
      </c>
      <c r="H339" t="s">
        <v>217</v>
      </c>
      <c r="I339" t="s">
        <v>38</v>
      </c>
      <c r="J339" t="s">
        <v>491</v>
      </c>
      <c r="K339" s="2">
        <f>Sales_Export_2019_2020__2[[#This Row],[order_value_GBP]]-Sales_Export_2019_2020__2[[#This Row],[ cost ]]</f>
        <v>7114.7700000000041</v>
      </c>
      <c r="L339" t="b">
        <f>COUNTIF(Sales_Export_2019_2020__2[order_id],Sales_Export_2019_2020__2[[#This Row],[order_id]])&gt;1</f>
        <v>0</v>
      </c>
      <c r="M339" t="str">
        <f t="shared" si="5"/>
        <v>£50,000 - £54,999</v>
      </c>
      <c r="N339" t="str" cm="1">
        <f t="array" ref="N33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39">
        <f>FLOOR(Sales_Export_2019_2020__2[[#This Row],[order_value_GBP]],5000)</f>
        <v>50000</v>
      </c>
    </row>
    <row r="340" spans="1:15" x14ac:dyDescent="0.35">
      <c r="A340" t="s">
        <v>215</v>
      </c>
      <c r="B340" s="2">
        <v>61968.26</v>
      </c>
      <c r="C340" s="2">
        <v>50690.04</v>
      </c>
      <c r="D340" s="1">
        <v>44192</v>
      </c>
      <c r="E340" t="s">
        <v>80</v>
      </c>
      <c r="F340" t="s">
        <v>89</v>
      </c>
      <c r="G340" t="s">
        <v>216</v>
      </c>
      <c r="H340" t="s">
        <v>217</v>
      </c>
      <c r="I340" t="s">
        <v>28</v>
      </c>
      <c r="J340" t="s">
        <v>492</v>
      </c>
      <c r="K340" s="2">
        <f>Sales_Export_2019_2020__2[[#This Row],[order_value_GBP]]-Sales_Export_2019_2020__2[[#This Row],[ cost ]]</f>
        <v>11278.220000000001</v>
      </c>
      <c r="L340" t="b">
        <f>COUNTIF(Sales_Export_2019_2020__2[order_id],Sales_Export_2019_2020__2[[#This Row],[order_id]])&gt;1</f>
        <v>0</v>
      </c>
      <c r="M340" t="str">
        <f t="shared" si="5"/>
        <v>£60,000 - £64,999</v>
      </c>
      <c r="N340" t="str" cm="1">
        <f t="array" ref="N34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40">
        <f>FLOOR(Sales_Export_2019_2020__2[[#This Row],[order_value_GBP]],5000)</f>
        <v>60000</v>
      </c>
    </row>
    <row r="341" spans="1:15" x14ac:dyDescent="0.35">
      <c r="A341" t="s">
        <v>173</v>
      </c>
      <c r="B341" s="2">
        <v>271465.15000000002</v>
      </c>
      <c r="C341" s="2">
        <v>217959.37</v>
      </c>
      <c r="D341" s="1">
        <v>43649</v>
      </c>
      <c r="E341" t="s">
        <v>80</v>
      </c>
      <c r="F341" t="s">
        <v>254</v>
      </c>
      <c r="G341" t="s">
        <v>175</v>
      </c>
      <c r="H341" t="s">
        <v>176</v>
      </c>
      <c r="I341" t="s">
        <v>15</v>
      </c>
      <c r="J341" t="s">
        <v>493</v>
      </c>
      <c r="K341" s="2">
        <f>Sales_Export_2019_2020__2[[#This Row],[order_value_GBP]]-Sales_Export_2019_2020__2[[#This Row],[ cost ]]</f>
        <v>53505.780000000028</v>
      </c>
      <c r="L341" t="b">
        <f>COUNTIF(Sales_Export_2019_2020__2[order_id],Sales_Export_2019_2020__2[[#This Row],[order_id]])&gt;1</f>
        <v>0</v>
      </c>
      <c r="M341" t="str">
        <f t="shared" si="5"/>
        <v>£270,000 - £274,999</v>
      </c>
      <c r="N341" t="str" cm="1">
        <f t="array" ref="N34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341">
        <f>FLOOR(Sales_Export_2019_2020__2[[#This Row],[order_value_GBP]],5000)</f>
        <v>270000</v>
      </c>
    </row>
    <row r="342" spans="1:15" x14ac:dyDescent="0.35">
      <c r="A342" t="s">
        <v>10</v>
      </c>
      <c r="B342" s="2">
        <v>86854.64</v>
      </c>
      <c r="C342" s="2">
        <v>72219.63</v>
      </c>
      <c r="D342" s="1">
        <v>43865</v>
      </c>
      <c r="E342" t="s">
        <v>11</v>
      </c>
      <c r="F342" t="s">
        <v>68</v>
      </c>
      <c r="G342" t="s">
        <v>13</v>
      </c>
      <c r="H342" t="s">
        <v>170</v>
      </c>
      <c r="I342" t="s">
        <v>28</v>
      </c>
      <c r="J342" t="s">
        <v>494</v>
      </c>
      <c r="K342" s="2">
        <f>Sales_Export_2019_2020__2[[#This Row],[order_value_GBP]]-Sales_Export_2019_2020__2[[#This Row],[ cost ]]</f>
        <v>14635.009999999995</v>
      </c>
      <c r="L342" t="b">
        <f>COUNTIF(Sales_Export_2019_2020__2[order_id],Sales_Export_2019_2020__2[[#This Row],[order_id]])&gt;1</f>
        <v>0</v>
      </c>
      <c r="M342" t="str">
        <f t="shared" si="5"/>
        <v>£85,000 - £89,999</v>
      </c>
      <c r="N342" t="str" cm="1">
        <f t="array" ref="N34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42">
        <f>FLOOR(Sales_Export_2019_2020__2[[#This Row],[order_value_GBP]],5000)</f>
        <v>85000</v>
      </c>
    </row>
    <row r="343" spans="1:15" x14ac:dyDescent="0.35">
      <c r="A343" t="s">
        <v>173</v>
      </c>
      <c r="B343" s="2">
        <v>119819.37</v>
      </c>
      <c r="C343" s="2">
        <v>105441.05</v>
      </c>
      <c r="D343" s="1">
        <v>44172</v>
      </c>
      <c r="E343" t="s">
        <v>60</v>
      </c>
      <c r="F343" t="s">
        <v>121</v>
      </c>
      <c r="G343" t="s">
        <v>175</v>
      </c>
      <c r="H343" t="s">
        <v>212</v>
      </c>
      <c r="I343" t="s">
        <v>28</v>
      </c>
      <c r="J343" t="s">
        <v>495</v>
      </c>
      <c r="K343" s="2">
        <f>Sales_Export_2019_2020__2[[#This Row],[order_value_GBP]]-Sales_Export_2019_2020__2[[#This Row],[ cost ]]</f>
        <v>14378.319999999992</v>
      </c>
      <c r="L343" t="b">
        <f>COUNTIF(Sales_Export_2019_2020__2[order_id],Sales_Export_2019_2020__2[[#This Row],[order_id]])&gt;1</f>
        <v>0</v>
      </c>
      <c r="M343" t="str">
        <f t="shared" si="5"/>
        <v>£115,000 - £119,999</v>
      </c>
      <c r="N343" t="str" cm="1">
        <f t="array" ref="N34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43">
        <f>FLOOR(Sales_Export_2019_2020__2[[#This Row],[order_value_GBP]],5000)</f>
        <v>115000</v>
      </c>
    </row>
    <row r="344" spans="1:15" x14ac:dyDescent="0.35">
      <c r="A344" t="s">
        <v>45</v>
      </c>
      <c r="B344" s="2">
        <v>160763.9</v>
      </c>
      <c r="C344" s="2">
        <v>131102.96</v>
      </c>
      <c r="D344" s="1">
        <v>43573</v>
      </c>
      <c r="E344" t="s">
        <v>51</v>
      </c>
      <c r="F344" t="s">
        <v>182</v>
      </c>
      <c r="G344" t="s">
        <v>48</v>
      </c>
      <c r="H344" t="s">
        <v>66</v>
      </c>
      <c r="I344" t="s">
        <v>28</v>
      </c>
      <c r="J344" t="s">
        <v>496</v>
      </c>
      <c r="K344" s="2">
        <f>Sales_Export_2019_2020__2[[#This Row],[order_value_GBP]]-Sales_Export_2019_2020__2[[#This Row],[ cost ]]</f>
        <v>29660.940000000002</v>
      </c>
      <c r="L344" t="b">
        <f>COUNTIF(Sales_Export_2019_2020__2[order_id],Sales_Export_2019_2020__2[[#This Row],[order_id]])&gt;1</f>
        <v>0</v>
      </c>
      <c r="M344" t="str">
        <f t="shared" si="5"/>
        <v>£160,000 - £164,999</v>
      </c>
      <c r="N344" t="str" cm="1">
        <f t="array" ref="N34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44">
        <f>FLOOR(Sales_Export_2019_2020__2[[#This Row],[order_value_GBP]],5000)</f>
        <v>160000</v>
      </c>
    </row>
    <row r="345" spans="1:15" x14ac:dyDescent="0.35">
      <c r="A345" t="s">
        <v>10</v>
      </c>
      <c r="B345" s="2">
        <v>44029.07</v>
      </c>
      <c r="C345" s="2">
        <v>38344.92</v>
      </c>
      <c r="D345" s="1">
        <v>43717</v>
      </c>
      <c r="E345" t="s">
        <v>139</v>
      </c>
      <c r="F345" t="s">
        <v>148</v>
      </c>
      <c r="G345" t="s">
        <v>13</v>
      </c>
      <c r="H345" t="s">
        <v>82</v>
      </c>
      <c r="I345" t="s">
        <v>28</v>
      </c>
      <c r="J345" t="s">
        <v>497</v>
      </c>
      <c r="K345" s="2">
        <f>Sales_Export_2019_2020__2[[#This Row],[order_value_GBP]]-Sales_Export_2019_2020__2[[#This Row],[ cost ]]</f>
        <v>5684.1500000000015</v>
      </c>
      <c r="L345" t="b">
        <f>COUNTIF(Sales_Export_2019_2020__2[order_id],Sales_Export_2019_2020__2[[#This Row],[order_id]])&gt;1</f>
        <v>0</v>
      </c>
      <c r="M345" t="str">
        <f t="shared" si="5"/>
        <v>£40,000 - £44,999</v>
      </c>
      <c r="N345" t="str" cm="1">
        <f t="array" ref="N34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45">
        <f>FLOOR(Sales_Export_2019_2020__2[[#This Row],[order_value_GBP]],5000)</f>
        <v>40000</v>
      </c>
    </row>
    <row r="346" spans="1:15" x14ac:dyDescent="0.35">
      <c r="A346" t="s">
        <v>53</v>
      </c>
      <c r="B346" s="2">
        <v>86628.32</v>
      </c>
      <c r="C346" s="2">
        <v>72464.59</v>
      </c>
      <c r="D346" s="1">
        <v>43775</v>
      </c>
      <c r="E346" t="s">
        <v>51</v>
      </c>
      <c r="F346" t="s">
        <v>234</v>
      </c>
      <c r="G346" t="s">
        <v>55</v>
      </c>
      <c r="H346" t="s">
        <v>128</v>
      </c>
      <c r="I346" t="s">
        <v>28</v>
      </c>
      <c r="J346" t="s">
        <v>498</v>
      </c>
      <c r="K346" s="2">
        <f>Sales_Export_2019_2020__2[[#This Row],[order_value_GBP]]-Sales_Export_2019_2020__2[[#This Row],[ cost ]]</f>
        <v>14163.73000000001</v>
      </c>
      <c r="L346" t="b">
        <f>COUNTIF(Sales_Export_2019_2020__2[order_id],Sales_Export_2019_2020__2[[#This Row],[order_id]])&gt;1</f>
        <v>0</v>
      </c>
      <c r="M346" t="str">
        <f t="shared" si="5"/>
        <v>£85,000 - £89,999</v>
      </c>
      <c r="N346" t="str" cm="1">
        <f t="array" ref="N34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46">
        <f>FLOOR(Sales_Export_2019_2020__2[[#This Row],[order_value_GBP]],5000)</f>
        <v>85000</v>
      </c>
    </row>
    <row r="347" spans="1:15" x14ac:dyDescent="0.35">
      <c r="A347" t="s">
        <v>23</v>
      </c>
      <c r="B347" s="2">
        <v>97641.25</v>
      </c>
      <c r="C347" s="2">
        <v>83414.92</v>
      </c>
      <c r="D347" s="1">
        <v>44121</v>
      </c>
      <c r="E347" t="s">
        <v>11</v>
      </c>
      <c r="F347" t="s">
        <v>282</v>
      </c>
      <c r="G347" t="s">
        <v>26</v>
      </c>
      <c r="H347" t="s">
        <v>219</v>
      </c>
      <c r="I347" t="s">
        <v>28</v>
      </c>
      <c r="J347" t="s">
        <v>499</v>
      </c>
      <c r="K347" s="2">
        <f>Sales_Export_2019_2020__2[[#This Row],[order_value_GBP]]-Sales_Export_2019_2020__2[[#This Row],[ cost ]]</f>
        <v>14226.330000000002</v>
      </c>
      <c r="L347" t="b">
        <f>COUNTIF(Sales_Export_2019_2020__2[order_id],Sales_Export_2019_2020__2[[#This Row],[order_id]])&gt;1</f>
        <v>0</v>
      </c>
      <c r="M347" t="str">
        <f t="shared" si="5"/>
        <v>£95,000 - £99,999</v>
      </c>
      <c r="N347" t="str" cm="1">
        <f t="array" ref="N34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47">
        <f>FLOOR(Sales_Export_2019_2020__2[[#This Row],[order_value_GBP]],5000)</f>
        <v>95000</v>
      </c>
    </row>
    <row r="348" spans="1:15" x14ac:dyDescent="0.35">
      <c r="A348" t="s">
        <v>23</v>
      </c>
      <c r="B348" s="2">
        <v>98746.66</v>
      </c>
      <c r="C348" s="2">
        <v>80399.53</v>
      </c>
      <c r="D348" s="1">
        <v>43871</v>
      </c>
      <c r="E348" t="s">
        <v>51</v>
      </c>
      <c r="F348" t="s">
        <v>110</v>
      </c>
      <c r="G348" t="s">
        <v>26</v>
      </c>
      <c r="H348" t="s">
        <v>27</v>
      </c>
      <c r="I348" t="s">
        <v>28</v>
      </c>
      <c r="J348" t="s">
        <v>500</v>
      </c>
      <c r="K348" s="2">
        <f>Sales_Export_2019_2020__2[[#This Row],[order_value_GBP]]-Sales_Export_2019_2020__2[[#This Row],[ cost ]]</f>
        <v>18347.130000000005</v>
      </c>
      <c r="L348" t="b">
        <f>COUNTIF(Sales_Export_2019_2020__2[order_id],Sales_Export_2019_2020__2[[#This Row],[order_id]])&gt;1</f>
        <v>0</v>
      </c>
      <c r="M348" t="str">
        <f t="shared" si="5"/>
        <v>£95,000 - £99,999</v>
      </c>
      <c r="N348" t="str" cm="1">
        <f t="array" ref="N34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48">
        <f>FLOOR(Sales_Export_2019_2020__2[[#This Row],[order_value_GBP]],5000)</f>
        <v>95000</v>
      </c>
    </row>
    <row r="349" spans="1:15" x14ac:dyDescent="0.35">
      <c r="A349" t="s">
        <v>53</v>
      </c>
      <c r="B349" s="2">
        <v>109562.5</v>
      </c>
      <c r="C349" s="2">
        <v>89917.94</v>
      </c>
      <c r="D349" s="1">
        <v>44048</v>
      </c>
      <c r="E349" t="s">
        <v>51</v>
      </c>
      <c r="F349" t="s">
        <v>210</v>
      </c>
      <c r="G349" t="s">
        <v>55</v>
      </c>
      <c r="H349" t="s">
        <v>56</v>
      </c>
      <c r="I349" t="s">
        <v>28</v>
      </c>
      <c r="J349" t="s">
        <v>501</v>
      </c>
      <c r="K349" s="2">
        <f>Sales_Export_2019_2020__2[[#This Row],[order_value_GBP]]-Sales_Export_2019_2020__2[[#This Row],[ cost ]]</f>
        <v>19644.559999999998</v>
      </c>
      <c r="L349" t="b">
        <f>COUNTIF(Sales_Export_2019_2020__2[order_id],Sales_Export_2019_2020__2[[#This Row],[order_id]])&gt;1</f>
        <v>0</v>
      </c>
      <c r="M349" t="str">
        <f t="shared" si="5"/>
        <v>£105,000 - £109,999</v>
      </c>
      <c r="N349" t="str" cm="1">
        <f t="array" ref="N34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49">
        <f>FLOOR(Sales_Export_2019_2020__2[[#This Row],[order_value_GBP]],5000)</f>
        <v>105000</v>
      </c>
    </row>
    <row r="350" spans="1:15" x14ac:dyDescent="0.35">
      <c r="A350" t="s">
        <v>45</v>
      </c>
      <c r="B350" s="2">
        <v>60301.96</v>
      </c>
      <c r="C350" s="2">
        <v>48820.47</v>
      </c>
      <c r="D350" s="1">
        <v>43504</v>
      </c>
      <c r="E350" t="s">
        <v>30</v>
      </c>
      <c r="F350" t="s">
        <v>126</v>
      </c>
      <c r="G350" t="s">
        <v>48</v>
      </c>
      <c r="H350" t="s">
        <v>74</v>
      </c>
      <c r="I350" t="s">
        <v>28</v>
      </c>
      <c r="J350" t="s">
        <v>502</v>
      </c>
      <c r="K350" s="2">
        <f>Sales_Export_2019_2020__2[[#This Row],[order_value_GBP]]-Sales_Export_2019_2020__2[[#This Row],[ cost ]]</f>
        <v>11481.489999999998</v>
      </c>
      <c r="L350" t="b">
        <f>COUNTIF(Sales_Export_2019_2020__2[order_id],Sales_Export_2019_2020__2[[#This Row],[order_id]])&gt;1</f>
        <v>0</v>
      </c>
      <c r="M350" t="str">
        <f t="shared" si="5"/>
        <v>£60,000 - £64,999</v>
      </c>
      <c r="N350" t="str" cm="1">
        <f t="array" ref="N35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50">
        <f>FLOOR(Sales_Export_2019_2020__2[[#This Row],[order_value_GBP]],5000)</f>
        <v>60000</v>
      </c>
    </row>
    <row r="351" spans="1:15" x14ac:dyDescent="0.35">
      <c r="A351" t="s">
        <v>53</v>
      </c>
      <c r="B351" s="2">
        <v>80781.62</v>
      </c>
      <c r="C351" s="2">
        <v>68971.350000000006</v>
      </c>
      <c r="D351" s="1">
        <v>43484</v>
      </c>
      <c r="E351" t="s">
        <v>60</v>
      </c>
      <c r="F351" t="s">
        <v>182</v>
      </c>
      <c r="G351" t="s">
        <v>55</v>
      </c>
      <c r="H351" t="s">
        <v>133</v>
      </c>
      <c r="I351" t="s">
        <v>15</v>
      </c>
      <c r="J351" t="s">
        <v>503</v>
      </c>
      <c r="K351" s="2">
        <f>Sales_Export_2019_2020__2[[#This Row],[order_value_GBP]]-Sales_Export_2019_2020__2[[#This Row],[ cost ]]</f>
        <v>11810.26999999999</v>
      </c>
      <c r="L351" t="b">
        <f>COUNTIF(Sales_Export_2019_2020__2[order_id],Sales_Export_2019_2020__2[[#This Row],[order_id]])&gt;1</f>
        <v>0</v>
      </c>
      <c r="M351" t="str">
        <f t="shared" si="5"/>
        <v>£80,000 - £84,999</v>
      </c>
      <c r="N351" t="str" cm="1">
        <f t="array" ref="N35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51">
        <f>FLOOR(Sales_Export_2019_2020__2[[#This Row],[order_value_GBP]],5000)</f>
        <v>80000</v>
      </c>
    </row>
    <row r="352" spans="1:15" x14ac:dyDescent="0.35">
      <c r="A352" t="s">
        <v>53</v>
      </c>
      <c r="B352" s="2">
        <v>238659.41</v>
      </c>
      <c r="C352" s="2">
        <v>204507.25</v>
      </c>
      <c r="D352" s="1">
        <v>43822</v>
      </c>
      <c r="E352" t="s">
        <v>51</v>
      </c>
      <c r="F352" t="s">
        <v>254</v>
      </c>
      <c r="G352" t="s">
        <v>55</v>
      </c>
      <c r="H352" t="s">
        <v>72</v>
      </c>
      <c r="I352" t="s">
        <v>38</v>
      </c>
      <c r="J352" t="s">
        <v>504</v>
      </c>
      <c r="K352" s="2">
        <f>Sales_Export_2019_2020__2[[#This Row],[order_value_GBP]]-Sales_Export_2019_2020__2[[#This Row],[ cost ]]</f>
        <v>34152.160000000003</v>
      </c>
      <c r="L352" t="b">
        <f>COUNTIF(Sales_Export_2019_2020__2[order_id],Sales_Export_2019_2020__2[[#This Row],[order_id]])&gt;1</f>
        <v>0</v>
      </c>
      <c r="M352" t="str">
        <f t="shared" si="5"/>
        <v>£235,000 - £239,999</v>
      </c>
      <c r="N352" t="str" cm="1">
        <f t="array" ref="N35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352">
        <f>FLOOR(Sales_Export_2019_2020__2[[#This Row],[order_value_GBP]],5000)</f>
        <v>235000</v>
      </c>
    </row>
    <row r="353" spans="1:15" x14ac:dyDescent="0.35">
      <c r="A353" t="s">
        <v>45</v>
      </c>
      <c r="B353" s="2">
        <v>165631.75</v>
      </c>
      <c r="C353" s="2">
        <v>139114.10999999999</v>
      </c>
      <c r="D353" s="1">
        <v>43711</v>
      </c>
      <c r="E353" t="s">
        <v>51</v>
      </c>
      <c r="F353" t="s">
        <v>35</v>
      </c>
      <c r="G353" t="s">
        <v>48</v>
      </c>
      <c r="H353" t="s">
        <v>74</v>
      </c>
      <c r="I353" t="s">
        <v>28</v>
      </c>
      <c r="J353" t="s">
        <v>505</v>
      </c>
      <c r="K353" s="2">
        <f>Sales_Export_2019_2020__2[[#This Row],[order_value_GBP]]-Sales_Export_2019_2020__2[[#This Row],[ cost ]]</f>
        <v>26517.640000000014</v>
      </c>
      <c r="L353" t="b">
        <f>COUNTIF(Sales_Export_2019_2020__2[order_id],Sales_Export_2019_2020__2[[#This Row],[order_id]])&gt;1</f>
        <v>0</v>
      </c>
      <c r="M353" t="str">
        <f t="shared" si="5"/>
        <v>£165,000 - £169,999</v>
      </c>
      <c r="N353" t="str" cm="1">
        <f t="array" ref="N35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53">
        <f>FLOOR(Sales_Export_2019_2020__2[[#This Row],[order_value_GBP]],5000)</f>
        <v>165000</v>
      </c>
    </row>
    <row r="354" spans="1:15" x14ac:dyDescent="0.35">
      <c r="A354" t="s">
        <v>10</v>
      </c>
      <c r="B354" s="2">
        <v>126682.79</v>
      </c>
      <c r="C354" s="2">
        <v>106514.89</v>
      </c>
      <c r="D354" s="1">
        <v>43627</v>
      </c>
      <c r="E354" t="s">
        <v>60</v>
      </c>
      <c r="F354" t="s">
        <v>102</v>
      </c>
      <c r="G354" t="s">
        <v>13</v>
      </c>
      <c r="H354" t="s">
        <v>14</v>
      </c>
      <c r="I354" t="s">
        <v>28</v>
      </c>
      <c r="J354" t="s">
        <v>506</v>
      </c>
      <c r="K354" s="2">
        <f>Sales_Export_2019_2020__2[[#This Row],[order_value_GBP]]-Sales_Export_2019_2020__2[[#This Row],[ cost ]]</f>
        <v>20167.899999999994</v>
      </c>
      <c r="L354" t="b">
        <f>COUNTIF(Sales_Export_2019_2020__2[order_id],Sales_Export_2019_2020__2[[#This Row],[order_id]])&gt;1</f>
        <v>0</v>
      </c>
      <c r="M354" t="str">
        <f t="shared" si="5"/>
        <v>£125,000 - £129,999</v>
      </c>
      <c r="N354" t="str" cm="1">
        <f t="array" ref="N35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54">
        <f>FLOOR(Sales_Export_2019_2020__2[[#This Row],[order_value_GBP]],5000)</f>
        <v>125000</v>
      </c>
    </row>
    <row r="355" spans="1:15" x14ac:dyDescent="0.35">
      <c r="A355" t="s">
        <v>10</v>
      </c>
      <c r="B355" s="2">
        <v>145558</v>
      </c>
      <c r="C355" s="2">
        <v>116257.18</v>
      </c>
      <c r="D355" s="1">
        <v>43819</v>
      </c>
      <c r="E355" t="s">
        <v>24</v>
      </c>
      <c r="F355" t="s">
        <v>311</v>
      </c>
      <c r="G355" t="s">
        <v>13</v>
      </c>
      <c r="H355" t="s">
        <v>170</v>
      </c>
      <c r="I355" t="s">
        <v>38</v>
      </c>
      <c r="J355" t="s">
        <v>507</v>
      </c>
      <c r="K355" s="2">
        <f>Sales_Export_2019_2020__2[[#This Row],[order_value_GBP]]-Sales_Export_2019_2020__2[[#This Row],[ cost ]]</f>
        <v>29300.820000000007</v>
      </c>
      <c r="L355" t="b">
        <f>COUNTIF(Sales_Export_2019_2020__2[order_id],Sales_Export_2019_2020__2[[#This Row],[order_id]])&gt;1</f>
        <v>0</v>
      </c>
      <c r="M355" t="str">
        <f t="shared" si="5"/>
        <v>£145,000 - £149,999</v>
      </c>
      <c r="N355" t="str" cm="1">
        <f t="array" ref="N35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55">
        <f>FLOOR(Sales_Export_2019_2020__2[[#This Row],[order_value_GBP]],5000)</f>
        <v>145000</v>
      </c>
    </row>
    <row r="356" spans="1:15" x14ac:dyDescent="0.35">
      <c r="A356" t="s">
        <v>34</v>
      </c>
      <c r="B356" s="2">
        <v>59163.79</v>
      </c>
      <c r="C356" s="2">
        <v>50419.38</v>
      </c>
      <c r="D356" s="1">
        <v>43535</v>
      </c>
      <c r="E356" t="s">
        <v>60</v>
      </c>
      <c r="F356" t="s">
        <v>224</v>
      </c>
      <c r="G356" t="s">
        <v>36</v>
      </c>
      <c r="H356" t="s">
        <v>41</v>
      </c>
      <c r="I356" t="s">
        <v>15</v>
      </c>
      <c r="J356" t="s">
        <v>508</v>
      </c>
      <c r="K356" s="2">
        <f>Sales_Export_2019_2020__2[[#This Row],[order_value_GBP]]-Sales_Export_2019_2020__2[[#This Row],[ cost ]]</f>
        <v>8744.4100000000035</v>
      </c>
      <c r="L356" t="b">
        <f>COUNTIF(Sales_Export_2019_2020__2[order_id],Sales_Export_2019_2020__2[[#This Row],[order_id]])&gt;1</f>
        <v>0</v>
      </c>
      <c r="M356" t="str">
        <f t="shared" si="5"/>
        <v>£55,000 - £59,999</v>
      </c>
      <c r="N356" t="str" cm="1">
        <f t="array" ref="N35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56">
        <f>FLOOR(Sales_Export_2019_2020__2[[#This Row],[order_value_GBP]],5000)</f>
        <v>55000</v>
      </c>
    </row>
    <row r="357" spans="1:15" x14ac:dyDescent="0.35">
      <c r="A357" t="s">
        <v>10</v>
      </c>
      <c r="B357" s="2">
        <v>140352.81</v>
      </c>
      <c r="C357" s="2">
        <v>122303.44</v>
      </c>
      <c r="D357" s="1">
        <v>43800</v>
      </c>
      <c r="E357" t="s">
        <v>60</v>
      </c>
      <c r="F357" t="s">
        <v>19</v>
      </c>
      <c r="G357" t="s">
        <v>13</v>
      </c>
      <c r="H357" t="s">
        <v>118</v>
      </c>
      <c r="I357" t="s">
        <v>28</v>
      </c>
      <c r="J357" t="s">
        <v>509</v>
      </c>
      <c r="K357" s="2">
        <f>Sales_Export_2019_2020__2[[#This Row],[order_value_GBP]]-Sales_Export_2019_2020__2[[#This Row],[ cost ]]</f>
        <v>18049.369999999995</v>
      </c>
      <c r="L357" t="b">
        <f>COUNTIF(Sales_Export_2019_2020__2[order_id],Sales_Export_2019_2020__2[[#This Row],[order_id]])&gt;1</f>
        <v>0</v>
      </c>
      <c r="M357" t="str">
        <f t="shared" si="5"/>
        <v>£140,000 - £144,999</v>
      </c>
      <c r="N357" t="str" cm="1">
        <f t="array" ref="N35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57">
        <f>FLOOR(Sales_Export_2019_2020__2[[#This Row],[order_value_GBP]],5000)</f>
        <v>140000</v>
      </c>
    </row>
    <row r="358" spans="1:15" x14ac:dyDescent="0.35">
      <c r="A358" t="s">
        <v>53</v>
      </c>
      <c r="B358" s="2">
        <v>163401.23000000001</v>
      </c>
      <c r="C358" s="2">
        <v>139413.93</v>
      </c>
      <c r="D358" s="1">
        <v>43577</v>
      </c>
      <c r="E358" t="s">
        <v>24</v>
      </c>
      <c r="F358" t="s">
        <v>64</v>
      </c>
      <c r="G358" t="s">
        <v>55</v>
      </c>
      <c r="H358" t="s">
        <v>144</v>
      </c>
      <c r="I358" t="s">
        <v>28</v>
      </c>
      <c r="J358" t="s">
        <v>510</v>
      </c>
      <c r="K358" s="2">
        <f>Sales_Export_2019_2020__2[[#This Row],[order_value_GBP]]-Sales_Export_2019_2020__2[[#This Row],[ cost ]]</f>
        <v>23987.300000000017</v>
      </c>
      <c r="L358" t="b">
        <f>COUNTIF(Sales_Export_2019_2020__2[order_id],Sales_Export_2019_2020__2[[#This Row],[order_id]])&gt;1</f>
        <v>0</v>
      </c>
      <c r="M358" t="str">
        <f t="shared" si="5"/>
        <v>£160,000 - £164,999</v>
      </c>
      <c r="N358" t="str" cm="1">
        <f t="array" ref="N35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58">
        <f>FLOOR(Sales_Export_2019_2020__2[[#This Row],[order_value_GBP]],5000)</f>
        <v>160000</v>
      </c>
    </row>
    <row r="359" spans="1:15" x14ac:dyDescent="0.35">
      <c r="A359" t="s">
        <v>10</v>
      </c>
      <c r="B359" s="2">
        <v>177867.3</v>
      </c>
      <c r="C359" s="2">
        <v>140675.25</v>
      </c>
      <c r="D359" s="1">
        <v>44107</v>
      </c>
      <c r="E359" t="s">
        <v>60</v>
      </c>
      <c r="F359" t="s">
        <v>155</v>
      </c>
      <c r="G359" t="s">
        <v>13</v>
      </c>
      <c r="H359" t="s">
        <v>69</v>
      </c>
      <c r="I359" t="s">
        <v>28</v>
      </c>
      <c r="J359" t="s">
        <v>511</v>
      </c>
      <c r="K359" s="2">
        <f>Sales_Export_2019_2020__2[[#This Row],[order_value_GBP]]-Sales_Export_2019_2020__2[[#This Row],[ cost ]]</f>
        <v>37192.049999999988</v>
      </c>
      <c r="L359" t="b">
        <f>COUNTIF(Sales_Export_2019_2020__2[order_id],Sales_Export_2019_2020__2[[#This Row],[order_id]])&gt;1</f>
        <v>0</v>
      </c>
      <c r="M359" t="str">
        <f t="shared" si="5"/>
        <v>£175,000 - £179,999</v>
      </c>
      <c r="N359" t="str" cm="1">
        <f t="array" ref="N35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359">
        <f>FLOOR(Sales_Export_2019_2020__2[[#This Row],[order_value_GBP]],5000)</f>
        <v>175000</v>
      </c>
    </row>
    <row r="360" spans="1:15" x14ac:dyDescent="0.35">
      <c r="A360" t="s">
        <v>215</v>
      </c>
      <c r="B360" s="2">
        <v>58416.81</v>
      </c>
      <c r="C360" s="2">
        <v>46745.13</v>
      </c>
      <c r="D360" s="1">
        <v>43503</v>
      </c>
      <c r="E360" t="s">
        <v>24</v>
      </c>
      <c r="F360" t="s">
        <v>282</v>
      </c>
      <c r="G360" t="s">
        <v>216</v>
      </c>
      <c r="H360" t="s">
        <v>217</v>
      </c>
      <c r="I360" t="s">
        <v>28</v>
      </c>
      <c r="J360" t="s">
        <v>512</v>
      </c>
      <c r="K360" s="2">
        <f>Sales_Export_2019_2020__2[[#This Row],[order_value_GBP]]-Sales_Export_2019_2020__2[[#This Row],[ cost ]]</f>
        <v>11671.68</v>
      </c>
      <c r="L360" t="b">
        <f>COUNTIF(Sales_Export_2019_2020__2[order_id],Sales_Export_2019_2020__2[[#This Row],[order_id]])&gt;1</f>
        <v>0</v>
      </c>
      <c r="M360" t="str">
        <f t="shared" si="5"/>
        <v>£55,000 - £59,999</v>
      </c>
      <c r="N360" t="str" cm="1">
        <f t="array" ref="N36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60">
        <f>FLOOR(Sales_Export_2019_2020__2[[#This Row],[order_value_GBP]],5000)</f>
        <v>55000</v>
      </c>
    </row>
    <row r="361" spans="1:15" x14ac:dyDescent="0.35">
      <c r="A361" t="s">
        <v>215</v>
      </c>
      <c r="B361" s="2">
        <v>169544.95</v>
      </c>
      <c r="C361" s="2">
        <v>137568.76999999999</v>
      </c>
      <c r="D361" s="1">
        <v>43933</v>
      </c>
      <c r="E361" t="s">
        <v>51</v>
      </c>
      <c r="F361" t="s">
        <v>116</v>
      </c>
      <c r="G361" t="s">
        <v>216</v>
      </c>
      <c r="H361" t="s">
        <v>217</v>
      </c>
      <c r="I361" t="s">
        <v>15</v>
      </c>
      <c r="J361" t="s">
        <v>513</v>
      </c>
      <c r="K361" s="2">
        <f>Sales_Export_2019_2020__2[[#This Row],[order_value_GBP]]-Sales_Export_2019_2020__2[[#This Row],[ cost ]]</f>
        <v>31976.180000000022</v>
      </c>
      <c r="L361" t="b">
        <f>COUNTIF(Sales_Export_2019_2020__2[order_id],Sales_Export_2019_2020__2[[#This Row],[order_id]])&gt;1</f>
        <v>0</v>
      </c>
      <c r="M361" t="str">
        <f t="shared" si="5"/>
        <v>£165,000 - £169,999</v>
      </c>
      <c r="N361" t="str" cm="1">
        <f t="array" ref="N36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61">
        <f>FLOOR(Sales_Export_2019_2020__2[[#This Row],[order_value_GBP]],5000)</f>
        <v>165000</v>
      </c>
    </row>
    <row r="362" spans="1:15" x14ac:dyDescent="0.35">
      <c r="A362" t="s">
        <v>106</v>
      </c>
      <c r="B362" s="2">
        <v>74732.789999999994</v>
      </c>
      <c r="C362" s="2">
        <v>64098.31</v>
      </c>
      <c r="D362" s="1">
        <v>43885</v>
      </c>
      <c r="E362" t="s">
        <v>30</v>
      </c>
      <c r="F362" t="s">
        <v>224</v>
      </c>
      <c r="G362" t="s">
        <v>107</v>
      </c>
      <c r="H362" t="s">
        <v>108</v>
      </c>
      <c r="I362" t="s">
        <v>28</v>
      </c>
      <c r="J362" t="s">
        <v>514</v>
      </c>
      <c r="K362" s="2">
        <f>Sales_Export_2019_2020__2[[#This Row],[order_value_GBP]]-Sales_Export_2019_2020__2[[#This Row],[ cost ]]</f>
        <v>10634.479999999996</v>
      </c>
      <c r="L362" t="b">
        <f>COUNTIF(Sales_Export_2019_2020__2[order_id],Sales_Export_2019_2020__2[[#This Row],[order_id]])&gt;1</f>
        <v>0</v>
      </c>
      <c r="M362" t="str">
        <f t="shared" si="5"/>
        <v>£70,000 - £74,999</v>
      </c>
      <c r="N362" t="str" cm="1">
        <f t="array" ref="N36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62">
        <f>FLOOR(Sales_Export_2019_2020__2[[#This Row],[order_value_GBP]],5000)</f>
        <v>70000</v>
      </c>
    </row>
    <row r="363" spans="1:15" x14ac:dyDescent="0.35">
      <c r="A363" t="s">
        <v>23</v>
      </c>
      <c r="B363" s="2">
        <v>55166.78</v>
      </c>
      <c r="C363" s="2">
        <v>47443.43</v>
      </c>
      <c r="D363" s="1">
        <v>43934</v>
      </c>
      <c r="E363" t="s">
        <v>11</v>
      </c>
      <c r="F363" t="s">
        <v>54</v>
      </c>
      <c r="G363" t="s">
        <v>26</v>
      </c>
      <c r="H363" t="s">
        <v>90</v>
      </c>
      <c r="I363" t="s">
        <v>28</v>
      </c>
      <c r="J363" t="s">
        <v>515</v>
      </c>
      <c r="K363" s="2">
        <f>Sales_Export_2019_2020__2[[#This Row],[order_value_GBP]]-Sales_Export_2019_2020__2[[#This Row],[ cost ]]</f>
        <v>7723.3499999999985</v>
      </c>
      <c r="L363" t="b">
        <f>COUNTIF(Sales_Export_2019_2020__2[order_id],Sales_Export_2019_2020__2[[#This Row],[order_id]])&gt;1</f>
        <v>0</v>
      </c>
      <c r="M363" t="str">
        <f t="shared" si="5"/>
        <v>£55,000 - £59,999</v>
      </c>
      <c r="N363" t="str" cm="1">
        <f t="array" ref="N36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63">
        <f>FLOOR(Sales_Export_2019_2020__2[[#This Row],[order_value_GBP]],5000)</f>
        <v>55000</v>
      </c>
    </row>
    <row r="364" spans="1:15" x14ac:dyDescent="0.35">
      <c r="A364" t="s">
        <v>53</v>
      </c>
      <c r="B364" s="2">
        <v>99319.33</v>
      </c>
      <c r="C364" s="2">
        <v>79127.710000000006</v>
      </c>
      <c r="D364" s="1">
        <v>43977</v>
      </c>
      <c r="E364" t="s">
        <v>18</v>
      </c>
      <c r="F364" t="s">
        <v>31</v>
      </c>
      <c r="G364" t="s">
        <v>55</v>
      </c>
      <c r="H364" t="s">
        <v>72</v>
      </c>
      <c r="I364" t="s">
        <v>28</v>
      </c>
      <c r="J364" t="s">
        <v>516</v>
      </c>
      <c r="K364" s="2">
        <f>Sales_Export_2019_2020__2[[#This Row],[order_value_GBP]]-Sales_Export_2019_2020__2[[#This Row],[ cost ]]</f>
        <v>20191.619999999995</v>
      </c>
      <c r="L364" t="b">
        <f>COUNTIF(Sales_Export_2019_2020__2[order_id],Sales_Export_2019_2020__2[[#This Row],[order_id]])&gt;1</f>
        <v>0</v>
      </c>
      <c r="M364" t="str">
        <f t="shared" si="5"/>
        <v>£95,000 - £99,999</v>
      </c>
      <c r="N364" t="str" cm="1">
        <f t="array" ref="N36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64">
        <f>FLOOR(Sales_Export_2019_2020__2[[#This Row],[order_value_GBP]],5000)</f>
        <v>95000</v>
      </c>
    </row>
    <row r="365" spans="1:15" x14ac:dyDescent="0.35">
      <c r="A365" t="s">
        <v>10</v>
      </c>
      <c r="B365" s="2">
        <v>118982.14</v>
      </c>
      <c r="C365" s="2">
        <v>95506.96</v>
      </c>
      <c r="D365" s="1">
        <v>43845</v>
      </c>
      <c r="E365" t="s">
        <v>24</v>
      </c>
      <c r="F365" t="s">
        <v>380</v>
      </c>
      <c r="G365" t="s">
        <v>13</v>
      </c>
      <c r="H365" t="s">
        <v>118</v>
      </c>
      <c r="I365" t="s">
        <v>15</v>
      </c>
      <c r="J365" t="s">
        <v>517</v>
      </c>
      <c r="K365" s="2">
        <f>Sales_Export_2019_2020__2[[#This Row],[order_value_GBP]]-Sales_Export_2019_2020__2[[#This Row],[ cost ]]</f>
        <v>23475.179999999993</v>
      </c>
      <c r="L365" t="b">
        <f>COUNTIF(Sales_Export_2019_2020__2[order_id],Sales_Export_2019_2020__2[[#This Row],[order_id]])&gt;1</f>
        <v>0</v>
      </c>
      <c r="M365" t="str">
        <f t="shared" si="5"/>
        <v>£115,000 - £119,999</v>
      </c>
      <c r="N365" t="str" cm="1">
        <f t="array" ref="N36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65">
        <f>FLOOR(Sales_Export_2019_2020__2[[#This Row],[order_value_GBP]],5000)</f>
        <v>115000</v>
      </c>
    </row>
    <row r="366" spans="1:15" x14ac:dyDescent="0.35">
      <c r="A366" t="s">
        <v>173</v>
      </c>
      <c r="B366" s="2">
        <v>157007.51999999999</v>
      </c>
      <c r="C366" s="2">
        <v>126940.58</v>
      </c>
      <c r="D366" s="1">
        <v>43708</v>
      </c>
      <c r="E366" t="s">
        <v>30</v>
      </c>
      <c r="F366" t="s">
        <v>114</v>
      </c>
      <c r="G366" t="s">
        <v>175</v>
      </c>
      <c r="H366" t="s">
        <v>176</v>
      </c>
      <c r="I366" t="s">
        <v>28</v>
      </c>
      <c r="J366" t="s">
        <v>518</v>
      </c>
      <c r="K366" s="2">
        <f>Sales_Export_2019_2020__2[[#This Row],[order_value_GBP]]-Sales_Export_2019_2020__2[[#This Row],[ cost ]]</f>
        <v>30066.939999999988</v>
      </c>
      <c r="L366" t="b">
        <f>COUNTIF(Sales_Export_2019_2020__2[order_id],Sales_Export_2019_2020__2[[#This Row],[order_id]])&gt;1</f>
        <v>0</v>
      </c>
      <c r="M366" t="str">
        <f t="shared" si="5"/>
        <v>£155,000 - £159,999</v>
      </c>
      <c r="N366" t="str" cm="1">
        <f t="array" ref="N36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66">
        <f>FLOOR(Sales_Export_2019_2020__2[[#This Row],[order_value_GBP]],5000)</f>
        <v>155000</v>
      </c>
    </row>
    <row r="367" spans="1:15" x14ac:dyDescent="0.35">
      <c r="A367" t="s">
        <v>53</v>
      </c>
      <c r="B367" s="2">
        <v>49374.25</v>
      </c>
      <c r="C367" s="2">
        <v>39208.089999999997</v>
      </c>
      <c r="D367" s="1">
        <v>43606</v>
      </c>
      <c r="E367" t="s">
        <v>11</v>
      </c>
      <c r="F367" t="s">
        <v>327</v>
      </c>
      <c r="G367" t="s">
        <v>55</v>
      </c>
      <c r="H367" t="s">
        <v>133</v>
      </c>
      <c r="I367" t="s">
        <v>28</v>
      </c>
      <c r="J367" t="s">
        <v>519</v>
      </c>
      <c r="K367" s="2">
        <f>Sales_Export_2019_2020__2[[#This Row],[order_value_GBP]]-Sales_Export_2019_2020__2[[#This Row],[ cost ]]</f>
        <v>10166.160000000003</v>
      </c>
      <c r="L367" t="b">
        <f>COUNTIF(Sales_Export_2019_2020__2[order_id],Sales_Export_2019_2020__2[[#This Row],[order_id]])&gt;1</f>
        <v>0</v>
      </c>
      <c r="M367" t="str">
        <f t="shared" si="5"/>
        <v>£45,000 - £49,999</v>
      </c>
      <c r="N367" t="str" cm="1">
        <f t="array" ref="N36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67">
        <f>FLOOR(Sales_Export_2019_2020__2[[#This Row],[order_value_GBP]],5000)</f>
        <v>45000</v>
      </c>
    </row>
    <row r="368" spans="1:15" x14ac:dyDescent="0.35">
      <c r="A368" t="s">
        <v>23</v>
      </c>
      <c r="B368" s="2">
        <v>123891.6</v>
      </c>
      <c r="C368" s="2">
        <v>104118.5</v>
      </c>
      <c r="D368" s="1">
        <v>43669</v>
      </c>
      <c r="E368" t="s">
        <v>18</v>
      </c>
      <c r="F368" t="s">
        <v>166</v>
      </c>
      <c r="G368" t="s">
        <v>26</v>
      </c>
      <c r="H368" t="s">
        <v>27</v>
      </c>
      <c r="I368" t="s">
        <v>28</v>
      </c>
      <c r="J368" t="s">
        <v>520</v>
      </c>
      <c r="K368" s="2">
        <f>Sales_Export_2019_2020__2[[#This Row],[order_value_GBP]]-Sales_Export_2019_2020__2[[#This Row],[ cost ]]</f>
        <v>19773.100000000006</v>
      </c>
      <c r="L368" t="b">
        <f>COUNTIF(Sales_Export_2019_2020__2[order_id],Sales_Export_2019_2020__2[[#This Row],[order_id]])&gt;1</f>
        <v>0</v>
      </c>
      <c r="M368" t="str">
        <f t="shared" si="5"/>
        <v>£120,000 - £124,999</v>
      </c>
      <c r="N368" t="str" cm="1">
        <f t="array" ref="N36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68">
        <f>FLOOR(Sales_Export_2019_2020__2[[#This Row],[order_value_GBP]],5000)</f>
        <v>120000</v>
      </c>
    </row>
    <row r="369" spans="1:15" x14ac:dyDescent="0.35">
      <c r="A369" t="s">
        <v>53</v>
      </c>
      <c r="B369" s="2">
        <v>234340.31</v>
      </c>
      <c r="C369" s="2">
        <v>204438.49</v>
      </c>
      <c r="D369" s="1">
        <v>44178</v>
      </c>
      <c r="E369" t="s">
        <v>24</v>
      </c>
      <c r="F369" t="s">
        <v>31</v>
      </c>
      <c r="G369" t="s">
        <v>55</v>
      </c>
      <c r="H369" t="s">
        <v>144</v>
      </c>
      <c r="I369" t="s">
        <v>28</v>
      </c>
      <c r="J369" t="s">
        <v>521</v>
      </c>
      <c r="K369" s="2">
        <f>Sales_Export_2019_2020__2[[#This Row],[order_value_GBP]]-Sales_Export_2019_2020__2[[#This Row],[ cost ]]</f>
        <v>29901.820000000007</v>
      </c>
      <c r="L369" t="b">
        <f>COUNTIF(Sales_Export_2019_2020__2[order_id],Sales_Export_2019_2020__2[[#This Row],[order_id]])&gt;1</f>
        <v>0</v>
      </c>
      <c r="M369" t="str">
        <f t="shared" si="5"/>
        <v>£230,000 - £234,999</v>
      </c>
      <c r="N369" t="str" cm="1">
        <f t="array" ref="N36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369">
        <f>FLOOR(Sales_Export_2019_2020__2[[#This Row],[order_value_GBP]],5000)</f>
        <v>230000</v>
      </c>
    </row>
    <row r="370" spans="1:15" x14ac:dyDescent="0.35">
      <c r="A370" t="s">
        <v>84</v>
      </c>
      <c r="B370" s="2">
        <v>95575.75</v>
      </c>
      <c r="C370" s="2">
        <v>75504.84</v>
      </c>
      <c r="D370" s="1">
        <v>44188</v>
      </c>
      <c r="E370" t="s">
        <v>11</v>
      </c>
      <c r="F370" t="s">
        <v>31</v>
      </c>
      <c r="G370" t="s">
        <v>85</v>
      </c>
      <c r="H370" t="s">
        <v>86</v>
      </c>
      <c r="I370" t="s">
        <v>28</v>
      </c>
      <c r="J370" t="s">
        <v>522</v>
      </c>
      <c r="K370" s="2">
        <f>Sales_Export_2019_2020__2[[#This Row],[order_value_GBP]]-Sales_Export_2019_2020__2[[#This Row],[ cost ]]</f>
        <v>20070.910000000003</v>
      </c>
      <c r="L370" t="b">
        <f>COUNTIF(Sales_Export_2019_2020__2[order_id],Sales_Export_2019_2020__2[[#This Row],[order_id]])&gt;1</f>
        <v>0</v>
      </c>
      <c r="M370" t="str">
        <f t="shared" si="5"/>
        <v>£95,000 - £99,999</v>
      </c>
      <c r="N370" t="str" cm="1">
        <f t="array" ref="N37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70">
        <f>FLOOR(Sales_Export_2019_2020__2[[#This Row],[order_value_GBP]],5000)</f>
        <v>95000</v>
      </c>
    </row>
    <row r="371" spans="1:15" x14ac:dyDescent="0.35">
      <c r="A371" t="s">
        <v>17</v>
      </c>
      <c r="B371" s="2">
        <v>125280.28</v>
      </c>
      <c r="C371" s="2">
        <v>99372.32</v>
      </c>
      <c r="D371" s="1">
        <v>43756</v>
      </c>
      <c r="E371" t="s">
        <v>30</v>
      </c>
      <c r="F371" t="s">
        <v>89</v>
      </c>
      <c r="G371" t="s">
        <v>20</v>
      </c>
      <c r="H371" t="s">
        <v>21</v>
      </c>
      <c r="I371" t="s">
        <v>28</v>
      </c>
      <c r="J371" t="s">
        <v>523</v>
      </c>
      <c r="K371" s="2">
        <f>Sales_Export_2019_2020__2[[#This Row],[order_value_GBP]]-Sales_Export_2019_2020__2[[#This Row],[ cost ]]</f>
        <v>25907.959999999992</v>
      </c>
      <c r="L371" t="b">
        <f>COUNTIF(Sales_Export_2019_2020__2[order_id],Sales_Export_2019_2020__2[[#This Row],[order_id]])&gt;1</f>
        <v>0</v>
      </c>
      <c r="M371" t="str">
        <f t="shared" si="5"/>
        <v>£125,000 - £129,999</v>
      </c>
      <c r="N371" t="str" cm="1">
        <f t="array" ref="N37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71">
        <f>FLOOR(Sales_Export_2019_2020__2[[#This Row],[order_value_GBP]],5000)</f>
        <v>125000</v>
      </c>
    </row>
    <row r="372" spans="1:15" x14ac:dyDescent="0.35">
      <c r="A372" t="s">
        <v>23</v>
      </c>
      <c r="B372" s="2">
        <v>127482.28</v>
      </c>
      <c r="C372" s="2">
        <v>108614.9</v>
      </c>
      <c r="D372" s="1">
        <v>44069</v>
      </c>
      <c r="E372" t="s">
        <v>30</v>
      </c>
      <c r="F372" t="s">
        <v>19</v>
      </c>
      <c r="G372" t="s">
        <v>26</v>
      </c>
      <c r="H372" t="s">
        <v>32</v>
      </c>
      <c r="I372" t="s">
        <v>28</v>
      </c>
      <c r="J372" t="s">
        <v>524</v>
      </c>
      <c r="K372" s="2">
        <f>Sales_Export_2019_2020__2[[#This Row],[order_value_GBP]]-Sales_Export_2019_2020__2[[#This Row],[ cost ]]</f>
        <v>18867.380000000005</v>
      </c>
      <c r="L372" t="b">
        <f>COUNTIF(Sales_Export_2019_2020__2[order_id],Sales_Export_2019_2020__2[[#This Row],[order_id]])&gt;1</f>
        <v>0</v>
      </c>
      <c r="M372" t="str">
        <f t="shared" si="5"/>
        <v>£125,000 - £129,999</v>
      </c>
      <c r="N372" t="str" cm="1">
        <f t="array" ref="N37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72">
        <f>FLOOR(Sales_Export_2019_2020__2[[#This Row],[order_value_GBP]],5000)</f>
        <v>125000</v>
      </c>
    </row>
    <row r="373" spans="1:15" x14ac:dyDescent="0.35">
      <c r="A373" t="s">
        <v>23</v>
      </c>
      <c r="B373" s="2">
        <v>120453.52</v>
      </c>
      <c r="C373" s="2">
        <v>97218.04</v>
      </c>
      <c r="D373" s="1">
        <v>43507</v>
      </c>
      <c r="E373" t="s">
        <v>30</v>
      </c>
      <c r="F373" t="s">
        <v>237</v>
      </c>
      <c r="G373" t="s">
        <v>26</v>
      </c>
      <c r="H373" t="s">
        <v>219</v>
      </c>
      <c r="I373" t="s">
        <v>28</v>
      </c>
      <c r="J373" t="s">
        <v>525</v>
      </c>
      <c r="K373" s="2">
        <f>Sales_Export_2019_2020__2[[#This Row],[order_value_GBP]]-Sales_Export_2019_2020__2[[#This Row],[ cost ]]</f>
        <v>23235.48000000001</v>
      </c>
      <c r="L373" t="b">
        <f>COUNTIF(Sales_Export_2019_2020__2[order_id],Sales_Export_2019_2020__2[[#This Row],[order_id]])&gt;1</f>
        <v>0</v>
      </c>
      <c r="M373" t="str">
        <f t="shared" si="5"/>
        <v>£120,000 - £124,999</v>
      </c>
      <c r="N373" t="str" cm="1">
        <f t="array" ref="N37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73">
        <f>FLOOR(Sales_Export_2019_2020__2[[#This Row],[order_value_GBP]],5000)</f>
        <v>120000</v>
      </c>
    </row>
    <row r="374" spans="1:15" x14ac:dyDescent="0.35">
      <c r="A374" t="s">
        <v>23</v>
      </c>
      <c r="B374" s="2">
        <v>120152.33</v>
      </c>
      <c r="C374" s="2">
        <v>97527.65</v>
      </c>
      <c r="D374" s="1">
        <v>43737</v>
      </c>
      <c r="E374" t="s">
        <v>62</v>
      </c>
      <c r="F374" t="s">
        <v>89</v>
      </c>
      <c r="G374" t="s">
        <v>26</v>
      </c>
      <c r="H374" t="s">
        <v>27</v>
      </c>
      <c r="I374" t="s">
        <v>28</v>
      </c>
      <c r="J374" t="s">
        <v>526</v>
      </c>
      <c r="K374" s="2">
        <f>Sales_Export_2019_2020__2[[#This Row],[order_value_GBP]]-Sales_Export_2019_2020__2[[#This Row],[ cost ]]</f>
        <v>22624.680000000008</v>
      </c>
      <c r="L374" t="b">
        <f>COUNTIF(Sales_Export_2019_2020__2[order_id],Sales_Export_2019_2020__2[[#This Row],[order_id]])&gt;1</f>
        <v>0</v>
      </c>
      <c r="M374" t="str">
        <f t="shared" si="5"/>
        <v>£120,000 - £124,999</v>
      </c>
      <c r="N374" t="str" cm="1">
        <f t="array" ref="N37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74">
        <f>FLOOR(Sales_Export_2019_2020__2[[#This Row],[order_value_GBP]],5000)</f>
        <v>120000</v>
      </c>
    </row>
    <row r="375" spans="1:15" x14ac:dyDescent="0.35">
      <c r="A375" t="s">
        <v>23</v>
      </c>
      <c r="B375" s="2">
        <v>95410.97</v>
      </c>
      <c r="C375" s="2">
        <v>80593.649999999994</v>
      </c>
      <c r="D375" s="1">
        <v>44096</v>
      </c>
      <c r="E375" t="s">
        <v>11</v>
      </c>
      <c r="F375" t="s">
        <v>102</v>
      </c>
      <c r="G375" t="s">
        <v>26</v>
      </c>
      <c r="H375" t="s">
        <v>90</v>
      </c>
      <c r="I375" t="s">
        <v>15</v>
      </c>
      <c r="J375" t="s">
        <v>527</v>
      </c>
      <c r="K375" s="2">
        <f>Sales_Export_2019_2020__2[[#This Row],[order_value_GBP]]-Sales_Export_2019_2020__2[[#This Row],[ cost ]]</f>
        <v>14817.320000000007</v>
      </c>
      <c r="L375" t="b">
        <f>COUNTIF(Sales_Export_2019_2020__2[order_id],Sales_Export_2019_2020__2[[#This Row],[order_id]])&gt;1</f>
        <v>0</v>
      </c>
      <c r="M375" t="str">
        <f t="shared" si="5"/>
        <v>£95,000 - £99,999</v>
      </c>
      <c r="N375" t="str" cm="1">
        <f t="array" ref="N37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75">
        <f>FLOOR(Sales_Export_2019_2020__2[[#This Row],[order_value_GBP]],5000)</f>
        <v>95000</v>
      </c>
    </row>
    <row r="376" spans="1:15" x14ac:dyDescent="0.35">
      <c r="A376" t="s">
        <v>53</v>
      </c>
      <c r="B376" s="2">
        <v>128804.51</v>
      </c>
      <c r="C376" s="2">
        <v>105709.86</v>
      </c>
      <c r="D376" s="1">
        <v>43721</v>
      </c>
      <c r="E376" t="s">
        <v>51</v>
      </c>
      <c r="F376" t="s">
        <v>395</v>
      </c>
      <c r="G376" t="s">
        <v>55</v>
      </c>
      <c r="H376" t="s">
        <v>72</v>
      </c>
      <c r="I376" t="s">
        <v>38</v>
      </c>
      <c r="J376" t="s">
        <v>528</v>
      </c>
      <c r="K376" s="2">
        <f>Sales_Export_2019_2020__2[[#This Row],[order_value_GBP]]-Sales_Export_2019_2020__2[[#This Row],[ cost ]]</f>
        <v>23094.649999999994</v>
      </c>
      <c r="L376" t="b">
        <f>COUNTIF(Sales_Export_2019_2020__2[order_id],Sales_Export_2019_2020__2[[#This Row],[order_id]])&gt;1</f>
        <v>0</v>
      </c>
      <c r="M376" t="str">
        <f t="shared" si="5"/>
        <v>£125,000 - £129,999</v>
      </c>
      <c r="N376" t="str" cm="1">
        <f t="array" ref="N37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76">
        <f>FLOOR(Sales_Export_2019_2020__2[[#This Row],[order_value_GBP]],5000)</f>
        <v>125000</v>
      </c>
    </row>
    <row r="377" spans="1:15" x14ac:dyDescent="0.35">
      <c r="A377" t="s">
        <v>138</v>
      </c>
      <c r="B377" s="2">
        <v>26899.97</v>
      </c>
      <c r="C377" s="2">
        <v>23198.53</v>
      </c>
      <c r="D377" s="1">
        <v>43543</v>
      </c>
      <c r="E377" t="s">
        <v>18</v>
      </c>
      <c r="F377" t="s">
        <v>31</v>
      </c>
      <c r="G377" t="s">
        <v>140</v>
      </c>
      <c r="H377" t="s">
        <v>141</v>
      </c>
      <c r="I377" t="s">
        <v>28</v>
      </c>
      <c r="J377" t="s">
        <v>529</v>
      </c>
      <c r="K377" s="2">
        <f>Sales_Export_2019_2020__2[[#This Row],[order_value_GBP]]-Sales_Export_2019_2020__2[[#This Row],[ cost ]]</f>
        <v>3701.4400000000023</v>
      </c>
      <c r="L377" t="b">
        <f>COUNTIF(Sales_Export_2019_2020__2[order_id],Sales_Export_2019_2020__2[[#This Row],[order_id]])&gt;1</f>
        <v>0</v>
      </c>
      <c r="M377" t="str">
        <f t="shared" si="5"/>
        <v>£25,000 - £29,999</v>
      </c>
      <c r="N377" t="str" cm="1">
        <f t="array" ref="N37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77">
        <f>FLOOR(Sales_Export_2019_2020__2[[#This Row],[order_value_GBP]],5000)</f>
        <v>25000</v>
      </c>
    </row>
    <row r="378" spans="1:15" x14ac:dyDescent="0.35">
      <c r="A378" t="s">
        <v>45</v>
      </c>
      <c r="B378" s="2">
        <v>123751.91</v>
      </c>
      <c r="C378" s="2">
        <v>102590.33</v>
      </c>
      <c r="D378" s="1">
        <v>43787</v>
      </c>
      <c r="E378" t="s">
        <v>60</v>
      </c>
      <c r="F378" t="s">
        <v>35</v>
      </c>
      <c r="G378" t="s">
        <v>48</v>
      </c>
      <c r="H378" t="s">
        <v>74</v>
      </c>
      <c r="I378" t="s">
        <v>28</v>
      </c>
      <c r="J378" t="s">
        <v>530</v>
      </c>
      <c r="K378" s="2">
        <f>Sales_Export_2019_2020__2[[#This Row],[order_value_GBP]]-Sales_Export_2019_2020__2[[#This Row],[ cost ]]</f>
        <v>21161.58</v>
      </c>
      <c r="L378" t="b">
        <f>COUNTIF(Sales_Export_2019_2020__2[order_id],Sales_Export_2019_2020__2[[#This Row],[order_id]])&gt;1</f>
        <v>0</v>
      </c>
      <c r="M378" t="str">
        <f t="shared" si="5"/>
        <v>£120,000 - £124,999</v>
      </c>
      <c r="N378" t="str" cm="1">
        <f t="array" ref="N37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78">
        <f>FLOOR(Sales_Export_2019_2020__2[[#This Row],[order_value_GBP]],5000)</f>
        <v>120000</v>
      </c>
    </row>
    <row r="379" spans="1:15" x14ac:dyDescent="0.35">
      <c r="A379" t="s">
        <v>10</v>
      </c>
      <c r="B379" s="2">
        <v>37081.31</v>
      </c>
      <c r="C379" s="2">
        <v>31304.04</v>
      </c>
      <c r="D379" s="1">
        <v>43535</v>
      </c>
      <c r="E379" t="s">
        <v>30</v>
      </c>
      <c r="F379" t="s">
        <v>182</v>
      </c>
      <c r="G379" t="s">
        <v>13</v>
      </c>
      <c r="H379" t="s">
        <v>69</v>
      </c>
      <c r="I379" t="s">
        <v>28</v>
      </c>
      <c r="J379" t="s">
        <v>531</v>
      </c>
      <c r="K379" s="2">
        <f>Sales_Export_2019_2020__2[[#This Row],[order_value_GBP]]-Sales_Export_2019_2020__2[[#This Row],[ cost ]]</f>
        <v>5777.2699999999968</v>
      </c>
      <c r="L379" t="b">
        <f>COUNTIF(Sales_Export_2019_2020__2[order_id],Sales_Export_2019_2020__2[[#This Row],[order_id]])&gt;1</f>
        <v>0</v>
      </c>
      <c r="M379" t="str">
        <f t="shared" si="5"/>
        <v>£35,000 - £39,999</v>
      </c>
      <c r="N379" t="str" cm="1">
        <f t="array" ref="N37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79">
        <f>FLOOR(Sales_Export_2019_2020__2[[#This Row],[order_value_GBP]],5000)</f>
        <v>35000</v>
      </c>
    </row>
    <row r="380" spans="1:15" x14ac:dyDescent="0.35">
      <c r="A380" t="s">
        <v>53</v>
      </c>
      <c r="B380" s="2">
        <v>133905.54999999999</v>
      </c>
      <c r="C380" s="2">
        <v>116886.15</v>
      </c>
      <c r="D380" s="1">
        <v>44044</v>
      </c>
      <c r="E380" t="s">
        <v>11</v>
      </c>
      <c r="F380" t="s">
        <v>116</v>
      </c>
      <c r="G380" t="s">
        <v>55</v>
      </c>
      <c r="H380" t="s">
        <v>144</v>
      </c>
      <c r="I380" t="s">
        <v>15</v>
      </c>
      <c r="J380" t="s">
        <v>532</v>
      </c>
      <c r="K380" s="2">
        <f>Sales_Export_2019_2020__2[[#This Row],[order_value_GBP]]-Sales_Export_2019_2020__2[[#This Row],[ cost ]]</f>
        <v>17019.399999999994</v>
      </c>
      <c r="L380" t="b">
        <f>COUNTIF(Sales_Export_2019_2020__2[order_id],Sales_Export_2019_2020__2[[#This Row],[order_id]])&gt;1</f>
        <v>0</v>
      </c>
      <c r="M380" t="str">
        <f t="shared" si="5"/>
        <v>£130,000 - £134,999</v>
      </c>
      <c r="N380" t="str" cm="1">
        <f t="array" ref="N38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80">
        <f>FLOOR(Sales_Export_2019_2020__2[[#This Row],[order_value_GBP]],5000)</f>
        <v>130000</v>
      </c>
    </row>
    <row r="381" spans="1:15" x14ac:dyDescent="0.35">
      <c r="A381" t="s">
        <v>53</v>
      </c>
      <c r="B381" s="2">
        <v>63298.61</v>
      </c>
      <c r="C381" s="2">
        <v>53645.57</v>
      </c>
      <c r="D381" s="1">
        <v>43931</v>
      </c>
      <c r="E381" t="s">
        <v>51</v>
      </c>
      <c r="F381" t="s">
        <v>237</v>
      </c>
      <c r="G381" t="s">
        <v>55</v>
      </c>
      <c r="H381" t="s">
        <v>144</v>
      </c>
      <c r="I381" t="s">
        <v>15</v>
      </c>
      <c r="J381" t="s">
        <v>533</v>
      </c>
      <c r="K381" s="2">
        <f>Sales_Export_2019_2020__2[[#This Row],[order_value_GBP]]-Sales_Export_2019_2020__2[[#This Row],[ cost ]]</f>
        <v>9653.0400000000009</v>
      </c>
      <c r="L381" t="b">
        <f>COUNTIF(Sales_Export_2019_2020__2[order_id],Sales_Export_2019_2020__2[[#This Row],[order_id]])&gt;1</f>
        <v>0</v>
      </c>
      <c r="M381" t="str">
        <f t="shared" si="5"/>
        <v>£60,000 - £64,999</v>
      </c>
      <c r="N381" t="str" cm="1">
        <f t="array" ref="N38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81">
        <f>FLOOR(Sales_Export_2019_2020__2[[#This Row],[order_value_GBP]],5000)</f>
        <v>60000</v>
      </c>
    </row>
    <row r="382" spans="1:15" x14ac:dyDescent="0.35">
      <c r="A382" t="s">
        <v>53</v>
      </c>
      <c r="B382" s="2">
        <v>274242.36</v>
      </c>
      <c r="C382" s="2">
        <v>227950.25</v>
      </c>
      <c r="D382" s="1">
        <v>44174</v>
      </c>
      <c r="E382" t="s">
        <v>62</v>
      </c>
      <c r="F382" t="s">
        <v>31</v>
      </c>
      <c r="G382" t="s">
        <v>55</v>
      </c>
      <c r="H382" t="s">
        <v>72</v>
      </c>
      <c r="I382" t="s">
        <v>15</v>
      </c>
      <c r="J382" t="s">
        <v>534</v>
      </c>
      <c r="K382" s="2">
        <f>Sales_Export_2019_2020__2[[#This Row],[order_value_GBP]]-Sales_Export_2019_2020__2[[#This Row],[ cost ]]</f>
        <v>46292.109999999986</v>
      </c>
      <c r="L382" t="b">
        <f>COUNTIF(Sales_Export_2019_2020__2[order_id],Sales_Export_2019_2020__2[[#This Row],[order_id]])&gt;1</f>
        <v>0</v>
      </c>
      <c r="M382" t="str">
        <f t="shared" si="5"/>
        <v>£270,000 - £274,999</v>
      </c>
      <c r="N382" t="str" cm="1">
        <f t="array" ref="N38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382">
        <f>FLOOR(Sales_Export_2019_2020__2[[#This Row],[order_value_GBP]],5000)</f>
        <v>270000</v>
      </c>
    </row>
    <row r="383" spans="1:15" x14ac:dyDescent="0.35">
      <c r="A383" t="s">
        <v>106</v>
      </c>
      <c r="B383" s="2">
        <v>312928.71999999997</v>
      </c>
      <c r="C383" s="2">
        <v>270401.71000000002</v>
      </c>
      <c r="D383" s="1">
        <v>43811</v>
      </c>
      <c r="E383" t="s">
        <v>30</v>
      </c>
      <c r="F383" t="s">
        <v>160</v>
      </c>
      <c r="G383" t="s">
        <v>107</v>
      </c>
      <c r="H383" t="s">
        <v>108</v>
      </c>
      <c r="I383" t="s">
        <v>38</v>
      </c>
      <c r="J383" t="s">
        <v>535</v>
      </c>
      <c r="K383" s="2">
        <f>Sales_Export_2019_2020__2[[#This Row],[order_value_GBP]]-Sales_Export_2019_2020__2[[#This Row],[ cost ]]</f>
        <v>42527.009999999951</v>
      </c>
      <c r="L383" t="b">
        <f>COUNTIF(Sales_Export_2019_2020__2[order_id],Sales_Export_2019_2020__2[[#This Row],[order_id]])&gt;1</f>
        <v>0</v>
      </c>
      <c r="M383" t="str">
        <f t="shared" si="5"/>
        <v>£310,000 - £314,999</v>
      </c>
      <c r="N383" t="str" cm="1">
        <f t="array" ref="N38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383">
        <f>FLOOR(Sales_Export_2019_2020__2[[#This Row],[order_value_GBP]],5000)</f>
        <v>310000</v>
      </c>
    </row>
    <row r="384" spans="1:15" x14ac:dyDescent="0.35">
      <c r="A384" t="s">
        <v>53</v>
      </c>
      <c r="B384" s="2">
        <v>119156.18</v>
      </c>
      <c r="C384" s="2">
        <v>100710.8</v>
      </c>
      <c r="D384" s="1">
        <v>43697</v>
      </c>
      <c r="E384" t="s">
        <v>30</v>
      </c>
      <c r="F384" t="s">
        <v>35</v>
      </c>
      <c r="G384" t="s">
        <v>55</v>
      </c>
      <c r="H384" t="s">
        <v>133</v>
      </c>
      <c r="I384" t="s">
        <v>28</v>
      </c>
      <c r="J384" t="s">
        <v>536</v>
      </c>
      <c r="K384" s="2">
        <f>Sales_Export_2019_2020__2[[#This Row],[order_value_GBP]]-Sales_Export_2019_2020__2[[#This Row],[ cost ]]</f>
        <v>18445.37999999999</v>
      </c>
      <c r="L384" t="b">
        <f>COUNTIF(Sales_Export_2019_2020__2[order_id],Sales_Export_2019_2020__2[[#This Row],[order_id]])&gt;1</f>
        <v>0</v>
      </c>
      <c r="M384" t="str">
        <f t="shared" si="5"/>
        <v>£115,000 - £119,999</v>
      </c>
      <c r="N384" t="str" cm="1">
        <f t="array" ref="N38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84">
        <f>FLOOR(Sales_Export_2019_2020__2[[#This Row],[order_value_GBP]],5000)</f>
        <v>115000</v>
      </c>
    </row>
    <row r="385" spans="1:15" x14ac:dyDescent="0.35">
      <c r="A385" t="s">
        <v>53</v>
      </c>
      <c r="B385" s="2">
        <v>162123.74</v>
      </c>
      <c r="C385" s="2">
        <v>133979.06</v>
      </c>
      <c r="D385" s="1">
        <v>43935</v>
      </c>
      <c r="E385" t="s">
        <v>30</v>
      </c>
      <c r="F385" t="s">
        <v>35</v>
      </c>
      <c r="G385" t="s">
        <v>55</v>
      </c>
      <c r="H385" t="s">
        <v>56</v>
      </c>
      <c r="I385" t="s">
        <v>28</v>
      </c>
      <c r="J385" t="s">
        <v>537</v>
      </c>
      <c r="K385" s="2">
        <f>Sales_Export_2019_2020__2[[#This Row],[order_value_GBP]]-Sales_Export_2019_2020__2[[#This Row],[ cost ]]</f>
        <v>28144.679999999993</v>
      </c>
      <c r="L385" t="b">
        <f>COUNTIF(Sales_Export_2019_2020__2[order_id],Sales_Export_2019_2020__2[[#This Row],[order_id]])&gt;1</f>
        <v>0</v>
      </c>
      <c r="M385" t="str">
        <f t="shared" si="5"/>
        <v>£160,000 - £164,999</v>
      </c>
      <c r="N385" t="str" cm="1">
        <f t="array" ref="N38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85">
        <f>FLOOR(Sales_Export_2019_2020__2[[#This Row],[order_value_GBP]],5000)</f>
        <v>160000</v>
      </c>
    </row>
    <row r="386" spans="1:15" x14ac:dyDescent="0.35">
      <c r="A386" t="s">
        <v>173</v>
      </c>
      <c r="B386" s="2">
        <v>65831.42</v>
      </c>
      <c r="C386" s="2">
        <v>52487.39</v>
      </c>
      <c r="D386" s="1">
        <v>43477</v>
      </c>
      <c r="E386" t="s">
        <v>80</v>
      </c>
      <c r="F386" t="s">
        <v>158</v>
      </c>
      <c r="G386" t="s">
        <v>175</v>
      </c>
      <c r="H386" t="s">
        <v>212</v>
      </c>
      <c r="I386" t="s">
        <v>28</v>
      </c>
      <c r="J386" t="s">
        <v>538</v>
      </c>
      <c r="K386" s="2">
        <f>Sales_Export_2019_2020__2[[#This Row],[order_value_GBP]]-Sales_Export_2019_2020__2[[#This Row],[ cost ]]</f>
        <v>13344.029999999999</v>
      </c>
      <c r="L386" t="b">
        <f>COUNTIF(Sales_Export_2019_2020__2[order_id],Sales_Export_2019_2020__2[[#This Row],[order_id]])&gt;1</f>
        <v>0</v>
      </c>
      <c r="M386" t="str">
        <f t="shared" ref="M386:M449" si="6">TEXT(FLOOR(B386,5000),"£#,##0")&amp;" - "&amp;TEXT(FLOOR(B386,5000)+4999,"£#,##0")</f>
        <v>£65,000 - £69,999</v>
      </c>
      <c r="N386" t="str" cm="1">
        <f t="array" ref="N38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86">
        <f>FLOOR(Sales_Export_2019_2020__2[[#This Row],[order_value_GBP]],5000)</f>
        <v>65000</v>
      </c>
    </row>
    <row r="387" spans="1:15" x14ac:dyDescent="0.35">
      <c r="A387" t="s">
        <v>53</v>
      </c>
      <c r="B387" s="2">
        <v>180515.09</v>
      </c>
      <c r="C387" s="2">
        <v>148852.74</v>
      </c>
      <c r="D387" s="1">
        <v>43825</v>
      </c>
      <c r="E387" t="s">
        <v>11</v>
      </c>
      <c r="F387" t="s">
        <v>92</v>
      </c>
      <c r="G387" t="s">
        <v>55</v>
      </c>
      <c r="H387" t="s">
        <v>72</v>
      </c>
      <c r="I387" t="s">
        <v>28</v>
      </c>
      <c r="J387" t="s">
        <v>539</v>
      </c>
      <c r="K387" s="2">
        <f>Sales_Export_2019_2020__2[[#This Row],[order_value_GBP]]-Sales_Export_2019_2020__2[[#This Row],[ cost ]]</f>
        <v>31662.350000000006</v>
      </c>
      <c r="L387" t="b">
        <f>COUNTIF(Sales_Export_2019_2020__2[order_id],Sales_Export_2019_2020__2[[#This Row],[order_id]])&gt;1</f>
        <v>0</v>
      </c>
      <c r="M387" t="str">
        <f t="shared" si="6"/>
        <v>£180,000 - £184,999</v>
      </c>
      <c r="N387" t="str" cm="1">
        <f t="array" ref="N38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387">
        <f>FLOOR(Sales_Export_2019_2020__2[[#This Row],[order_value_GBP]],5000)</f>
        <v>180000</v>
      </c>
    </row>
    <row r="388" spans="1:15" x14ac:dyDescent="0.35">
      <c r="A388" t="s">
        <v>45</v>
      </c>
      <c r="B388" s="2">
        <v>99114.91</v>
      </c>
      <c r="C388" s="2">
        <v>84217.94</v>
      </c>
      <c r="D388" s="1">
        <v>43925</v>
      </c>
      <c r="E388" t="s">
        <v>24</v>
      </c>
      <c r="F388" t="s">
        <v>35</v>
      </c>
      <c r="G388" t="s">
        <v>48</v>
      </c>
      <c r="H388" t="s">
        <v>49</v>
      </c>
      <c r="I388" t="s">
        <v>28</v>
      </c>
      <c r="J388" t="s">
        <v>540</v>
      </c>
      <c r="K388" s="2">
        <f>Sales_Export_2019_2020__2[[#This Row],[order_value_GBP]]-Sales_Export_2019_2020__2[[#This Row],[ cost ]]</f>
        <v>14896.970000000001</v>
      </c>
      <c r="L388" t="b">
        <f>COUNTIF(Sales_Export_2019_2020__2[order_id],Sales_Export_2019_2020__2[[#This Row],[order_id]])&gt;1</f>
        <v>0</v>
      </c>
      <c r="M388" t="str">
        <f t="shared" si="6"/>
        <v>£95,000 - £99,999</v>
      </c>
      <c r="N388" t="str" cm="1">
        <f t="array" ref="N38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88">
        <f>FLOOR(Sales_Export_2019_2020__2[[#This Row],[order_value_GBP]],5000)</f>
        <v>95000</v>
      </c>
    </row>
    <row r="389" spans="1:15" x14ac:dyDescent="0.35">
      <c r="A389" t="s">
        <v>23</v>
      </c>
      <c r="B389" s="2">
        <v>171884</v>
      </c>
      <c r="C389" s="2">
        <v>146702.99</v>
      </c>
      <c r="D389" s="1">
        <v>43751</v>
      </c>
      <c r="E389" t="s">
        <v>18</v>
      </c>
      <c r="F389" t="s">
        <v>35</v>
      </c>
      <c r="G389" t="s">
        <v>26</v>
      </c>
      <c r="H389" t="s">
        <v>27</v>
      </c>
      <c r="I389" t="s">
        <v>28</v>
      </c>
      <c r="J389" t="s">
        <v>541</v>
      </c>
      <c r="K389" s="2">
        <f>Sales_Export_2019_2020__2[[#This Row],[order_value_GBP]]-Sales_Export_2019_2020__2[[#This Row],[ cost ]]</f>
        <v>25181.010000000009</v>
      </c>
      <c r="L389" t="b">
        <f>COUNTIF(Sales_Export_2019_2020__2[order_id],Sales_Export_2019_2020__2[[#This Row],[order_id]])&gt;1</f>
        <v>0</v>
      </c>
      <c r="M389" t="str">
        <f t="shared" si="6"/>
        <v>£170,000 - £174,999</v>
      </c>
      <c r="N389" t="str" cm="1">
        <f t="array" ref="N38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89">
        <f>FLOOR(Sales_Export_2019_2020__2[[#This Row],[order_value_GBP]],5000)</f>
        <v>170000</v>
      </c>
    </row>
    <row r="390" spans="1:15" x14ac:dyDescent="0.35">
      <c r="A390" t="s">
        <v>346</v>
      </c>
      <c r="B390" s="2">
        <v>26745.94</v>
      </c>
      <c r="C390" s="2">
        <v>22600.32</v>
      </c>
      <c r="D390" s="1">
        <v>43779</v>
      </c>
      <c r="E390" t="s">
        <v>51</v>
      </c>
      <c r="F390" t="s">
        <v>25</v>
      </c>
      <c r="G390" t="s">
        <v>347</v>
      </c>
      <c r="H390" t="s">
        <v>348</v>
      </c>
      <c r="I390" t="s">
        <v>28</v>
      </c>
      <c r="J390" t="s">
        <v>542</v>
      </c>
      <c r="K390" s="2">
        <f>Sales_Export_2019_2020__2[[#This Row],[order_value_GBP]]-Sales_Export_2019_2020__2[[#This Row],[ cost ]]</f>
        <v>4145.619999999999</v>
      </c>
      <c r="L390" t="b">
        <f>COUNTIF(Sales_Export_2019_2020__2[order_id],Sales_Export_2019_2020__2[[#This Row],[order_id]])&gt;1</f>
        <v>0</v>
      </c>
      <c r="M390" t="str">
        <f t="shared" si="6"/>
        <v>£25,000 - £29,999</v>
      </c>
      <c r="N390" t="str" cm="1">
        <f t="array" ref="N39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90">
        <f>FLOOR(Sales_Export_2019_2020__2[[#This Row],[order_value_GBP]],5000)</f>
        <v>25000</v>
      </c>
    </row>
    <row r="391" spans="1:15" x14ac:dyDescent="0.35">
      <c r="A391" t="s">
        <v>23</v>
      </c>
      <c r="B391" s="2">
        <v>77087.839999999997</v>
      </c>
      <c r="C391" s="2">
        <v>65894.69</v>
      </c>
      <c r="D391" s="1">
        <v>43968</v>
      </c>
      <c r="E391" t="s">
        <v>139</v>
      </c>
      <c r="F391" t="s">
        <v>71</v>
      </c>
      <c r="G391" t="s">
        <v>26</v>
      </c>
      <c r="H391" t="s">
        <v>32</v>
      </c>
      <c r="I391" t="s">
        <v>28</v>
      </c>
      <c r="J391" t="s">
        <v>543</v>
      </c>
      <c r="K391" s="2">
        <f>Sales_Export_2019_2020__2[[#This Row],[order_value_GBP]]-Sales_Export_2019_2020__2[[#This Row],[ cost ]]</f>
        <v>11193.149999999994</v>
      </c>
      <c r="L391" t="b">
        <f>COUNTIF(Sales_Export_2019_2020__2[order_id],Sales_Export_2019_2020__2[[#This Row],[order_id]])&gt;1</f>
        <v>0</v>
      </c>
      <c r="M391" t="str">
        <f t="shared" si="6"/>
        <v>£75,000 - £79,999</v>
      </c>
      <c r="N391" t="str" cm="1">
        <f t="array" ref="N39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91">
        <f>FLOOR(Sales_Export_2019_2020__2[[#This Row],[order_value_GBP]],5000)</f>
        <v>75000</v>
      </c>
    </row>
    <row r="392" spans="1:15" x14ac:dyDescent="0.35">
      <c r="A392" t="s">
        <v>53</v>
      </c>
      <c r="B392" s="2">
        <v>87404</v>
      </c>
      <c r="C392" s="2">
        <v>69363.81</v>
      </c>
      <c r="D392" s="1">
        <v>43825</v>
      </c>
      <c r="E392" t="s">
        <v>80</v>
      </c>
      <c r="F392" t="s">
        <v>35</v>
      </c>
      <c r="G392" t="s">
        <v>55</v>
      </c>
      <c r="H392" t="s">
        <v>56</v>
      </c>
      <c r="I392" t="s">
        <v>28</v>
      </c>
      <c r="J392" t="s">
        <v>544</v>
      </c>
      <c r="K392" s="2">
        <f>Sales_Export_2019_2020__2[[#This Row],[order_value_GBP]]-Sales_Export_2019_2020__2[[#This Row],[ cost ]]</f>
        <v>18040.190000000002</v>
      </c>
      <c r="L392" t="b">
        <f>COUNTIF(Sales_Export_2019_2020__2[order_id],Sales_Export_2019_2020__2[[#This Row],[order_id]])&gt;1</f>
        <v>0</v>
      </c>
      <c r="M392" t="str">
        <f t="shared" si="6"/>
        <v>£85,000 - £89,999</v>
      </c>
      <c r="N392" t="str" cm="1">
        <f t="array" ref="N39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92">
        <f>FLOOR(Sales_Export_2019_2020__2[[#This Row],[order_value_GBP]],5000)</f>
        <v>85000</v>
      </c>
    </row>
    <row r="393" spans="1:15" x14ac:dyDescent="0.35">
      <c r="A393" t="s">
        <v>53</v>
      </c>
      <c r="B393" s="2">
        <v>47680.2</v>
      </c>
      <c r="C393" s="2">
        <v>40575.85</v>
      </c>
      <c r="D393" s="1">
        <v>43654</v>
      </c>
      <c r="E393" t="s">
        <v>24</v>
      </c>
      <c r="F393" t="s">
        <v>121</v>
      </c>
      <c r="G393" t="s">
        <v>55</v>
      </c>
      <c r="H393" t="s">
        <v>128</v>
      </c>
      <c r="I393" t="s">
        <v>28</v>
      </c>
      <c r="J393" t="s">
        <v>545</v>
      </c>
      <c r="K393" s="2">
        <f>Sales_Export_2019_2020__2[[#This Row],[order_value_GBP]]-Sales_Export_2019_2020__2[[#This Row],[ cost ]]</f>
        <v>7104.3499999999985</v>
      </c>
      <c r="L393" t="b">
        <f>COUNTIF(Sales_Export_2019_2020__2[order_id],Sales_Export_2019_2020__2[[#This Row],[order_id]])&gt;1</f>
        <v>0</v>
      </c>
      <c r="M393" t="str">
        <f t="shared" si="6"/>
        <v>£45,000 - £49,999</v>
      </c>
      <c r="N393" t="str" cm="1">
        <f t="array" ref="N39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93">
        <f>FLOOR(Sales_Export_2019_2020__2[[#This Row],[order_value_GBP]],5000)</f>
        <v>45000</v>
      </c>
    </row>
    <row r="394" spans="1:15" x14ac:dyDescent="0.35">
      <c r="A394" t="s">
        <v>17</v>
      </c>
      <c r="B394" s="2">
        <v>27824.83</v>
      </c>
      <c r="C394" s="2">
        <v>23517.55</v>
      </c>
      <c r="D394" s="1">
        <v>43714</v>
      </c>
      <c r="E394" t="s">
        <v>18</v>
      </c>
      <c r="F394" t="s">
        <v>224</v>
      </c>
      <c r="G394" t="s">
        <v>20</v>
      </c>
      <c r="H394" t="s">
        <v>21</v>
      </c>
      <c r="I394" t="s">
        <v>28</v>
      </c>
      <c r="J394" t="s">
        <v>546</v>
      </c>
      <c r="K394" s="2">
        <f>Sales_Export_2019_2020__2[[#This Row],[order_value_GBP]]-Sales_Export_2019_2020__2[[#This Row],[ cost ]]</f>
        <v>4307.2800000000025</v>
      </c>
      <c r="L394" t="b">
        <f>COUNTIF(Sales_Export_2019_2020__2[order_id],Sales_Export_2019_2020__2[[#This Row],[order_id]])&gt;1</f>
        <v>0</v>
      </c>
      <c r="M394" t="str">
        <f t="shared" si="6"/>
        <v>£25,000 - £29,999</v>
      </c>
      <c r="N394" t="str" cm="1">
        <f t="array" ref="N39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94">
        <f>FLOOR(Sales_Export_2019_2020__2[[#This Row],[order_value_GBP]],5000)</f>
        <v>25000</v>
      </c>
    </row>
    <row r="395" spans="1:15" x14ac:dyDescent="0.35">
      <c r="A395" t="s">
        <v>23</v>
      </c>
      <c r="B395" s="2">
        <v>106516.4</v>
      </c>
      <c r="C395" s="2">
        <v>86928.03</v>
      </c>
      <c r="D395" s="1">
        <v>43545</v>
      </c>
      <c r="E395" t="s">
        <v>24</v>
      </c>
      <c r="F395" t="s">
        <v>434</v>
      </c>
      <c r="G395" t="s">
        <v>26</v>
      </c>
      <c r="H395" t="s">
        <v>27</v>
      </c>
      <c r="I395" t="s">
        <v>28</v>
      </c>
      <c r="J395" t="s">
        <v>547</v>
      </c>
      <c r="K395" s="2">
        <f>Sales_Export_2019_2020__2[[#This Row],[order_value_GBP]]-Sales_Export_2019_2020__2[[#This Row],[ cost ]]</f>
        <v>19588.369999999995</v>
      </c>
      <c r="L395" t="b">
        <f>COUNTIF(Sales_Export_2019_2020__2[order_id],Sales_Export_2019_2020__2[[#This Row],[order_id]])&gt;1</f>
        <v>0</v>
      </c>
      <c r="M395" t="str">
        <f t="shared" si="6"/>
        <v>£105,000 - £109,999</v>
      </c>
      <c r="N395" t="str" cm="1">
        <f t="array" ref="N39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95">
        <f>FLOOR(Sales_Export_2019_2020__2[[#This Row],[order_value_GBP]],5000)</f>
        <v>105000</v>
      </c>
    </row>
    <row r="396" spans="1:15" x14ac:dyDescent="0.35">
      <c r="A396" t="s">
        <v>53</v>
      </c>
      <c r="B396" s="2">
        <v>141948.10999999999</v>
      </c>
      <c r="C396" s="2">
        <v>112948.11</v>
      </c>
      <c r="D396" s="1">
        <v>43946</v>
      </c>
      <c r="E396" t="s">
        <v>11</v>
      </c>
      <c r="F396" t="s">
        <v>327</v>
      </c>
      <c r="G396" t="s">
        <v>55</v>
      </c>
      <c r="H396" t="s">
        <v>56</v>
      </c>
      <c r="I396" t="s">
        <v>28</v>
      </c>
      <c r="J396" t="s">
        <v>548</v>
      </c>
      <c r="K396" s="2">
        <f>Sales_Export_2019_2020__2[[#This Row],[order_value_GBP]]-Sales_Export_2019_2020__2[[#This Row],[ cost ]]</f>
        <v>28999.999999999985</v>
      </c>
      <c r="L396" t="b">
        <f>COUNTIF(Sales_Export_2019_2020__2[order_id],Sales_Export_2019_2020__2[[#This Row],[order_id]])&gt;1</f>
        <v>0</v>
      </c>
      <c r="M396" t="str">
        <f t="shared" si="6"/>
        <v>£140,000 - £144,999</v>
      </c>
      <c r="N396" t="str" cm="1">
        <f t="array" ref="N39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96">
        <f>FLOOR(Sales_Export_2019_2020__2[[#This Row],[order_value_GBP]],5000)</f>
        <v>140000</v>
      </c>
    </row>
    <row r="397" spans="1:15" x14ac:dyDescent="0.35">
      <c r="A397" t="s">
        <v>173</v>
      </c>
      <c r="B397" s="2">
        <v>226021.18</v>
      </c>
      <c r="C397" s="2">
        <v>180455.31</v>
      </c>
      <c r="D397" s="1">
        <v>43664</v>
      </c>
      <c r="E397" t="s">
        <v>46</v>
      </c>
      <c r="F397" t="s">
        <v>237</v>
      </c>
      <c r="G397" t="s">
        <v>175</v>
      </c>
      <c r="H397" t="s">
        <v>212</v>
      </c>
      <c r="I397" t="s">
        <v>28</v>
      </c>
      <c r="J397" t="s">
        <v>549</v>
      </c>
      <c r="K397" s="2">
        <f>Sales_Export_2019_2020__2[[#This Row],[order_value_GBP]]-Sales_Export_2019_2020__2[[#This Row],[ cost ]]</f>
        <v>45565.869999999995</v>
      </c>
      <c r="L397" t="b">
        <f>COUNTIF(Sales_Export_2019_2020__2[order_id],Sales_Export_2019_2020__2[[#This Row],[order_id]])&gt;1</f>
        <v>0</v>
      </c>
      <c r="M397" t="str">
        <f t="shared" si="6"/>
        <v>£225,000 - £229,999</v>
      </c>
      <c r="N397" t="str" cm="1">
        <f t="array" ref="N39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397">
        <f>FLOOR(Sales_Export_2019_2020__2[[#This Row],[order_value_GBP]],5000)</f>
        <v>225000</v>
      </c>
    </row>
    <row r="398" spans="1:15" x14ac:dyDescent="0.35">
      <c r="A398" t="s">
        <v>138</v>
      </c>
      <c r="B398" s="2">
        <v>44232.84</v>
      </c>
      <c r="C398" s="2">
        <v>38880.67</v>
      </c>
      <c r="D398" s="1">
        <v>43881</v>
      </c>
      <c r="E398" t="s">
        <v>11</v>
      </c>
      <c r="F398" t="s">
        <v>35</v>
      </c>
      <c r="G398" t="s">
        <v>140</v>
      </c>
      <c r="H398" t="s">
        <v>141</v>
      </c>
      <c r="I398" t="s">
        <v>38</v>
      </c>
      <c r="J398" t="s">
        <v>550</v>
      </c>
      <c r="K398" s="2">
        <f>Sales_Export_2019_2020__2[[#This Row],[order_value_GBP]]-Sales_Export_2019_2020__2[[#This Row],[ cost ]]</f>
        <v>5352.1699999999983</v>
      </c>
      <c r="L398" t="b">
        <f>COUNTIF(Sales_Export_2019_2020__2[order_id],Sales_Export_2019_2020__2[[#This Row],[order_id]])&gt;1</f>
        <v>0</v>
      </c>
      <c r="M398" t="str">
        <f t="shared" si="6"/>
        <v>£40,000 - £44,999</v>
      </c>
      <c r="N398" t="str" cm="1">
        <f t="array" ref="N39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398">
        <f>FLOOR(Sales_Export_2019_2020__2[[#This Row],[order_value_GBP]],5000)</f>
        <v>40000</v>
      </c>
    </row>
    <row r="399" spans="1:15" x14ac:dyDescent="0.35">
      <c r="A399" t="s">
        <v>173</v>
      </c>
      <c r="B399" s="2">
        <v>135344.51999999999</v>
      </c>
      <c r="C399" s="2">
        <v>117492.58</v>
      </c>
      <c r="D399" s="1">
        <v>43482</v>
      </c>
      <c r="E399" t="s">
        <v>18</v>
      </c>
      <c r="F399" t="s">
        <v>68</v>
      </c>
      <c r="G399" t="s">
        <v>175</v>
      </c>
      <c r="H399" t="s">
        <v>212</v>
      </c>
      <c r="I399" t="s">
        <v>28</v>
      </c>
      <c r="J399" t="s">
        <v>551</v>
      </c>
      <c r="K399" s="2">
        <f>Sales_Export_2019_2020__2[[#This Row],[order_value_GBP]]-Sales_Export_2019_2020__2[[#This Row],[ cost ]]</f>
        <v>17851.939999999988</v>
      </c>
      <c r="L399" t="b">
        <f>COUNTIF(Sales_Export_2019_2020__2[order_id],Sales_Export_2019_2020__2[[#This Row],[order_id]])&gt;1</f>
        <v>0</v>
      </c>
      <c r="M399" t="str">
        <f t="shared" si="6"/>
        <v>£135,000 - £139,999</v>
      </c>
      <c r="N399" t="str" cm="1">
        <f t="array" ref="N39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399">
        <f>FLOOR(Sales_Export_2019_2020__2[[#This Row],[order_value_GBP]],5000)</f>
        <v>135000</v>
      </c>
    </row>
    <row r="400" spans="1:15" x14ac:dyDescent="0.35">
      <c r="A400" t="s">
        <v>53</v>
      </c>
      <c r="B400" s="2">
        <v>271411.92</v>
      </c>
      <c r="C400" s="2">
        <v>231514.37</v>
      </c>
      <c r="D400" s="1">
        <v>43808</v>
      </c>
      <c r="E400" t="s">
        <v>24</v>
      </c>
      <c r="F400" t="s">
        <v>31</v>
      </c>
      <c r="G400" t="s">
        <v>55</v>
      </c>
      <c r="H400" t="s">
        <v>72</v>
      </c>
      <c r="I400" t="s">
        <v>38</v>
      </c>
      <c r="J400" t="s">
        <v>552</v>
      </c>
      <c r="K400" s="2">
        <f>Sales_Export_2019_2020__2[[#This Row],[order_value_GBP]]-Sales_Export_2019_2020__2[[#This Row],[ cost ]]</f>
        <v>39897.549999999988</v>
      </c>
      <c r="L400" t="b">
        <f>COUNTIF(Sales_Export_2019_2020__2[order_id],Sales_Export_2019_2020__2[[#This Row],[order_id]])&gt;1</f>
        <v>0</v>
      </c>
      <c r="M400" t="str">
        <f t="shared" si="6"/>
        <v>£270,000 - £274,999</v>
      </c>
      <c r="N400" t="str" cm="1">
        <f t="array" ref="N40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400">
        <f>FLOOR(Sales_Export_2019_2020__2[[#This Row],[order_value_GBP]],5000)</f>
        <v>270000</v>
      </c>
    </row>
    <row r="401" spans="1:15" x14ac:dyDescent="0.35">
      <c r="A401" t="s">
        <v>23</v>
      </c>
      <c r="B401" s="2">
        <v>125253.59</v>
      </c>
      <c r="C401" s="2">
        <v>108269.2</v>
      </c>
      <c r="D401" s="1">
        <v>43878</v>
      </c>
      <c r="E401" t="s">
        <v>60</v>
      </c>
      <c r="F401" t="s">
        <v>102</v>
      </c>
      <c r="G401" t="s">
        <v>26</v>
      </c>
      <c r="H401" t="s">
        <v>76</v>
      </c>
      <c r="I401" t="s">
        <v>28</v>
      </c>
      <c r="J401" t="s">
        <v>553</v>
      </c>
      <c r="K401" s="2">
        <f>Sales_Export_2019_2020__2[[#This Row],[order_value_GBP]]-Sales_Export_2019_2020__2[[#This Row],[ cost ]]</f>
        <v>16984.39</v>
      </c>
      <c r="L401" t="b">
        <f>COUNTIF(Sales_Export_2019_2020__2[order_id],Sales_Export_2019_2020__2[[#This Row],[order_id]])&gt;1</f>
        <v>0</v>
      </c>
      <c r="M401" t="str">
        <f t="shared" si="6"/>
        <v>£125,000 - £129,999</v>
      </c>
      <c r="N401" t="str" cm="1">
        <f t="array" ref="N40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01">
        <f>FLOOR(Sales_Export_2019_2020__2[[#This Row],[order_value_GBP]],5000)</f>
        <v>125000</v>
      </c>
    </row>
    <row r="402" spans="1:15" x14ac:dyDescent="0.35">
      <c r="A402" t="s">
        <v>10</v>
      </c>
      <c r="B402" s="2">
        <v>15100.57</v>
      </c>
      <c r="C402" s="2">
        <v>12113.68</v>
      </c>
      <c r="D402" s="1">
        <v>43516</v>
      </c>
      <c r="E402" t="s">
        <v>18</v>
      </c>
      <c r="F402" t="s">
        <v>102</v>
      </c>
      <c r="G402" t="s">
        <v>13</v>
      </c>
      <c r="H402" t="s">
        <v>170</v>
      </c>
      <c r="I402" t="s">
        <v>28</v>
      </c>
      <c r="J402" t="s">
        <v>554</v>
      </c>
      <c r="K402" s="2">
        <f>Sales_Export_2019_2020__2[[#This Row],[order_value_GBP]]-Sales_Export_2019_2020__2[[#This Row],[ cost ]]</f>
        <v>2986.8899999999994</v>
      </c>
      <c r="L402" t="b">
        <f>COUNTIF(Sales_Export_2019_2020__2[order_id],Sales_Export_2019_2020__2[[#This Row],[order_id]])&gt;1</f>
        <v>0</v>
      </c>
      <c r="M402" t="str">
        <f t="shared" si="6"/>
        <v>£15,000 - £19,999</v>
      </c>
      <c r="N402" t="str" cm="1">
        <f t="array" ref="N40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02">
        <f>FLOOR(Sales_Export_2019_2020__2[[#This Row],[order_value_GBP]],5000)</f>
        <v>15000</v>
      </c>
    </row>
    <row r="403" spans="1:15" x14ac:dyDescent="0.35">
      <c r="A403" t="s">
        <v>53</v>
      </c>
      <c r="B403" s="2">
        <v>157932.84</v>
      </c>
      <c r="C403" s="2">
        <v>134148.15</v>
      </c>
      <c r="D403" s="1">
        <v>43861</v>
      </c>
      <c r="E403" t="s">
        <v>18</v>
      </c>
      <c r="F403" t="s">
        <v>237</v>
      </c>
      <c r="G403" t="s">
        <v>55</v>
      </c>
      <c r="H403" t="s">
        <v>72</v>
      </c>
      <c r="I403" t="s">
        <v>28</v>
      </c>
      <c r="J403" t="s">
        <v>555</v>
      </c>
      <c r="K403" s="2">
        <f>Sales_Export_2019_2020__2[[#This Row],[order_value_GBP]]-Sales_Export_2019_2020__2[[#This Row],[ cost ]]</f>
        <v>23784.690000000002</v>
      </c>
      <c r="L403" t="b">
        <f>COUNTIF(Sales_Export_2019_2020__2[order_id],Sales_Export_2019_2020__2[[#This Row],[order_id]])&gt;1</f>
        <v>0</v>
      </c>
      <c r="M403" t="str">
        <f t="shared" si="6"/>
        <v>£155,000 - £159,999</v>
      </c>
      <c r="N403" t="str" cm="1">
        <f t="array" ref="N40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03">
        <f>FLOOR(Sales_Export_2019_2020__2[[#This Row],[order_value_GBP]],5000)</f>
        <v>155000</v>
      </c>
    </row>
    <row r="404" spans="1:15" x14ac:dyDescent="0.35">
      <c r="A404" t="s">
        <v>23</v>
      </c>
      <c r="B404" s="2">
        <v>64192.86</v>
      </c>
      <c r="C404" s="2">
        <v>52837.14</v>
      </c>
      <c r="D404" s="1">
        <v>43933</v>
      </c>
      <c r="E404" t="s">
        <v>51</v>
      </c>
      <c r="F404" t="s">
        <v>35</v>
      </c>
      <c r="G404" t="s">
        <v>26</v>
      </c>
      <c r="H404" t="s">
        <v>219</v>
      </c>
      <c r="I404" t="s">
        <v>28</v>
      </c>
      <c r="J404" t="s">
        <v>556</v>
      </c>
      <c r="K404" s="2">
        <f>Sales_Export_2019_2020__2[[#This Row],[order_value_GBP]]-Sales_Export_2019_2020__2[[#This Row],[ cost ]]</f>
        <v>11355.720000000001</v>
      </c>
      <c r="L404" t="b">
        <f>COUNTIF(Sales_Export_2019_2020__2[order_id],Sales_Export_2019_2020__2[[#This Row],[order_id]])&gt;1</f>
        <v>0</v>
      </c>
      <c r="M404" t="str">
        <f t="shared" si="6"/>
        <v>£60,000 - £64,999</v>
      </c>
      <c r="N404" t="str" cm="1">
        <f t="array" ref="N40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04">
        <f>FLOOR(Sales_Export_2019_2020__2[[#This Row],[order_value_GBP]],5000)</f>
        <v>60000</v>
      </c>
    </row>
    <row r="405" spans="1:15" x14ac:dyDescent="0.35">
      <c r="A405" t="s">
        <v>10</v>
      </c>
      <c r="B405" s="2">
        <v>156453.01</v>
      </c>
      <c r="C405" s="2">
        <v>128494.86</v>
      </c>
      <c r="D405" s="1">
        <v>44108</v>
      </c>
      <c r="E405" t="s">
        <v>24</v>
      </c>
      <c r="F405" t="s">
        <v>35</v>
      </c>
      <c r="G405" t="s">
        <v>13</v>
      </c>
      <c r="H405" t="s">
        <v>14</v>
      </c>
      <c r="I405" t="s">
        <v>28</v>
      </c>
      <c r="J405" t="s">
        <v>557</v>
      </c>
      <c r="K405" s="2">
        <f>Sales_Export_2019_2020__2[[#This Row],[order_value_GBP]]-Sales_Export_2019_2020__2[[#This Row],[ cost ]]</f>
        <v>27958.150000000009</v>
      </c>
      <c r="L405" t="b">
        <f>COUNTIF(Sales_Export_2019_2020__2[order_id],Sales_Export_2019_2020__2[[#This Row],[order_id]])&gt;1</f>
        <v>0</v>
      </c>
      <c r="M405" t="str">
        <f t="shared" si="6"/>
        <v>£155,000 - £159,999</v>
      </c>
      <c r="N405" t="str" cm="1">
        <f t="array" ref="N40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05">
        <f>FLOOR(Sales_Export_2019_2020__2[[#This Row],[order_value_GBP]],5000)</f>
        <v>155000</v>
      </c>
    </row>
    <row r="406" spans="1:15" x14ac:dyDescent="0.35">
      <c r="A406" t="s">
        <v>17</v>
      </c>
      <c r="B406" s="2">
        <v>53616.06</v>
      </c>
      <c r="C406" s="2">
        <v>45589.74</v>
      </c>
      <c r="D406" s="1">
        <v>43833</v>
      </c>
      <c r="E406" t="s">
        <v>51</v>
      </c>
      <c r="F406" t="s">
        <v>234</v>
      </c>
      <c r="G406" t="s">
        <v>20</v>
      </c>
      <c r="H406" t="s">
        <v>21</v>
      </c>
      <c r="I406" t="s">
        <v>28</v>
      </c>
      <c r="J406" t="s">
        <v>558</v>
      </c>
      <c r="K406" s="2">
        <f>Sales_Export_2019_2020__2[[#This Row],[order_value_GBP]]-Sales_Export_2019_2020__2[[#This Row],[ cost ]]</f>
        <v>8026.32</v>
      </c>
      <c r="L406" t="b">
        <f>COUNTIF(Sales_Export_2019_2020__2[order_id],Sales_Export_2019_2020__2[[#This Row],[order_id]])&gt;1</f>
        <v>0</v>
      </c>
      <c r="M406" t="str">
        <f t="shared" si="6"/>
        <v>£50,000 - £54,999</v>
      </c>
      <c r="N406" t="str" cm="1">
        <f t="array" ref="N40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06">
        <f>FLOOR(Sales_Export_2019_2020__2[[#This Row],[order_value_GBP]],5000)</f>
        <v>50000</v>
      </c>
    </row>
    <row r="407" spans="1:15" x14ac:dyDescent="0.35">
      <c r="A407" t="s">
        <v>17</v>
      </c>
      <c r="B407" s="2">
        <v>163967.89000000001</v>
      </c>
      <c r="C407" s="2">
        <v>138208.53</v>
      </c>
      <c r="D407" s="1">
        <v>43615</v>
      </c>
      <c r="E407" t="s">
        <v>51</v>
      </c>
      <c r="F407" t="s">
        <v>114</v>
      </c>
      <c r="G407" t="s">
        <v>20</v>
      </c>
      <c r="H407" t="s">
        <v>21</v>
      </c>
      <c r="I407" t="s">
        <v>38</v>
      </c>
      <c r="J407" t="s">
        <v>559</v>
      </c>
      <c r="K407" s="2">
        <f>Sales_Export_2019_2020__2[[#This Row],[order_value_GBP]]-Sales_Export_2019_2020__2[[#This Row],[ cost ]]</f>
        <v>25759.360000000015</v>
      </c>
      <c r="L407" t="b">
        <f>COUNTIF(Sales_Export_2019_2020__2[order_id],Sales_Export_2019_2020__2[[#This Row],[order_id]])&gt;1</f>
        <v>0</v>
      </c>
      <c r="M407" t="str">
        <f t="shared" si="6"/>
        <v>£160,000 - £164,999</v>
      </c>
      <c r="N407" t="str" cm="1">
        <f t="array" ref="N40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07">
        <f>FLOOR(Sales_Export_2019_2020__2[[#This Row],[order_value_GBP]],5000)</f>
        <v>160000</v>
      </c>
    </row>
    <row r="408" spans="1:15" x14ac:dyDescent="0.35">
      <c r="A408" t="s">
        <v>10</v>
      </c>
      <c r="B408" s="2">
        <v>171748.56</v>
      </c>
      <c r="C408" s="2">
        <v>136574.45000000001</v>
      </c>
      <c r="D408" s="1">
        <v>44155</v>
      </c>
      <c r="E408" t="s">
        <v>18</v>
      </c>
      <c r="F408" t="s">
        <v>155</v>
      </c>
      <c r="G408" t="s">
        <v>13</v>
      </c>
      <c r="H408" t="s">
        <v>14</v>
      </c>
      <c r="I408" t="s">
        <v>28</v>
      </c>
      <c r="J408" t="s">
        <v>560</v>
      </c>
      <c r="K408" s="2">
        <f>Sales_Export_2019_2020__2[[#This Row],[order_value_GBP]]-Sales_Export_2019_2020__2[[#This Row],[ cost ]]</f>
        <v>35174.109999999986</v>
      </c>
      <c r="L408" t="b">
        <f>COUNTIF(Sales_Export_2019_2020__2[order_id],Sales_Export_2019_2020__2[[#This Row],[order_id]])&gt;1</f>
        <v>0</v>
      </c>
      <c r="M408" t="str">
        <f t="shared" si="6"/>
        <v>£170,000 - £174,999</v>
      </c>
      <c r="N408" t="str" cm="1">
        <f t="array" ref="N40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08">
        <f>FLOOR(Sales_Export_2019_2020__2[[#This Row],[order_value_GBP]],5000)</f>
        <v>170000</v>
      </c>
    </row>
    <row r="409" spans="1:15" x14ac:dyDescent="0.35">
      <c r="A409" t="s">
        <v>53</v>
      </c>
      <c r="B409" s="2">
        <v>26103.94</v>
      </c>
      <c r="C409" s="2">
        <v>22339.75</v>
      </c>
      <c r="D409" s="1">
        <v>44074</v>
      </c>
      <c r="E409" t="s">
        <v>51</v>
      </c>
      <c r="F409" t="s">
        <v>146</v>
      </c>
      <c r="G409" t="s">
        <v>55</v>
      </c>
      <c r="H409" t="s">
        <v>133</v>
      </c>
      <c r="I409" t="s">
        <v>38</v>
      </c>
      <c r="J409" t="s">
        <v>561</v>
      </c>
      <c r="K409" s="2">
        <f>Sales_Export_2019_2020__2[[#This Row],[order_value_GBP]]-Sales_Export_2019_2020__2[[#This Row],[ cost ]]</f>
        <v>3764.1899999999987</v>
      </c>
      <c r="L409" t="b">
        <f>COUNTIF(Sales_Export_2019_2020__2[order_id],Sales_Export_2019_2020__2[[#This Row],[order_id]])&gt;1</f>
        <v>0</v>
      </c>
      <c r="M409" t="str">
        <f t="shared" si="6"/>
        <v>£25,000 - £29,999</v>
      </c>
      <c r="N409" t="str" cm="1">
        <f t="array" ref="N40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09">
        <f>FLOOR(Sales_Export_2019_2020__2[[#This Row],[order_value_GBP]],5000)</f>
        <v>25000</v>
      </c>
    </row>
    <row r="410" spans="1:15" x14ac:dyDescent="0.35">
      <c r="A410" t="s">
        <v>23</v>
      </c>
      <c r="B410" s="2">
        <v>140337.34</v>
      </c>
      <c r="C410" s="2">
        <v>115708.14</v>
      </c>
      <c r="D410" s="1">
        <v>44078</v>
      </c>
      <c r="E410" t="s">
        <v>51</v>
      </c>
      <c r="F410" t="s">
        <v>166</v>
      </c>
      <c r="G410" t="s">
        <v>26</v>
      </c>
      <c r="H410" t="s">
        <v>76</v>
      </c>
      <c r="I410" t="s">
        <v>28</v>
      </c>
      <c r="J410" t="s">
        <v>562</v>
      </c>
      <c r="K410" s="2">
        <f>Sales_Export_2019_2020__2[[#This Row],[order_value_GBP]]-Sales_Export_2019_2020__2[[#This Row],[ cost ]]</f>
        <v>24629.199999999997</v>
      </c>
      <c r="L410" t="b">
        <f>COUNTIF(Sales_Export_2019_2020__2[order_id],Sales_Export_2019_2020__2[[#This Row],[order_id]])&gt;1</f>
        <v>0</v>
      </c>
      <c r="M410" t="str">
        <f t="shared" si="6"/>
        <v>£140,000 - £144,999</v>
      </c>
      <c r="N410" t="str" cm="1">
        <f t="array" ref="N41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10">
        <f>FLOOR(Sales_Export_2019_2020__2[[#This Row],[order_value_GBP]],5000)</f>
        <v>140000</v>
      </c>
    </row>
    <row r="411" spans="1:15" x14ac:dyDescent="0.35">
      <c r="A411" t="s">
        <v>10</v>
      </c>
      <c r="B411" s="2">
        <v>33617.03</v>
      </c>
      <c r="C411" s="2">
        <v>26614.6</v>
      </c>
      <c r="D411" s="1">
        <v>43928</v>
      </c>
      <c r="E411" t="s">
        <v>51</v>
      </c>
      <c r="F411" t="s">
        <v>160</v>
      </c>
      <c r="G411" t="s">
        <v>13</v>
      </c>
      <c r="H411" t="s">
        <v>14</v>
      </c>
      <c r="I411" t="s">
        <v>28</v>
      </c>
      <c r="J411" t="s">
        <v>563</v>
      </c>
      <c r="K411" s="2">
        <f>Sales_Export_2019_2020__2[[#This Row],[order_value_GBP]]-Sales_Export_2019_2020__2[[#This Row],[ cost ]]</f>
        <v>7002.43</v>
      </c>
      <c r="L411" t="b">
        <f>COUNTIF(Sales_Export_2019_2020__2[order_id],Sales_Export_2019_2020__2[[#This Row],[order_id]])&gt;1</f>
        <v>0</v>
      </c>
      <c r="M411" t="str">
        <f t="shared" si="6"/>
        <v>£30,000 - £34,999</v>
      </c>
      <c r="N411" t="str" cm="1">
        <f t="array" ref="N41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11">
        <f>FLOOR(Sales_Export_2019_2020__2[[#This Row],[order_value_GBP]],5000)</f>
        <v>30000</v>
      </c>
    </row>
    <row r="412" spans="1:15" x14ac:dyDescent="0.35">
      <c r="A412" t="s">
        <v>23</v>
      </c>
      <c r="B412" s="2">
        <v>187874.45</v>
      </c>
      <c r="C412" s="2">
        <v>160031.46</v>
      </c>
      <c r="D412" s="1">
        <v>43642</v>
      </c>
      <c r="E412" t="s">
        <v>46</v>
      </c>
      <c r="F412" t="s">
        <v>35</v>
      </c>
      <c r="G412" t="s">
        <v>26</v>
      </c>
      <c r="H412" t="s">
        <v>90</v>
      </c>
      <c r="I412" t="s">
        <v>28</v>
      </c>
      <c r="J412" t="s">
        <v>564</v>
      </c>
      <c r="K412" s="2">
        <f>Sales_Export_2019_2020__2[[#This Row],[order_value_GBP]]-Sales_Export_2019_2020__2[[#This Row],[ cost ]]</f>
        <v>27842.99000000002</v>
      </c>
      <c r="L412" t="b">
        <f>COUNTIF(Sales_Export_2019_2020__2[order_id],Sales_Export_2019_2020__2[[#This Row],[order_id]])&gt;1</f>
        <v>0</v>
      </c>
      <c r="M412" t="str">
        <f t="shared" si="6"/>
        <v>£185,000 - £189,999</v>
      </c>
      <c r="N412" t="str" cm="1">
        <f t="array" ref="N41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412">
        <f>FLOOR(Sales_Export_2019_2020__2[[#This Row],[order_value_GBP]],5000)</f>
        <v>185000</v>
      </c>
    </row>
    <row r="413" spans="1:15" x14ac:dyDescent="0.35">
      <c r="A413" t="s">
        <v>17</v>
      </c>
      <c r="B413" s="2">
        <v>41675.01</v>
      </c>
      <c r="C413" s="2">
        <v>33765.089999999997</v>
      </c>
      <c r="D413" s="1">
        <v>43641</v>
      </c>
      <c r="E413" t="s">
        <v>30</v>
      </c>
      <c r="F413" t="s">
        <v>135</v>
      </c>
      <c r="G413" t="s">
        <v>20</v>
      </c>
      <c r="H413" t="s">
        <v>21</v>
      </c>
      <c r="I413" t="s">
        <v>28</v>
      </c>
      <c r="J413" t="s">
        <v>565</v>
      </c>
      <c r="K413" s="2">
        <f>Sales_Export_2019_2020__2[[#This Row],[order_value_GBP]]-Sales_Export_2019_2020__2[[#This Row],[ cost ]]</f>
        <v>7909.9200000000055</v>
      </c>
      <c r="L413" t="b">
        <f>COUNTIF(Sales_Export_2019_2020__2[order_id],Sales_Export_2019_2020__2[[#This Row],[order_id]])&gt;1</f>
        <v>0</v>
      </c>
      <c r="M413" t="str">
        <f t="shared" si="6"/>
        <v>£40,000 - £44,999</v>
      </c>
      <c r="N413" t="str" cm="1">
        <f t="array" ref="N41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13">
        <f>FLOOR(Sales_Export_2019_2020__2[[#This Row],[order_value_GBP]],5000)</f>
        <v>40000</v>
      </c>
    </row>
    <row r="414" spans="1:15" x14ac:dyDescent="0.35">
      <c r="A414" t="s">
        <v>23</v>
      </c>
      <c r="B414" s="2">
        <v>34930.080000000002</v>
      </c>
      <c r="C414" s="2">
        <v>28017.42</v>
      </c>
      <c r="D414" s="1">
        <v>43770</v>
      </c>
      <c r="E414" t="s">
        <v>51</v>
      </c>
      <c r="F414" t="s">
        <v>234</v>
      </c>
      <c r="G414" t="s">
        <v>26</v>
      </c>
      <c r="H414" t="s">
        <v>27</v>
      </c>
      <c r="I414" t="s">
        <v>28</v>
      </c>
      <c r="J414" t="s">
        <v>566</v>
      </c>
      <c r="K414" s="2">
        <f>Sales_Export_2019_2020__2[[#This Row],[order_value_GBP]]-Sales_Export_2019_2020__2[[#This Row],[ cost ]]</f>
        <v>6912.6600000000035</v>
      </c>
      <c r="L414" t="b">
        <f>COUNTIF(Sales_Export_2019_2020__2[order_id],Sales_Export_2019_2020__2[[#This Row],[order_id]])&gt;1</f>
        <v>0</v>
      </c>
      <c r="M414" t="str">
        <f t="shared" si="6"/>
        <v>£30,000 - £34,999</v>
      </c>
      <c r="N414" t="str" cm="1">
        <f t="array" ref="N41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14">
        <f>FLOOR(Sales_Export_2019_2020__2[[#This Row],[order_value_GBP]],5000)</f>
        <v>30000</v>
      </c>
    </row>
    <row r="415" spans="1:15" x14ac:dyDescent="0.35">
      <c r="A415" t="s">
        <v>17</v>
      </c>
      <c r="B415" s="2">
        <v>127994.87</v>
      </c>
      <c r="C415" s="2">
        <v>105800.56</v>
      </c>
      <c r="D415" s="1">
        <v>44075</v>
      </c>
      <c r="E415" t="s">
        <v>11</v>
      </c>
      <c r="F415" t="s">
        <v>166</v>
      </c>
      <c r="G415" t="s">
        <v>20</v>
      </c>
      <c r="H415" t="s">
        <v>353</v>
      </c>
      <c r="I415" t="s">
        <v>28</v>
      </c>
      <c r="J415" t="s">
        <v>567</v>
      </c>
      <c r="K415" s="2">
        <f>Sales_Export_2019_2020__2[[#This Row],[order_value_GBP]]-Sales_Export_2019_2020__2[[#This Row],[ cost ]]</f>
        <v>22194.309999999998</v>
      </c>
      <c r="L415" t="b">
        <f>COUNTIF(Sales_Export_2019_2020__2[order_id],Sales_Export_2019_2020__2[[#This Row],[order_id]])&gt;1</f>
        <v>0</v>
      </c>
      <c r="M415" t="str">
        <f t="shared" si="6"/>
        <v>£125,000 - £129,999</v>
      </c>
      <c r="N415" t="str" cm="1">
        <f t="array" ref="N41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15">
        <f>FLOOR(Sales_Export_2019_2020__2[[#This Row],[order_value_GBP]],5000)</f>
        <v>125000</v>
      </c>
    </row>
    <row r="416" spans="1:15" x14ac:dyDescent="0.35">
      <c r="A416" t="s">
        <v>23</v>
      </c>
      <c r="B416" s="2">
        <v>162637.68</v>
      </c>
      <c r="C416" s="2">
        <v>130402.89</v>
      </c>
      <c r="D416" s="1">
        <v>43735</v>
      </c>
      <c r="E416" t="s">
        <v>24</v>
      </c>
      <c r="F416" t="s">
        <v>25</v>
      </c>
      <c r="G416" t="s">
        <v>26</v>
      </c>
      <c r="H416" t="s">
        <v>76</v>
      </c>
      <c r="I416" t="s">
        <v>28</v>
      </c>
      <c r="J416" t="s">
        <v>568</v>
      </c>
      <c r="K416" s="2">
        <f>Sales_Export_2019_2020__2[[#This Row],[order_value_GBP]]-Sales_Export_2019_2020__2[[#This Row],[ cost ]]</f>
        <v>32234.789999999994</v>
      </c>
      <c r="L416" t="b">
        <f>COUNTIF(Sales_Export_2019_2020__2[order_id],Sales_Export_2019_2020__2[[#This Row],[order_id]])&gt;1</f>
        <v>0</v>
      </c>
      <c r="M416" t="str">
        <f t="shared" si="6"/>
        <v>£160,000 - £164,999</v>
      </c>
      <c r="N416" t="str" cm="1">
        <f t="array" ref="N41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16">
        <f>FLOOR(Sales_Export_2019_2020__2[[#This Row],[order_value_GBP]],5000)</f>
        <v>160000</v>
      </c>
    </row>
    <row r="417" spans="1:15" x14ac:dyDescent="0.35">
      <c r="A417" t="s">
        <v>23</v>
      </c>
      <c r="B417" s="2">
        <v>40728.28</v>
      </c>
      <c r="C417" s="2">
        <v>35669.83</v>
      </c>
      <c r="D417" s="1">
        <v>43730</v>
      </c>
      <c r="E417" t="s">
        <v>30</v>
      </c>
      <c r="F417" t="s">
        <v>302</v>
      </c>
      <c r="G417" t="s">
        <v>26</v>
      </c>
      <c r="H417" t="s">
        <v>90</v>
      </c>
      <c r="I417" t="s">
        <v>15</v>
      </c>
      <c r="J417" t="s">
        <v>569</v>
      </c>
      <c r="K417" s="2">
        <f>Sales_Export_2019_2020__2[[#This Row],[order_value_GBP]]-Sales_Export_2019_2020__2[[#This Row],[ cost ]]</f>
        <v>5058.4499999999971</v>
      </c>
      <c r="L417" t="b">
        <f>COUNTIF(Sales_Export_2019_2020__2[order_id],Sales_Export_2019_2020__2[[#This Row],[order_id]])&gt;1</f>
        <v>0</v>
      </c>
      <c r="M417" t="str">
        <f t="shared" si="6"/>
        <v>£40,000 - £44,999</v>
      </c>
      <c r="N417" t="str" cm="1">
        <f t="array" ref="N41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17">
        <f>FLOOR(Sales_Export_2019_2020__2[[#This Row],[order_value_GBP]],5000)</f>
        <v>40000</v>
      </c>
    </row>
    <row r="418" spans="1:15" x14ac:dyDescent="0.35">
      <c r="A418" t="s">
        <v>17</v>
      </c>
      <c r="B418" s="2">
        <v>293767.28000000003</v>
      </c>
      <c r="C418" s="2">
        <v>254079.32</v>
      </c>
      <c r="D418" s="1">
        <v>43987</v>
      </c>
      <c r="E418" t="s">
        <v>18</v>
      </c>
      <c r="F418" t="s">
        <v>188</v>
      </c>
      <c r="G418" t="s">
        <v>20</v>
      </c>
      <c r="H418" t="s">
        <v>21</v>
      </c>
      <c r="I418" t="s">
        <v>28</v>
      </c>
      <c r="J418" t="s">
        <v>570</v>
      </c>
      <c r="K418" s="2">
        <f>Sales_Export_2019_2020__2[[#This Row],[order_value_GBP]]-Sales_Export_2019_2020__2[[#This Row],[ cost ]]</f>
        <v>39687.960000000021</v>
      </c>
      <c r="L418" t="b">
        <f>COUNTIF(Sales_Export_2019_2020__2[order_id],Sales_Export_2019_2020__2[[#This Row],[order_id]])&gt;1</f>
        <v>0</v>
      </c>
      <c r="M418" t="str">
        <f t="shared" si="6"/>
        <v>£290,000 - £294,999</v>
      </c>
      <c r="N418" t="str" cm="1">
        <f t="array" ref="N41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418">
        <f>FLOOR(Sales_Export_2019_2020__2[[#This Row],[order_value_GBP]],5000)</f>
        <v>290000</v>
      </c>
    </row>
    <row r="419" spans="1:15" x14ac:dyDescent="0.35">
      <c r="A419" t="s">
        <v>10</v>
      </c>
      <c r="B419" s="2">
        <v>57913.36</v>
      </c>
      <c r="C419" s="2">
        <v>48693.55</v>
      </c>
      <c r="D419" s="1">
        <v>43719</v>
      </c>
      <c r="E419" t="s">
        <v>18</v>
      </c>
      <c r="F419" t="s">
        <v>102</v>
      </c>
      <c r="G419" t="s">
        <v>13</v>
      </c>
      <c r="H419" t="s">
        <v>82</v>
      </c>
      <c r="I419" t="s">
        <v>28</v>
      </c>
      <c r="J419" t="s">
        <v>571</v>
      </c>
      <c r="K419" s="2">
        <f>Sales_Export_2019_2020__2[[#This Row],[order_value_GBP]]-Sales_Export_2019_2020__2[[#This Row],[ cost ]]</f>
        <v>9219.8099999999977</v>
      </c>
      <c r="L419" t="b">
        <f>COUNTIF(Sales_Export_2019_2020__2[order_id],Sales_Export_2019_2020__2[[#This Row],[order_id]])&gt;1</f>
        <v>0</v>
      </c>
      <c r="M419" t="str">
        <f t="shared" si="6"/>
        <v>£55,000 - £59,999</v>
      </c>
      <c r="N419" t="str" cm="1">
        <f t="array" ref="N41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19">
        <f>FLOOR(Sales_Export_2019_2020__2[[#This Row],[order_value_GBP]],5000)</f>
        <v>55000</v>
      </c>
    </row>
    <row r="420" spans="1:15" x14ac:dyDescent="0.35">
      <c r="A420" t="s">
        <v>45</v>
      </c>
      <c r="B420" s="2">
        <v>63979.040000000001</v>
      </c>
      <c r="C420" s="2">
        <v>56032.84</v>
      </c>
      <c r="D420" s="1">
        <v>43760</v>
      </c>
      <c r="E420" t="s">
        <v>18</v>
      </c>
      <c r="F420" t="s">
        <v>43</v>
      </c>
      <c r="G420" t="s">
        <v>48</v>
      </c>
      <c r="H420" t="s">
        <v>66</v>
      </c>
      <c r="I420" t="s">
        <v>28</v>
      </c>
      <c r="J420" t="s">
        <v>572</v>
      </c>
      <c r="K420" s="2">
        <f>Sales_Export_2019_2020__2[[#This Row],[order_value_GBP]]-Sales_Export_2019_2020__2[[#This Row],[ cost ]]</f>
        <v>7946.2000000000044</v>
      </c>
      <c r="L420" t="b">
        <f>COUNTIF(Sales_Export_2019_2020__2[order_id],Sales_Export_2019_2020__2[[#This Row],[order_id]])&gt;1</f>
        <v>0</v>
      </c>
      <c r="M420" t="str">
        <f t="shared" si="6"/>
        <v>£60,000 - £64,999</v>
      </c>
      <c r="N420" t="str" cm="1">
        <f t="array" ref="N42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20">
        <f>FLOOR(Sales_Export_2019_2020__2[[#This Row],[order_value_GBP]],5000)</f>
        <v>60000</v>
      </c>
    </row>
    <row r="421" spans="1:15" x14ac:dyDescent="0.35">
      <c r="A421" t="s">
        <v>53</v>
      </c>
      <c r="B421" s="2">
        <v>102255.86</v>
      </c>
      <c r="C421" s="2">
        <v>83379.429999999993</v>
      </c>
      <c r="D421" s="1">
        <v>44147</v>
      </c>
      <c r="E421" t="s">
        <v>60</v>
      </c>
      <c r="F421" t="s">
        <v>205</v>
      </c>
      <c r="G421" t="s">
        <v>55</v>
      </c>
      <c r="H421" t="s">
        <v>144</v>
      </c>
      <c r="I421" t="s">
        <v>28</v>
      </c>
      <c r="J421" t="s">
        <v>573</v>
      </c>
      <c r="K421" s="2">
        <f>Sales_Export_2019_2020__2[[#This Row],[order_value_GBP]]-Sales_Export_2019_2020__2[[#This Row],[ cost ]]</f>
        <v>18876.430000000008</v>
      </c>
      <c r="L421" t="b">
        <f>COUNTIF(Sales_Export_2019_2020__2[order_id],Sales_Export_2019_2020__2[[#This Row],[order_id]])&gt;1</f>
        <v>0</v>
      </c>
      <c r="M421" t="str">
        <f t="shared" si="6"/>
        <v>£100,000 - £104,999</v>
      </c>
      <c r="N421" t="str" cm="1">
        <f t="array" ref="N42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21">
        <f>FLOOR(Sales_Export_2019_2020__2[[#This Row],[order_value_GBP]],5000)</f>
        <v>100000</v>
      </c>
    </row>
    <row r="422" spans="1:15" x14ac:dyDescent="0.35">
      <c r="A422" t="s">
        <v>17</v>
      </c>
      <c r="B422" s="2">
        <v>107271.94</v>
      </c>
      <c r="C422" s="2">
        <v>86665</v>
      </c>
      <c r="D422" s="1">
        <v>44066</v>
      </c>
      <c r="E422" t="s">
        <v>18</v>
      </c>
      <c r="F422" t="s">
        <v>35</v>
      </c>
      <c r="G422" t="s">
        <v>20</v>
      </c>
      <c r="H422" t="s">
        <v>21</v>
      </c>
      <c r="I422" t="s">
        <v>28</v>
      </c>
      <c r="J422" t="s">
        <v>574</v>
      </c>
      <c r="K422" s="2">
        <f>Sales_Export_2019_2020__2[[#This Row],[order_value_GBP]]-Sales_Export_2019_2020__2[[#This Row],[ cost ]]</f>
        <v>20606.940000000002</v>
      </c>
      <c r="L422" t="b">
        <f>COUNTIF(Sales_Export_2019_2020__2[order_id],Sales_Export_2019_2020__2[[#This Row],[order_id]])&gt;1</f>
        <v>0</v>
      </c>
      <c r="M422" t="str">
        <f t="shared" si="6"/>
        <v>£105,000 - £109,999</v>
      </c>
      <c r="N422" t="str" cm="1">
        <f t="array" ref="N42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22">
        <f>FLOOR(Sales_Export_2019_2020__2[[#This Row],[order_value_GBP]],5000)</f>
        <v>105000</v>
      </c>
    </row>
    <row r="423" spans="1:15" x14ac:dyDescent="0.35">
      <c r="A423" t="s">
        <v>408</v>
      </c>
      <c r="B423" s="2">
        <v>51090.76</v>
      </c>
      <c r="C423" s="2">
        <v>40739.769999999997</v>
      </c>
      <c r="D423" s="1">
        <v>43902</v>
      </c>
      <c r="E423" t="s">
        <v>80</v>
      </c>
      <c r="F423" t="s">
        <v>174</v>
      </c>
      <c r="G423" t="s">
        <v>409</v>
      </c>
      <c r="H423" t="s">
        <v>410</v>
      </c>
      <c r="I423" t="s">
        <v>28</v>
      </c>
      <c r="J423" t="s">
        <v>575</v>
      </c>
      <c r="K423" s="2">
        <f>Sales_Export_2019_2020__2[[#This Row],[order_value_GBP]]-Sales_Export_2019_2020__2[[#This Row],[ cost ]]</f>
        <v>10350.990000000005</v>
      </c>
      <c r="L423" t="b">
        <f>COUNTIF(Sales_Export_2019_2020__2[order_id],Sales_Export_2019_2020__2[[#This Row],[order_id]])&gt;1</f>
        <v>0</v>
      </c>
      <c r="M423" t="str">
        <f t="shared" si="6"/>
        <v>£50,000 - £54,999</v>
      </c>
      <c r="N423" t="str" cm="1">
        <f t="array" ref="N42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23">
        <f>FLOOR(Sales_Export_2019_2020__2[[#This Row],[order_value_GBP]],5000)</f>
        <v>50000</v>
      </c>
    </row>
    <row r="424" spans="1:15" x14ac:dyDescent="0.35">
      <c r="A424" t="s">
        <v>10</v>
      </c>
      <c r="B424" s="2">
        <v>102299.92</v>
      </c>
      <c r="C424" s="2">
        <v>81706.95</v>
      </c>
      <c r="D424" s="1">
        <v>43699</v>
      </c>
      <c r="E424" t="s">
        <v>30</v>
      </c>
      <c r="F424" t="s">
        <v>71</v>
      </c>
      <c r="G424" t="s">
        <v>13</v>
      </c>
      <c r="H424" t="s">
        <v>82</v>
      </c>
      <c r="I424" t="s">
        <v>28</v>
      </c>
      <c r="J424" t="s">
        <v>576</v>
      </c>
      <c r="K424" s="2">
        <f>Sales_Export_2019_2020__2[[#This Row],[order_value_GBP]]-Sales_Export_2019_2020__2[[#This Row],[ cost ]]</f>
        <v>20592.97</v>
      </c>
      <c r="L424" t="b">
        <f>COUNTIF(Sales_Export_2019_2020__2[order_id],Sales_Export_2019_2020__2[[#This Row],[order_id]])&gt;1</f>
        <v>0</v>
      </c>
      <c r="M424" t="str">
        <f t="shared" si="6"/>
        <v>£100,000 - £104,999</v>
      </c>
      <c r="N424" t="str" cm="1">
        <f t="array" ref="N42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24">
        <f>FLOOR(Sales_Export_2019_2020__2[[#This Row],[order_value_GBP]],5000)</f>
        <v>100000</v>
      </c>
    </row>
    <row r="425" spans="1:15" x14ac:dyDescent="0.35">
      <c r="A425" t="s">
        <v>53</v>
      </c>
      <c r="B425" s="2">
        <v>144204.85999999999</v>
      </c>
      <c r="C425" s="2">
        <v>115262.94</v>
      </c>
      <c r="D425" s="1">
        <v>44143</v>
      </c>
      <c r="E425" t="s">
        <v>11</v>
      </c>
      <c r="F425" t="s">
        <v>224</v>
      </c>
      <c r="G425" t="s">
        <v>55</v>
      </c>
      <c r="H425" t="s">
        <v>72</v>
      </c>
      <c r="I425" t="s">
        <v>28</v>
      </c>
      <c r="J425" t="s">
        <v>577</v>
      </c>
      <c r="K425" s="2">
        <f>Sales_Export_2019_2020__2[[#This Row],[order_value_GBP]]-Sales_Export_2019_2020__2[[#This Row],[ cost ]]</f>
        <v>28941.919999999984</v>
      </c>
      <c r="L425" t="b">
        <f>COUNTIF(Sales_Export_2019_2020__2[order_id],Sales_Export_2019_2020__2[[#This Row],[order_id]])&gt;1</f>
        <v>0</v>
      </c>
      <c r="M425" t="str">
        <f t="shared" si="6"/>
        <v>£140,000 - £144,999</v>
      </c>
      <c r="N425" t="str" cm="1">
        <f t="array" ref="N42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25">
        <f>FLOOR(Sales_Export_2019_2020__2[[#This Row],[order_value_GBP]],5000)</f>
        <v>140000</v>
      </c>
    </row>
    <row r="426" spans="1:15" x14ac:dyDescent="0.35">
      <c r="A426" t="s">
        <v>53</v>
      </c>
      <c r="B426" s="2">
        <v>36183.97</v>
      </c>
      <c r="C426" s="2">
        <v>30579.07</v>
      </c>
      <c r="D426" s="1">
        <v>44052</v>
      </c>
      <c r="E426" t="s">
        <v>11</v>
      </c>
      <c r="F426" t="s">
        <v>180</v>
      </c>
      <c r="G426" t="s">
        <v>55</v>
      </c>
      <c r="H426" t="s">
        <v>144</v>
      </c>
      <c r="I426" t="s">
        <v>15</v>
      </c>
      <c r="J426" t="s">
        <v>578</v>
      </c>
      <c r="K426" s="2">
        <f>Sales_Export_2019_2020__2[[#This Row],[order_value_GBP]]-Sales_Export_2019_2020__2[[#This Row],[ cost ]]</f>
        <v>5604.9000000000015</v>
      </c>
      <c r="L426" t="b">
        <f>COUNTIF(Sales_Export_2019_2020__2[order_id],Sales_Export_2019_2020__2[[#This Row],[order_id]])&gt;1</f>
        <v>0</v>
      </c>
      <c r="M426" t="str">
        <f t="shared" si="6"/>
        <v>£35,000 - £39,999</v>
      </c>
      <c r="N426" t="str" cm="1">
        <f t="array" ref="N42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26">
        <f>FLOOR(Sales_Export_2019_2020__2[[#This Row],[order_value_GBP]],5000)</f>
        <v>35000</v>
      </c>
    </row>
    <row r="427" spans="1:15" x14ac:dyDescent="0.35">
      <c r="A427" t="s">
        <v>45</v>
      </c>
      <c r="B427" s="2">
        <v>47771.76</v>
      </c>
      <c r="C427" s="2">
        <v>39234.949999999997</v>
      </c>
      <c r="D427" s="1">
        <v>43614</v>
      </c>
      <c r="E427" t="s">
        <v>30</v>
      </c>
      <c r="F427" t="s">
        <v>121</v>
      </c>
      <c r="G427" t="s">
        <v>48</v>
      </c>
      <c r="H427" t="s">
        <v>66</v>
      </c>
      <c r="I427" t="s">
        <v>28</v>
      </c>
      <c r="J427" t="s">
        <v>579</v>
      </c>
      <c r="K427" s="2">
        <f>Sales_Export_2019_2020__2[[#This Row],[order_value_GBP]]-Sales_Export_2019_2020__2[[#This Row],[ cost ]]</f>
        <v>8536.8100000000049</v>
      </c>
      <c r="L427" t="b">
        <f>COUNTIF(Sales_Export_2019_2020__2[order_id],Sales_Export_2019_2020__2[[#This Row],[order_id]])&gt;1</f>
        <v>0</v>
      </c>
      <c r="M427" t="str">
        <f t="shared" si="6"/>
        <v>£45,000 - £49,999</v>
      </c>
      <c r="N427" t="str" cm="1">
        <f t="array" ref="N42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27">
        <f>FLOOR(Sales_Export_2019_2020__2[[#This Row],[order_value_GBP]],5000)</f>
        <v>45000</v>
      </c>
    </row>
    <row r="428" spans="1:15" x14ac:dyDescent="0.35">
      <c r="A428" t="s">
        <v>34</v>
      </c>
      <c r="B428" s="2">
        <v>44038.31</v>
      </c>
      <c r="C428" s="2">
        <v>36252.339999999997</v>
      </c>
      <c r="D428" s="1">
        <v>43854</v>
      </c>
      <c r="E428" t="s">
        <v>80</v>
      </c>
      <c r="F428" t="s">
        <v>254</v>
      </c>
      <c r="G428" t="s">
        <v>36</v>
      </c>
      <c r="H428" t="s">
        <v>425</v>
      </c>
      <c r="I428" t="s">
        <v>28</v>
      </c>
      <c r="J428" t="s">
        <v>580</v>
      </c>
      <c r="K428" s="2">
        <f>Sales_Export_2019_2020__2[[#This Row],[order_value_GBP]]-Sales_Export_2019_2020__2[[#This Row],[ cost ]]</f>
        <v>7785.9700000000012</v>
      </c>
      <c r="L428" t="b">
        <f>COUNTIF(Sales_Export_2019_2020__2[order_id],Sales_Export_2019_2020__2[[#This Row],[order_id]])&gt;1</f>
        <v>0</v>
      </c>
      <c r="M428" t="str">
        <f t="shared" si="6"/>
        <v>£40,000 - £44,999</v>
      </c>
      <c r="N428" t="str" cm="1">
        <f t="array" ref="N42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28">
        <f>FLOOR(Sales_Export_2019_2020__2[[#This Row],[order_value_GBP]],5000)</f>
        <v>40000</v>
      </c>
    </row>
    <row r="429" spans="1:15" x14ac:dyDescent="0.35">
      <c r="A429" t="s">
        <v>10</v>
      </c>
      <c r="B429" s="2">
        <v>116469.33</v>
      </c>
      <c r="C429" s="2">
        <v>95190.38</v>
      </c>
      <c r="D429" s="1">
        <v>43861</v>
      </c>
      <c r="E429" t="s">
        <v>62</v>
      </c>
      <c r="F429" t="s">
        <v>47</v>
      </c>
      <c r="G429" t="s">
        <v>13</v>
      </c>
      <c r="H429" t="s">
        <v>118</v>
      </c>
      <c r="I429" t="s">
        <v>28</v>
      </c>
      <c r="J429" t="s">
        <v>581</v>
      </c>
      <c r="K429" s="2">
        <f>Sales_Export_2019_2020__2[[#This Row],[order_value_GBP]]-Sales_Export_2019_2020__2[[#This Row],[ cost ]]</f>
        <v>21278.949999999997</v>
      </c>
      <c r="L429" t="b">
        <f>COUNTIF(Sales_Export_2019_2020__2[order_id],Sales_Export_2019_2020__2[[#This Row],[order_id]])&gt;1</f>
        <v>0</v>
      </c>
      <c r="M429" t="str">
        <f t="shared" si="6"/>
        <v>£115,000 - £119,999</v>
      </c>
      <c r="N429" t="str" cm="1">
        <f t="array" ref="N42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29">
        <f>FLOOR(Sales_Export_2019_2020__2[[#This Row],[order_value_GBP]],5000)</f>
        <v>115000</v>
      </c>
    </row>
    <row r="430" spans="1:15" x14ac:dyDescent="0.35">
      <c r="A430" t="s">
        <v>45</v>
      </c>
      <c r="B430" s="2">
        <v>227856.66</v>
      </c>
      <c r="C430" s="2">
        <v>199010.01</v>
      </c>
      <c r="D430" s="1">
        <v>44032</v>
      </c>
      <c r="E430" t="s">
        <v>80</v>
      </c>
      <c r="F430" t="s">
        <v>116</v>
      </c>
      <c r="G430" t="s">
        <v>48</v>
      </c>
      <c r="H430" t="s">
        <v>74</v>
      </c>
      <c r="I430" t="s">
        <v>28</v>
      </c>
      <c r="J430" t="s">
        <v>582</v>
      </c>
      <c r="K430" s="2">
        <f>Sales_Export_2019_2020__2[[#This Row],[order_value_GBP]]-Sales_Export_2019_2020__2[[#This Row],[ cost ]]</f>
        <v>28846.649999999994</v>
      </c>
      <c r="L430" t="b">
        <f>COUNTIF(Sales_Export_2019_2020__2[order_id],Sales_Export_2019_2020__2[[#This Row],[order_id]])&gt;1</f>
        <v>0</v>
      </c>
      <c r="M430" t="str">
        <f t="shared" si="6"/>
        <v>£225,000 - £229,999</v>
      </c>
      <c r="N430" t="str" cm="1">
        <f t="array" ref="N43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430">
        <f>FLOOR(Sales_Export_2019_2020__2[[#This Row],[order_value_GBP]],5000)</f>
        <v>225000</v>
      </c>
    </row>
    <row r="431" spans="1:15" x14ac:dyDescent="0.35">
      <c r="A431" t="s">
        <v>10</v>
      </c>
      <c r="B431" s="2">
        <v>67161.990000000005</v>
      </c>
      <c r="C431" s="2">
        <v>55764.6</v>
      </c>
      <c r="D431" s="1">
        <v>43728</v>
      </c>
      <c r="E431" t="s">
        <v>80</v>
      </c>
      <c r="F431" t="s">
        <v>203</v>
      </c>
      <c r="G431" t="s">
        <v>13</v>
      </c>
      <c r="H431" t="s">
        <v>170</v>
      </c>
      <c r="I431" t="s">
        <v>28</v>
      </c>
      <c r="J431" t="s">
        <v>583</v>
      </c>
      <c r="K431" s="2">
        <f>Sales_Export_2019_2020__2[[#This Row],[order_value_GBP]]-Sales_Export_2019_2020__2[[#This Row],[ cost ]]</f>
        <v>11397.390000000007</v>
      </c>
      <c r="L431" t="b">
        <f>COUNTIF(Sales_Export_2019_2020__2[order_id],Sales_Export_2019_2020__2[[#This Row],[order_id]])&gt;1</f>
        <v>0</v>
      </c>
      <c r="M431" t="str">
        <f t="shared" si="6"/>
        <v>£65,000 - £69,999</v>
      </c>
      <c r="N431" t="str" cm="1">
        <f t="array" ref="N43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31">
        <f>FLOOR(Sales_Export_2019_2020__2[[#This Row],[order_value_GBP]],5000)</f>
        <v>65000</v>
      </c>
    </row>
    <row r="432" spans="1:15" x14ac:dyDescent="0.35">
      <c r="A432" t="s">
        <v>173</v>
      </c>
      <c r="B432" s="2">
        <v>168178.03</v>
      </c>
      <c r="C432" s="2">
        <v>142665.42000000001</v>
      </c>
      <c r="D432" s="1">
        <v>43950</v>
      </c>
      <c r="E432" t="s">
        <v>24</v>
      </c>
      <c r="F432" t="s">
        <v>155</v>
      </c>
      <c r="G432" t="s">
        <v>175</v>
      </c>
      <c r="H432" t="s">
        <v>176</v>
      </c>
      <c r="I432" t="s">
        <v>28</v>
      </c>
      <c r="J432" t="s">
        <v>584</v>
      </c>
      <c r="K432" s="2">
        <f>Sales_Export_2019_2020__2[[#This Row],[order_value_GBP]]-Sales_Export_2019_2020__2[[#This Row],[ cost ]]</f>
        <v>25512.609999999986</v>
      </c>
      <c r="L432" t="b">
        <f>COUNTIF(Sales_Export_2019_2020__2[order_id],Sales_Export_2019_2020__2[[#This Row],[order_id]])&gt;1</f>
        <v>0</v>
      </c>
      <c r="M432" t="str">
        <f t="shared" si="6"/>
        <v>£165,000 - £169,999</v>
      </c>
      <c r="N432" t="str" cm="1">
        <f t="array" ref="N43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32">
        <f>FLOOR(Sales_Export_2019_2020__2[[#This Row],[order_value_GBP]],5000)</f>
        <v>165000</v>
      </c>
    </row>
    <row r="433" spans="1:15" x14ac:dyDescent="0.35">
      <c r="A433" t="s">
        <v>10</v>
      </c>
      <c r="B433" s="2">
        <v>42611.78</v>
      </c>
      <c r="C433" s="2">
        <v>35755.54</v>
      </c>
      <c r="D433" s="1">
        <v>43902</v>
      </c>
      <c r="E433" t="s">
        <v>24</v>
      </c>
      <c r="F433" t="s">
        <v>155</v>
      </c>
      <c r="G433" t="s">
        <v>13</v>
      </c>
      <c r="H433" t="s">
        <v>170</v>
      </c>
      <c r="I433" t="s">
        <v>15</v>
      </c>
      <c r="J433" t="s">
        <v>585</v>
      </c>
      <c r="K433" s="2">
        <f>Sales_Export_2019_2020__2[[#This Row],[order_value_GBP]]-Sales_Export_2019_2020__2[[#This Row],[ cost ]]</f>
        <v>6856.239999999998</v>
      </c>
      <c r="L433" t="b">
        <f>COUNTIF(Sales_Export_2019_2020__2[order_id],Sales_Export_2019_2020__2[[#This Row],[order_id]])&gt;1</f>
        <v>0</v>
      </c>
      <c r="M433" t="str">
        <f t="shared" si="6"/>
        <v>£40,000 - £44,999</v>
      </c>
      <c r="N433" t="str" cm="1">
        <f t="array" ref="N43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33">
        <f>FLOOR(Sales_Export_2019_2020__2[[#This Row],[order_value_GBP]],5000)</f>
        <v>40000</v>
      </c>
    </row>
    <row r="434" spans="1:15" x14ac:dyDescent="0.35">
      <c r="A434" t="s">
        <v>10</v>
      </c>
      <c r="B434" s="2">
        <v>166507.76</v>
      </c>
      <c r="C434" s="2">
        <v>143896.01</v>
      </c>
      <c r="D434" s="1">
        <v>44070</v>
      </c>
      <c r="E434" t="s">
        <v>46</v>
      </c>
      <c r="F434" t="s">
        <v>123</v>
      </c>
      <c r="G434" t="s">
        <v>13</v>
      </c>
      <c r="H434" t="s">
        <v>14</v>
      </c>
      <c r="I434" t="s">
        <v>28</v>
      </c>
      <c r="J434" t="s">
        <v>586</v>
      </c>
      <c r="K434" s="2">
        <f>Sales_Export_2019_2020__2[[#This Row],[order_value_GBP]]-Sales_Export_2019_2020__2[[#This Row],[ cost ]]</f>
        <v>22611.75</v>
      </c>
      <c r="L434" t="b">
        <f>COUNTIF(Sales_Export_2019_2020__2[order_id],Sales_Export_2019_2020__2[[#This Row],[order_id]])&gt;1</f>
        <v>0</v>
      </c>
      <c r="M434" t="str">
        <f t="shared" si="6"/>
        <v>£165,000 - £169,999</v>
      </c>
      <c r="N434" t="str" cm="1">
        <f t="array" ref="N43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34">
        <f>FLOOR(Sales_Export_2019_2020__2[[#This Row],[order_value_GBP]],5000)</f>
        <v>165000</v>
      </c>
    </row>
    <row r="435" spans="1:15" x14ac:dyDescent="0.35">
      <c r="A435" t="s">
        <v>34</v>
      </c>
      <c r="B435" s="2">
        <v>131409.9</v>
      </c>
      <c r="C435" s="2">
        <v>115325.33</v>
      </c>
      <c r="D435" s="1">
        <v>44150</v>
      </c>
      <c r="E435" t="s">
        <v>80</v>
      </c>
      <c r="F435" t="s">
        <v>224</v>
      </c>
      <c r="G435" t="s">
        <v>36</v>
      </c>
      <c r="H435" t="s">
        <v>37</v>
      </c>
      <c r="I435" t="s">
        <v>28</v>
      </c>
      <c r="J435" t="s">
        <v>587</v>
      </c>
      <c r="K435" s="2">
        <f>Sales_Export_2019_2020__2[[#This Row],[order_value_GBP]]-Sales_Export_2019_2020__2[[#This Row],[ cost ]]</f>
        <v>16084.569999999992</v>
      </c>
      <c r="L435" t="b">
        <f>COUNTIF(Sales_Export_2019_2020__2[order_id],Sales_Export_2019_2020__2[[#This Row],[order_id]])&gt;1</f>
        <v>0</v>
      </c>
      <c r="M435" t="str">
        <f t="shared" si="6"/>
        <v>£130,000 - £134,999</v>
      </c>
      <c r="N435" t="str" cm="1">
        <f t="array" ref="N43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35">
        <f>FLOOR(Sales_Export_2019_2020__2[[#This Row],[order_value_GBP]],5000)</f>
        <v>130000</v>
      </c>
    </row>
    <row r="436" spans="1:15" x14ac:dyDescent="0.35">
      <c r="A436" t="s">
        <v>23</v>
      </c>
      <c r="B436" s="2">
        <v>133072</v>
      </c>
      <c r="C436" s="2">
        <v>108600.06</v>
      </c>
      <c r="D436" s="1">
        <v>44132</v>
      </c>
      <c r="E436" t="s">
        <v>62</v>
      </c>
      <c r="F436" t="s">
        <v>185</v>
      </c>
      <c r="G436" t="s">
        <v>26</v>
      </c>
      <c r="H436" t="s">
        <v>76</v>
      </c>
      <c r="I436" t="s">
        <v>28</v>
      </c>
      <c r="J436" t="s">
        <v>588</v>
      </c>
      <c r="K436" s="2">
        <f>Sales_Export_2019_2020__2[[#This Row],[order_value_GBP]]-Sales_Export_2019_2020__2[[#This Row],[ cost ]]</f>
        <v>24471.940000000002</v>
      </c>
      <c r="L436" t="b">
        <f>COUNTIF(Sales_Export_2019_2020__2[order_id],Sales_Export_2019_2020__2[[#This Row],[order_id]])&gt;1</f>
        <v>0</v>
      </c>
      <c r="M436" t="str">
        <f t="shared" si="6"/>
        <v>£130,000 - £134,999</v>
      </c>
      <c r="N436" t="str" cm="1">
        <f t="array" ref="N43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36">
        <f>FLOOR(Sales_Export_2019_2020__2[[#This Row],[order_value_GBP]],5000)</f>
        <v>130000</v>
      </c>
    </row>
    <row r="437" spans="1:15" x14ac:dyDescent="0.35">
      <c r="A437" t="s">
        <v>17</v>
      </c>
      <c r="B437" s="2">
        <v>180250.02</v>
      </c>
      <c r="C437" s="2">
        <v>147354.39000000001</v>
      </c>
      <c r="D437" s="1">
        <v>43619</v>
      </c>
      <c r="E437" t="s">
        <v>80</v>
      </c>
      <c r="F437" t="s">
        <v>434</v>
      </c>
      <c r="G437" t="s">
        <v>20</v>
      </c>
      <c r="H437" t="s">
        <v>353</v>
      </c>
      <c r="I437" t="s">
        <v>28</v>
      </c>
      <c r="J437" t="s">
        <v>589</v>
      </c>
      <c r="K437" s="2">
        <f>Sales_Export_2019_2020__2[[#This Row],[order_value_GBP]]-Sales_Export_2019_2020__2[[#This Row],[ cost ]]</f>
        <v>32895.629999999976</v>
      </c>
      <c r="L437" t="b">
        <f>COUNTIF(Sales_Export_2019_2020__2[order_id],Sales_Export_2019_2020__2[[#This Row],[order_id]])&gt;1</f>
        <v>0</v>
      </c>
      <c r="M437" t="str">
        <f t="shared" si="6"/>
        <v>£180,000 - £184,999</v>
      </c>
      <c r="N437" t="str" cm="1">
        <f t="array" ref="N43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437">
        <f>FLOOR(Sales_Export_2019_2020__2[[#This Row],[order_value_GBP]],5000)</f>
        <v>180000</v>
      </c>
    </row>
    <row r="438" spans="1:15" x14ac:dyDescent="0.35">
      <c r="A438" t="s">
        <v>23</v>
      </c>
      <c r="B438" s="2">
        <v>48090.78</v>
      </c>
      <c r="C438" s="2">
        <v>42040.959999999999</v>
      </c>
      <c r="D438" s="1">
        <v>43909</v>
      </c>
      <c r="E438" t="s">
        <v>11</v>
      </c>
      <c r="F438" t="s">
        <v>234</v>
      </c>
      <c r="G438" t="s">
        <v>26</v>
      </c>
      <c r="H438" t="s">
        <v>76</v>
      </c>
      <c r="I438" t="s">
        <v>28</v>
      </c>
      <c r="J438" t="s">
        <v>590</v>
      </c>
      <c r="K438" s="2">
        <f>Sales_Export_2019_2020__2[[#This Row],[order_value_GBP]]-Sales_Export_2019_2020__2[[#This Row],[ cost ]]</f>
        <v>6049.82</v>
      </c>
      <c r="L438" t="b">
        <f>COUNTIF(Sales_Export_2019_2020__2[order_id],Sales_Export_2019_2020__2[[#This Row],[order_id]])&gt;1</f>
        <v>0</v>
      </c>
      <c r="M438" t="str">
        <f t="shared" si="6"/>
        <v>£45,000 - £49,999</v>
      </c>
      <c r="N438" t="str" cm="1">
        <f t="array" ref="N43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38">
        <f>FLOOR(Sales_Export_2019_2020__2[[#This Row],[order_value_GBP]],5000)</f>
        <v>45000</v>
      </c>
    </row>
    <row r="439" spans="1:15" x14ac:dyDescent="0.35">
      <c r="A439" t="s">
        <v>10</v>
      </c>
      <c r="B439" s="2">
        <v>168530.22</v>
      </c>
      <c r="C439" s="2">
        <v>136981.35999999999</v>
      </c>
      <c r="D439" s="1">
        <v>43967</v>
      </c>
      <c r="E439" t="s">
        <v>51</v>
      </c>
      <c r="F439" t="s">
        <v>188</v>
      </c>
      <c r="G439" t="s">
        <v>13</v>
      </c>
      <c r="H439" t="s">
        <v>170</v>
      </c>
      <c r="I439" t="s">
        <v>28</v>
      </c>
      <c r="J439" t="s">
        <v>591</v>
      </c>
      <c r="K439" s="2">
        <f>Sales_Export_2019_2020__2[[#This Row],[order_value_GBP]]-Sales_Export_2019_2020__2[[#This Row],[ cost ]]</f>
        <v>31548.860000000015</v>
      </c>
      <c r="L439" t="b">
        <f>COUNTIF(Sales_Export_2019_2020__2[order_id],Sales_Export_2019_2020__2[[#This Row],[order_id]])&gt;1</f>
        <v>0</v>
      </c>
      <c r="M439" t="str">
        <f t="shared" si="6"/>
        <v>£165,000 - £169,999</v>
      </c>
      <c r="N439" t="str" cm="1">
        <f t="array" ref="N43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39">
        <f>FLOOR(Sales_Export_2019_2020__2[[#This Row],[order_value_GBP]],5000)</f>
        <v>165000</v>
      </c>
    </row>
    <row r="440" spans="1:15" x14ac:dyDescent="0.35">
      <c r="A440" t="s">
        <v>10</v>
      </c>
      <c r="B440" s="2">
        <v>36785.279999999999</v>
      </c>
      <c r="C440" s="2">
        <v>30546.5</v>
      </c>
      <c r="D440" s="1">
        <v>43708</v>
      </c>
      <c r="E440" t="s">
        <v>51</v>
      </c>
      <c r="F440" t="s">
        <v>35</v>
      </c>
      <c r="G440" t="s">
        <v>13</v>
      </c>
      <c r="H440" t="s">
        <v>69</v>
      </c>
      <c r="I440" t="s">
        <v>28</v>
      </c>
      <c r="J440" t="s">
        <v>592</v>
      </c>
      <c r="K440" s="2">
        <f>Sales_Export_2019_2020__2[[#This Row],[order_value_GBP]]-Sales_Export_2019_2020__2[[#This Row],[ cost ]]</f>
        <v>6238.7799999999988</v>
      </c>
      <c r="L440" t="b">
        <f>COUNTIF(Sales_Export_2019_2020__2[order_id],Sales_Export_2019_2020__2[[#This Row],[order_id]])&gt;1</f>
        <v>0</v>
      </c>
      <c r="M440" t="str">
        <f t="shared" si="6"/>
        <v>£35,000 - £39,999</v>
      </c>
      <c r="N440" t="str" cm="1">
        <f t="array" ref="N44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40">
        <f>FLOOR(Sales_Export_2019_2020__2[[#This Row],[order_value_GBP]],5000)</f>
        <v>35000</v>
      </c>
    </row>
    <row r="441" spans="1:15" x14ac:dyDescent="0.35">
      <c r="A441" t="s">
        <v>173</v>
      </c>
      <c r="B441" s="2">
        <v>126409.18</v>
      </c>
      <c r="C441" s="2">
        <v>104692.08</v>
      </c>
      <c r="D441" s="1">
        <v>44108</v>
      </c>
      <c r="E441" t="s">
        <v>60</v>
      </c>
      <c r="F441" t="s">
        <v>121</v>
      </c>
      <c r="G441" t="s">
        <v>175</v>
      </c>
      <c r="H441" t="s">
        <v>176</v>
      </c>
      <c r="I441" t="s">
        <v>28</v>
      </c>
      <c r="J441" t="s">
        <v>593</v>
      </c>
      <c r="K441" s="2">
        <f>Sales_Export_2019_2020__2[[#This Row],[order_value_GBP]]-Sales_Export_2019_2020__2[[#This Row],[ cost ]]</f>
        <v>21717.099999999991</v>
      </c>
      <c r="L441" t="b">
        <f>COUNTIF(Sales_Export_2019_2020__2[order_id],Sales_Export_2019_2020__2[[#This Row],[order_id]])&gt;1</f>
        <v>0</v>
      </c>
      <c r="M441" t="str">
        <f t="shared" si="6"/>
        <v>£125,000 - £129,999</v>
      </c>
      <c r="N441" t="str" cm="1">
        <f t="array" ref="N44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41">
        <f>FLOOR(Sales_Export_2019_2020__2[[#This Row],[order_value_GBP]],5000)</f>
        <v>125000</v>
      </c>
    </row>
    <row r="442" spans="1:15" x14ac:dyDescent="0.35">
      <c r="A442" t="s">
        <v>23</v>
      </c>
      <c r="B442" s="2">
        <v>49990.720000000001</v>
      </c>
      <c r="C442" s="2">
        <v>42927.03</v>
      </c>
      <c r="D442" s="1">
        <v>43834</v>
      </c>
      <c r="E442" t="s">
        <v>80</v>
      </c>
      <c r="F442" t="s">
        <v>71</v>
      </c>
      <c r="G442" t="s">
        <v>26</v>
      </c>
      <c r="H442" t="s">
        <v>27</v>
      </c>
      <c r="I442" t="s">
        <v>28</v>
      </c>
      <c r="J442" t="s">
        <v>594</v>
      </c>
      <c r="K442" s="2">
        <f>Sales_Export_2019_2020__2[[#This Row],[order_value_GBP]]-Sales_Export_2019_2020__2[[#This Row],[ cost ]]</f>
        <v>7063.6900000000023</v>
      </c>
      <c r="L442" t="b">
        <f>COUNTIF(Sales_Export_2019_2020__2[order_id],Sales_Export_2019_2020__2[[#This Row],[order_id]])&gt;1</f>
        <v>0</v>
      </c>
      <c r="M442" t="str">
        <f t="shared" si="6"/>
        <v>£45,000 - £49,999</v>
      </c>
      <c r="N442" t="str" cm="1">
        <f t="array" ref="N44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42">
        <f>FLOOR(Sales_Export_2019_2020__2[[#This Row],[order_value_GBP]],5000)</f>
        <v>45000</v>
      </c>
    </row>
    <row r="443" spans="1:15" x14ac:dyDescent="0.35">
      <c r="A443" t="s">
        <v>10</v>
      </c>
      <c r="B443" s="2">
        <v>36644.050000000003</v>
      </c>
      <c r="C443" s="2">
        <v>30491.51</v>
      </c>
      <c r="D443" s="1">
        <v>44155</v>
      </c>
      <c r="E443" t="s">
        <v>24</v>
      </c>
      <c r="F443" t="s">
        <v>25</v>
      </c>
      <c r="G443" t="s">
        <v>13</v>
      </c>
      <c r="H443" t="s">
        <v>118</v>
      </c>
      <c r="I443" t="s">
        <v>28</v>
      </c>
      <c r="J443" t="s">
        <v>595</v>
      </c>
      <c r="K443" s="2">
        <f>Sales_Export_2019_2020__2[[#This Row],[order_value_GBP]]-Sales_Export_2019_2020__2[[#This Row],[ cost ]]</f>
        <v>6152.5400000000045</v>
      </c>
      <c r="L443" t="b">
        <f>COUNTIF(Sales_Export_2019_2020__2[order_id],Sales_Export_2019_2020__2[[#This Row],[order_id]])&gt;1</f>
        <v>0</v>
      </c>
      <c r="M443" t="str">
        <f t="shared" si="6"/>
        <v>£35,000 - £39,999</v>
      </c>
      <c r="N443" t="str" cm="1">
        <f t="array" ref="N44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43">
        <f>FLOOR(Sales_Export_2019_2020__2[[#This Row],[order_value_GBP]],5000)</f>
        <v>35000</v>
      </c>
    </row>
    <row r="444" spans="1:15" x14ac:dyDescent="0.35">
      <c r="A444" t="s">
        <v>10</v>
      </c>
      <c r="B444" s="2">
        <v>115226.8</v>
      </c>
      <c r="C444" s="2">
        <v>94336.18</v>
      </c>
      <c r="D444" s="1">
        <v>43600</v>
      </c>
      <c r="E444" t="s">
        <v>30</v>
      </c>
      <c r="F444" t="s">
        <v>64</v>
      </c>
      <c r="G444" t="s">
        <v>13</v>
      </c>
      <c r="H444" t="s">
        <v>170</v>
      </c>
      <c r="I444" t="s">
        <v>28</v>
      </c>
      <c r="J444" t="s">
        <v>596</v>
      </c>
      <c r="K444" s="2">
        <f>Sales_Export_2019_2020__2[[#This Row],[order_value_GBP]]-Sales_Export_2019_2020__2[[#This Row],[ cost ]]</f>
        <v>20890.62000000001</v>
      </c>
      <c r="L444" t="b">
        <f>COUNTIF(Sales_Export_2019_2020__2[order_id],Sales_Export_2019_2020__2[[#This Row],[order_id]])&gt;1</f>
        <v>0</v>
      </c>
      <c r="M444" t="str">
        <f t="shared" si="6"/>
        <v>£115,000 - £119,999</v>
      </c>
      <c r="N444" t="str" cm="1">
        <f t="array" ref="N44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44">
        <f>FLOOR(Sales_Export_2019_2020__2[[#This Row],[order_value_GBP]],5000)</f>
        <v>115000</v>
      </c>
    </row>
    <row r="445" spans="1:15" x14ac:dyDescent="0.35">
      <c r="A445" t="s">
        <v>17</v>
      </c>
      <c r="B445" s="2">
        <v>154078.75</v>
      </c>
      <c r="C445" s="2">
        <v>131336.73000000001</v>
      </c>
      <c r="D445" s="1">
        <v>44079</v>
      </c>
      <c r="E445" t="s">
        <v>11</v>
      </c>
      <c r="F445" t="s">
        <v>265</v>
      </c>
      <c r="G445" t="s">
        <v>20</v>
      </c>
      <c r="H445" t="s">
        <v>21</v>
      </c>
      <c r="I445" t="s">
        <v>28</v>
      </c>
      <c r="J445" t="s">
        <v>597</v>
      </c>
      <c r="K445" s="2">
        <f>Sales_Export_2019_2020__2[[#This Row],[order_value_GBP]]-Sales_Export_2019_2020__2[[#This Row],[ cost ]]</f>
        <v>22742.01999999999</v>
      </c>
      <c r="L445" t="b">
        <f>COUNTIF(Sales_Export_2019_2020__2[order_id],Sales_Export_2019_2020__2[[#This Row],[order_id]])&gt;1</f>
        <v>0</v>
      </c>
      <c r="M445" t="str">
        <f t="shared" si="6"/>
        <v>£150,000 - £154,999</v>
      </c>
      <c r="N445" t="str" cm="1">
        <f t="array" ref="N44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45">
        <f>FLOOR(Sales_Export_2019_2020__2[[#This Row],[order_value_GBP]],5000)</f>
        <v>150000</v>
      </c>
    </row>
    <row r="446" spans="1:15" x14ac:dyDescent="0.35">
      <c r="A446" t="s">
        <v>101</v>
      </c>
      <c r="B446" s="2">
        <v>80328.160000000003</v>
      </c>
      <c r="C446" s="2">
        <v>65836.960000000006</v>
      </c>
      <c r="D446" s="1">
        <v>44097</v>
      </c>
      <c r="E446" t="s">
        <v>18</v>
      </c>
      <c r="F446" t="s">
        <v>47</v>
      </c>
      <c r="G446" t="s">
        <v>103</v>
      </c>
      <c r="H446" t="s">
        <v>162</v>
      </c>
      <c r="I446" t="s">
        <v>28</v>
      </c>
      <c r="J446" t="s">
        <v>598</v>
      </c>
      <c r="K446" s="2">
        <f>Sales_Export_2019_2020__2[[#This Row],[order_value_GBP]]-Sales_Export_2019_2020__2[[#This Row],[ cost ]]</f>
        <v>14491.199999999997</v>
      </c>
      <c r="L446" t="b">
        <f>COUNTIF(Sales_Export_2019_2020__2[order_id],Sales_Export_2019_2020__2[[#This Row],[order_id]])&gt;1</f>
        <v>0</v>
      </c>
      <c r="M446" t="str">
        <f t="shared" si="6"/>
        <v>£80,000 - £84,999</v>
      </c>
      <c r="N446" t="str" cm="1">
        <f t="array" ref="N44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46">
        <f>FLOOR(Sales_Export_2019_2020__2[[#This Row],[order_value_GBP]],5000)</f>
        <v>80000</v>
      </c>
    </row>
    <row r="447" spans="1:15" x14ac:dyDescent="0.35">
      <c r="A447" t="s">
        <v>23</v>
      </c>
      <c r="B447" s="2">
        <v>99832.12</v>
      </c>
      <c r="C447" s="2">
        <v>84128.53</v>
      </c>
      <c r="D447" s="1">
        <v>43600</v>
      </c>
      <c r="E447" t="s">
        <v>51</v>
      </c>
      <c r="F447" t="s">
        <v>302</v>
      </c>
      <c r="G447" t="s">
        <v>26</v>
      </c>
      <c r="H447" t="s">
        <v>32</v>
      </c>
      <c r="I447" t="s">
        <v>28</v>
      </c>
      <c r="J447" t="s">
        <v>599</v>
      </c>
      <c r="K447" s="2">
        <f>Sales_Export_2019_2020__2[[#This Row],[order_value_GBP]]-Sales_Export_2019_2020__2[[#This Row],[ cost ]]</f>
        <v>15703.589999999997</v>
      </c>
      <c r="L447" t="b">
        <f>COUNTIF(Sales_Export_2019_2020__2[order_id],Sales_Export_2019_2020__2[[#This Row],[order_id]])&gt;1</f>
        <v>0</v>
      </c>
      <c r="M447" t="str">
        <f t="shared" si="6"/>
        <v>£95,000 - £99,999</v>
      </c>
      <c r="N447" t="str" cm="1">
        <f t="array" ref="N44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47">
        <f>FLOOR(Sales_Export_2019_2020__2[[#This Row],[order_value_GBP]],5000)</f>
        <v>95000</v>
      </c>
    </row>
    <row r="448" spans="1:15" x14ac:dyDescent="0.35">
      <c r="A448" t="s">
        <v>17</v>
      </c>
      <c r="B448" s="2">
        <v>133057.07</v>
      </c>
      <c r="C448" s="2">
        <v>113351.32</v>
      </c>
      <c r="D448" s="1">
        <v>43954</v>
      </c>
      <c r="E448" t="s">
        <v>139</v>
      </c>
      <c r="F448" t="s">
        <v>89</v>
      </c>
      <c r="G448" t="s">
        <v>20</v>
      </c>
      <c r="H448" t="s">
        <v>21</v>
      </c>
      <c r="I448" t="s">
        <v>28</v>
      </c>
      <c r="J448" t="s">
        <v>600</v>
      </c>
      <c r="K448" s="2">
        <f>Sales_Export_2019_2020__2[[#This Row],[order_value_GBP]]-Sales_Export_2019_2020__2[[#This Row],[ cost ]]</f>
        <v>19705.75</v>
      </c>
      <c r="L448" t="b">
        <f>COUNTIF(Sales_Export_2019_2020__2[order_id],Sales_Export_2019_2020__2[[#This Row],[order_id]])&gt;1</f>
        <v>0</v>
      </c>
      <c r="M448" t="str">
        <f t="shared" si="6"/>
        <v>£130,000 - £134,999</v>
      </c>
      <c r="N448" t="str" cm="1">
        <f t="array" ref="N44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48">
        <f>FLOOR(Sales_Export_2019_2020__2[[#This Row],[order_value_GBP]],5000)</f>
        <v>130000</v>
      </c>
    </row>
    <row r="449" spans="1:15" x14ac:dyDescent="0.35">
      <c r="A449" t="s">
        <v>173</v>
      </c>
      <c r="B449" s="2">
        <v>80719.44</v>
      </c>
      <c r="C449" s="2">
        <v>64422.19</v>
      </c>
      <c r="D449" s="1">
        <v>43505</v>
      </c>
      <c r="E449" t="s">
        <v>51</v>
      </c>
      <c r="F449" t="s">
        <v>35</v>
      </c>
      <c r="G449" t="s">
        <v>175</v>
      </c>
      <c r="H449" t="s">
        <v>176</v>
      </c>
      <c r="I449" t="s">
        <v>28</v>
      </c>
      <c r="J449" t="s">
        <v>601</v>
      </c>
      <c r="K449" s="2">
        <f>Sales_Export_2019_2020__2[[#This Row],[order_value_GBP]]-Sales_Export_2019_2020__2[[#This Row],[ cost ]]</f>
        <v>16297.25</v>
      </c>
      <c r="L449" t="b">
        <f>COUNTIF(Sales_Export_2019_2020__2[order_id],Sales_Export_2019_2020__2[[#This Row],[order_id]])&gt;1</f>
        <v>0</v>
      </c>
      <c r="M449" t="str">
        <f t="shared" si="6"/>
        <v>£80,000 - £84,999</v>
      </c>
      <c r="N449" t="str" cm="1">
        <f t="array" ref="N44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49">
        <f>FLOOR(Sales_Export_2019_2020__2[[#This Row],[order_value_GBP]],5000)</f>
        <v>80000</v>
      </c>
    </row>
    <row r="450" spans="1:15" x14ac:dyDescent="0.35">
      <c r="A450" t="s">
        <v>53</v>
      </c>
      <c r="B450" s="2">
        <v>124534.96</v>
      </c>
      <c r="C450" s="2">
        <v>107012.89</v>
      </c>
      <c r="D450" s="1">
        <v>44030</v>
      </c>
      <c r="E450" t="s">
        <v>11</v>
      </c>
      <c r="F450" t="s">
        <v>210</v>
      </c>
      <c r="G450" t="s">
        <v>55</v>
      </c>
      <c r="H450" t="s">
        <v>56</v>
      </c>
      <c r="I450" t="s">
        <v>28</v>
      </c>
      <c r="J450" t="s">
        <v>602</v>
      </c>
      <c r="K450" s="2">
        <f>Sales_Export_2019_2020__2[[#This Row],[order_value_GBP]]-Sales_Export_2019_2020__2[[#This Row],[ cost ]]</f>
        <v>17522.070000000007</v>
      </c>
      <c r="L450" t="b">
        <f>COUNTIF(Sales_Export_2019_2020__2[order_id],Sales_Export_2019_2020__2[[#This Row],[order_id]])&gt;1</f>
        <v>0</v>
      </c>
      <c r="M450" t="str">
        <f t="shared" ref="M450:M513" si="7">TEXT(FLOOR(B450,5000),"£#,##0")&amp;" - "&amp;TEXT(FLOOR(B450,5000)+4999,"£#,##0")</f>
        <v>£120,000 - £124,999</v>
      </c>
      <c r="N450" t="str" cm="1">
        <f t="array" ref="N45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50">
        <f>FLOOR(Sales_Export_2019_2020__2[[#This Row],[order_value_GBP]],5000)</f>
        <v>120000</v>
      </c>
    </row>
    <row r="451" spans="1:15" x14ac:dyDescent="0.35">
      <c r="A451" t="s">
        <v>10</v>
      </c>
      <c r="B451" s="2">
        <v>67611.539999999994</v>
      </c>
      <c r="C451" s="2">
        <v>56191.95</v>
      </c>
      <c r="D451" s="1">
        <v>43768</v>
      </c>
      <c r="E451" t="s">
        <v>24</v>
      </c>
      <c r="F451" t="s">
        <v>234</v>
      </c>
      <c r="G451" t="s">
        <v>13</v>
      </c>
      <c r="H451" t="s">
        <v>118</v>
      </c>
      <c r="I451" t="s">
        <v>28</v>
      </c>
      <c r="J451" t="s">
        <v>603</v>
      </c>
      <c r="K451" s="2">
        <f>Sales_Export_2019_2020__2[[#This Row],[order_value_GBP]]-Sales_Export_2019_2020__2[[#This Row],[ cost ]]</f>
        <v>11419.589999999997</v>
      </c>
      <c r="L451" t="b">
        <f>COUNTIF(Sales_Export_2019_2020__2[order_id],Sales_Export_2019_2020__2[[#This Row],[order_id]])&gt;1</f>
        <v>0</v>
      </c>
      <c r="M451" t="str">
        <f t="shared" si="7"/>
        <v>£65,000 - £69,999</v>
      </c>
      <c r="N451" t="str" cm="1">
        <f t="array" ref="N45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51">
        <f>FLOOR(Sales_Export_2019_2020__2[[#This Row],[order_value_GBP]],5000)</f>
        <v>65000</v>
      </c>
    </row>
    <row r="452" spans="1:15" x14ac:dyDescent="0.35">
      <c r="A452" t="s">
        <v>53</v>
      </c>
      <c r="B452" s="2">
        <v>132760.25</v>
      </c>
      <c r="C452" s="2">
        <v>105039.91</v>
      </c>
      <c r="D452" s="1">
        <v>43837</v>
      </c>
      <c r="E452" t="s">
        <v>30</v>
      </c>
      <c r="F452" t="s">
        <v>58</v>
      </c>
      <c r="G452" t="s">
        <v>55</v>
      </c>
      <c r="H452" t="s">
        <v>128</v>
      </c>
      <c r="I452" t="s">
        <v>28</v>
      </c>
      <c r="J452" t="s">
        <v>604</v>
      </c>
      <c r="K452" s="2">
        <f>Sales_Export_2019_2020__2[[#This Row],[order_value_GBP]]-Sales_Export_2019_2020__2[[#This Row],[ cost ]]</f>
        <v>27720.339999999997</v>
      </c>
      <c r="L452" t="b">
        <f>COUNTIF(Sales_Export_2019_2020__2[order_id],Sales_Export_2019_2020__2[[#This Row],[order_id]])&gt;1</f>
        <v>0</v>
      </c>
      <c r="M452" t="str">
        <f t="shared" si="7"/>
        <v>£130,000 - £134,999</v>
      </c>
      <c r="N452" t="str" cm="1">
        <f t="array" ref="N45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52">
        <f>FLOOR(Sales_Export_2019_2020__2[[#This Row],[order_value_GBP]],5000)</f>
        <v>130000</v>
      </c>
    </row>
    <row r="453" spans="1:15" x14ac:dyDescent="0.35">
      <c r="A453" t="s">
        <v>53</v>
      </c>
      <c r="B453" s="2">
        <v>177802.7</v>
      </c>
      <c r="C453" s="2">
        <v>155079.51</v>
      </c>
      <c r="D453" s="1">
        <v>43664</v>
      </c>
      <c r="E453" t="s">
        <v>139</v>
      </c>
      <c r="F453" t="s">
        <v>25</v>
      </c>
      <c r="G453" t="s">
        <v>55</v>
      </c>
      <c r="H453" t="s">
        <v>72</v>
      </c>
      <c r="I453" t="s">
        <v>28</v>
      </c>
      <c r="J453" t="s">
        <v>605</v>
      </c>
      <c r="K453" s="2">
        <f>Sales_Export_2019_2020__2[[#This Row],[order_value_GBP]]-Sales_Export_2019_2020__2[[#This Row],[ cost ]]</f>
        <v>22723.190000000002</v>
      </c>
      <c r="L453" t="b">
        <f>COUNTIF(Sales_Export_2019_2020__2[order_id],Sales_Export_2019_2020__2[[#This Row],[order_id]])&gt;1</f>
        <v>0</v>
      </c>
      <c r="M453" t="str">
        <f t="shared" si="7"/>
        <v>£175,000 - £179,999</v>
      </c>
      <c r="N453" t="str" cm="1">
        <f t="array" ref="N45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453">
        <f>FLOOR(Sales_Export_2019_2020__2[[#This Row],[order_value_GBP]],5000)</f>
        <v>175000</v>
      </c>
    </row>
    <row r="454" spans="1:15" x14ac:dyDescent="0.35">
      <c r="A454" t="s">
        <v>101</v>
      </c>
      <c r="B454" s="2">
        <v>98963.03</v>
      </c>
      <c r="C454" s="2">
        <v>80367.88</v>
      </c>
      <c r="D454" s="1">
        <v>44116</v>
      </c>
      <c r="E454" t="s">
        <v>46</v>
      </c>
      <c r="F454" t="s">
        <v>606</v>
      </c>
      <c r="G454" t="s">
        <v>103</v>
      </c>
      <c r="H454" t="s">
        <v>162</v>
      </c>
      <c r="I454" t="s">
        <v>28</v>
      </c>
      <c r="J454" t="s">
        <v>607</v>
      </c>
      <c r="K454" s="2">
        <f>Sales_Export_2019_2020__2[[#This Row],[order_value_GBP]]-Sales_Export_2019_2020__2[[#This Row],[ cost ]]</f>
        <v>18595.149999999994</v>
      </c>
      <c r="L454" t="b">
        <f>COUNTIF(Sales_Export_2019_2020__2[order_id],Sales_Export_2019_2020__2[[#This Row],[order_id]])&gt;1</f>
        <v>0</v>
      </c>
      <c r="M454" t="str">
        <f t="shared" si="7"/>
        <v>£95,000 - £99,999</v>
      </c>
      <c r="N454" t="str" cm="1">
        <f t="array" ref="N45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54">
        <f>FLOOR(Sales_Export_2019_2020__2[[#This Row],[order_value_GBP]],5000)</f>
        <v>95000</v>
      </c>
    </row>
    <row r="455" spans="1:15" x14ac:dyDescent="0.35">
      <c r="A455" t="s">
        <v>101</v>
      </c>
      <c r="B455" s="2">
        <v>126582.5</v>
      </c>
      <c r="C455" s="2">
        <v>103683.73</v>
      </c>
      <c r="D455" s="1">
        <v>43878</v>
      </c>
      <c r="E455" t="s">
        <v>30</v>
      </c>
      <c r="F455" t="s">
        <v>71</v>
      </c>
      <c r="G455" t="s">
        <v>103</v>
      </c>
      <c r="H455" t="s">
        <v>162</v>
      </c>
      <c r="I455" t="s">
        <v>28</v>
      </c>
      <c r="J455" t="s">
        <v>608</v>
      </c>
      <c r="K455" s="2">
        <f>Sales_Export_2019_2020__2[[#This Row],[order_value_GBP]]-Sales_Export_2019_2020__2[[#This Row],[ cost ]]</f>
        <v>22898.770000000004</v>
      </c>
      <c r="L455" t="b">
        <f>COUNTIF(Sales_Export_2019_2020__2[order_id],Sales_Export_2019_2020__2[[#This Row],[order_id]])&gt;1</f>
        <v>0</v>
      </c>
      <c r="M455" t="str">
        <f t="shared" si="7"/>
        <v>£125,000 - £129,999</v>
      </c>
      <c r="N455" t="str" cm="1">
        <f t="array" ref="N45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55">
        <f>FLOOR(Sales_Export_2019_2020__2[[#This Row],[order_value_GBP]],5000)</f>
        <v>125000</v>
      </c>
    </row>
    <row r="456" spans="1:15" x14ac:dyDescent="0.35">
      <c r="A456" t="s">
        <v>23</v>
      </c>
      <c r="B456" s="2">
        <v>141965.10999999999</v>
      </c>
      <c r="C456" s="2">
        <v>119193.91</v>
      </c>
      <c r="D456" s="1">
        <v>43726</v>
      </c>
      <c r="E456" t="s">
        <v>30</v>
      </c>
      <c r="F456" t="s">
        <v>368</v>
      </c>
      <c r="G456" t="s">
        <v>26</v>
      </c>
      <c r="H456" t="s">
        <v>90</v>
      </c>
      <c r="I456" t="s">
        <v>28</v>
      </c>
      <c r="J456" t="s">
        <v>609</v>
      </c>
      <c r="K456" s="2">
        <f>Sales_Export_2019_2020__2[[#This Row],[order_value_GBP]]-Sales_Export_2019_2020__2[[#This Row],[ cost ]]</f>
        <v>22771.199999999983</v>
      </c>
      <c r="L456" t="b">
        <f>COUNTIF(Sales_Export_2019_2020__2[order_id],Sales_Export_2019_2020__2[[#This Row],[order_id]])&gt;1</f>
        <v>0</v>
      </c>
      <c r="M456" t="str">
        <f t="shared" si="7"/>
        <v>£140,000 - £144,999</v>
      </c>
      <c r="N456" t="str" cm="1">
        <f t="array" ref="N45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56">
        <f>FLOOR(Sales_Export_2019_2020__2[[#This Row],[order_value_GBP]],5000)</f>
        <v>140000</v>
      </c>
    </row>
    <row r="457" spans="1:15" x14ac:dyDescent="0.35">
      <c r="A457" t="s">
        <v>173</v>
      </c>
      <c r="B457" s="2">
        <v>167301.51999999999</v>
      </c>
      <c r="C457" s="2">
        <v>147074.76999999999</v>
      </c>
      <c r="D457" s="1">
        <v>43591</v>
      </c>
      <c r="E457" t="s">
        <v>62</v>
      </c>
      <c r="F457" t="s">
        <v>158</v>
      </c>
      <c r="G457" t="s">
        <v>175</v>
      </c>
      <c r="H457" t="s">
        <v>176</v>
      </c>
      <c r="I457" t="s">
        <v>28</v>
      </c>
      <c r="J457" t="s">
        <v>610</v>
      </c>
      <c r="K457" s="2">
        <f>Sales_Export_2019_2020__2[[#This Row],[order_value_GBP]]-Sales_Export_2019_2020__2[[#This Row],[ cost ]]</f>
        <v>20226.75</v>
      </c>
      <c r="L457" t="b">
        <f>COUNTIF(Sales_Export_2019_2020__2[order_id],Sales_Export_2019_2020__2[[#This Row],[order_id]])&gt;1</f>
        <v>0</v>
      </c>
      <c r="M457" t="str">
        <f t="shared" si="7"/>
        <v>£165,000 - £169,999</v>
      </c>
      <c r="N457" t="str" cm="1">
        <f t="array" ref="N45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57">
        <f>FLOOR(Sales_Export_2019_2020__2[[#This Row],[order_value_GBP]],5000)</f>
        <v>165000</v>
      </c>
    </row>
    <row r="458" spans="1:15" x14ac:dyDescent="0.35">
      <c r="A458" t="s">
        <v>53</v>
      </c>
      <c r="B458" s="2">
        <v>133985.91</v>
      </c>
      <c r="C458" s="2">
        <v>116741.92</v>
      </c>
      <c r="D458" s="1">
        <v>43480</v>
      </c>
      <c r="E458" t="s">
        <v>24</v>
      </c>
      <c r="F458" t="s">
        <v>234</v>
      </c>
      <c r="G458" t="s">
        <v>55</v>
      </c>
      <c r="H458" t="s">
        <v>72</v>
      </c>
      <c r="I458" t="s">
        <v>28</v>
      </c>
      <c r="J458" t="s">
        <v>611</v>
      </c>
      <c r="K458" s="2">
        <f>Sales_Export_2019_2020__2[[#This Row],[order_value_GBP]]-Sales_Export_2019_2020__2[[#This Row],[ cost ]]</f>
        <v>17243.990000000005</v>
      </c>
      <c r="L458" t="b">
        <f>COUNTIF(Sales_Export_2019_2020__2[order_id],Sales_Export_2019_2020__2[[#This Row],[order_id]])&gt;1</f>
        <v>0</v>
      </c>
      <c r="M458" t="str">
        <f t="shared" si="7"/>
        <v>£130,000 - £134,999</v>
      </c>
      <c r="N458" t="str" cm="1">
        <f t="array" ref="N45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58">
        <f>FLOOR(Sales_Export_2019_2020__2[[#This Row],[order_value_GBP]],5000)</f>
        <v>130000</v>
      </c>
    </row>
    <row r="459" spans="1:15" x14ac:dyDescent="0.35">
      <c r="A459" t="s">
        <v>53</v>
      </c>
      <c r="B459" s="2">
        <v>91540.03</v>
      </c>
      <c r="C459" s="2">
        <v>74916.36</v>
      </c>
      <c r="D459" s="1">
        <v>43717</v>
      </c>
      <c r="E459" t="s">
        <v>24</v>
      </c>
      <c r="F459" t="s">
        <v>234</v>
      </c>
      <c r="G459" t="s">
        <v>55</v>
      </c>
      <c r="H459" t="s">
        <v>133</v>
      </c>
      <c r="I459" t="s">
        <v>28</v>
      </c>
      <c r="J459" t="s">
        <v>612</v>
      </c>
      <c r="K459" s="2">
        <f>Sales_Export_2019_2020__2[[#This Row],[order_value_GBP]]-Sales_Export_2019_2020__2[[#This Row],[ cost ]]</f>
        <v>16623.669999999998</v>
      </c>
      <c r="L459" t="b">
        <f>COUNTIF(Sales_Export_2019_2020__2[order_id],Sales_Export_2019_2020__2[[#This Row],[order_id]])&gt;1</f>
        <v>0</v>
      </c>
      <c r="M459" t="str">
        <f t="shared" si="7"/>
        <v>£90,000 - £94,999</v>
      </c>
      <c r="N459" t="str" cm="1">
        <f t="array" ref="N45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59">
        <f>FLOOR(Sales_Export_2019_2020__2[[#This Row],[order_value_GBP]],5000)</f>
        <v>90000</v>
      </c>
    </row>
    <row r="460" spans="1:15" x14ac:dyDescent="0.35">
      <c r="A460" t="s">
        <v>45</v>
      </c>
      <c r="B460" s="2">
        <v>146055.04999999999</v>
      </c>
      <c r="C460" s="2">
        <v>117822.61</v>
      </c>
      <c r="D460" s="1">
        <v>43745</v>
      </c>
      <c r="E460" t="s">
        <v>24</v>
      </c>
      <c r="F460" t="s">
        <v>434</v>
      </c>
      <c r="G460" t="s">
        <v>48</v>
      </c>
      <c r="H460" t="s">
        <v>49</v>
      </c>
      <c r="I460" t="s">
        <v>38</v>
      </c>
      <c r="J460" t="s">
        <v>613</v>
      </c>
      <c r="K460" s="2">
        <f>Sales_Export_2019_2020__2[[#This Row],[order_value_GBP]]-Sales_Export_2019_2020__2[[#This Row],[ cost ]]</f>
        <v>28232.439999999988</v>
      </c>
      <c r="L460" t="b">
        <f>COUNTIF(Sales_Export_2019_2020__2[order_id],Sales_Export_2019_2020__2[[#This Row],[order_id]])&gt;1</f>
        <v>0</v>
      </c>
      <c r="M460" t="str">
        <f t="shared" si="7"/>
        <v>£145,000 - £149,999</v>
      </c>
      <c r="N460" t="str" cm="1">
        <f t="array" ref="N46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60">
        <f>FLOOR(Sales_Export_2019_2020__2[[#This Row],[order_value_GBP]],5000)</f>
        <v>145000</v>
      </c>
    </row>
    <row r="461" spans="1:15" x14ac:dyDescent="0.35">
      <c r="A461" t="s">
        <v>10</v>
      </c>
      <c r="B461" s="2">
        <v>113586.11</v>
      </c>
      <c r="C461" s="2">
        <v>91641.27</v>
      </c>
      <c r="D461" s="1">
        <v>43515</v>
      </c>
      <c r="E461" t="s">
        <v>62</v>
      </c>
      <c r="F461" t="s">
        <v>123</v>
      </c>
      <c r="G461" t="s">
        <v>13</v>
      </c>
      <c r="H461" t="s">
        <v>170</v>
      </c>
      <c r="I461" t="s">
        <v>15</v>
      </c>
      <c r="J461" t="s">
        <v>614</v>
      </c>
      <c r="K461" s="2">
        <f>Sales_Export_2019_2020__2[[#This Row],[order_value_GBP]]-Sales_Export_2019_2020__2[[#This Row],[ cost ]]</f>
        <v>21944.839999999997</v>
      </c>
      <c r="L461" t="b">
        <f>COUNTIF(Sales_Export_2019_2020__2[order_id],Sales_Export_2019_2020__2[[#This Row],[order_id]])&gt;1</f>
        <v>0</v>
      </c>
      <c r="M461" t="str">
        <f t="shared" si="7"/>
        <v>£110,000 - £114,999</v>
      </c>
      <c r="N461" t="str" cm="1">
        <f t="array" ref="N46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61">
        <f>FLOOR(Sales_Export_2019_2020__2[[#This Row],[order_value_GBP]],5000)</f>
        <v>110000</v>
      </c>
    </row>
    <row r="462" spans="1:15" x14ac:dyDescent="0.35">
      <c r="A462" t="s">
        <v>173</v>
      </c>
      <c r="B462" s="2">
        <v>135662.46</v>
      </c>
      <c r="C462" s="2">
        <v>116764.68</v>
      </c>
      <c r="D462" s="1">
        <v>43953</v>
      </c>
      <c r="E462" t="s">
        <v>30</v>
      </c>
      <c r="F462" t="s">
        <v>254</v>
      </c>
      <c r="G462" t="s">
        <v>175</v>
      </c>
      <c r="H462" t="s">
        <v>212</v>
      </c>
      <c r="I462" t="s">
        <v>28</v>
      </c>
      <c r="J462" t="s">
        <v>615</v>
      </c>
      <c r="K462" s="2">
        <f>Sales_Export_2019_2020__2[[#This Row],[order_value_GBP]]-Sales_Export_2019_2020__2[[#This Row],[ cost ]]</f>
        <v>18897.78</v>
      </c>
      <c r="L462" t="b">
        <f>COUNTIF(Sales_Export_2019_2020__2[order_id],Sales_Export_2019_2020__2[[#This Row],[order_id]])&gt;1</f>
        <v>0</v>
      </c>
      <c r="M462" t="str">
        <f t="shared" si="7"/>
        <v>£135,000 - £139,999</v>
      </c>
      <c r="N462" t="str" cm="1">
        <f t="array" ref="N46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62">
        <f>FLOOR(Sales_Export_2019_2020__2[[#This Row],[order_value_GBP]],5000)</f>
        <v>135000</v>
      </c>
    </row>
    <row r="463" spans="1:15" x14ac:dyDescent="0.35">
      <c r="A463" t="s">
        <v>23</v>
      </c>
      <c r="B463" s="2">
        <v>113781.45</v>
      </c>
      <c r="C463" s="2">
        <v>91104.81</v>
      </c>
      <c r="D463" s="1">
        <v>43746</v>
      </c>
      <c r="E463" t="s">
        <v>11</v>
      </c>
      <c r="F463" t="s">
        <v>180</v>
      </c>
      <c r="G463" t="s">
        <v>26</v>
      </c>
      <c r="H463" t="s">
        <v>32</v>
      </c>
      <c r="I463" t="s">
        <v>28</v>
      </c>
      <c r="J463" t="s">
        <v>616</v>
      </c>
      <c r="K463" s="2">
        <f>Sales_Export_2019_2020__2[[#This Row],[order_value_GBP]]-Sales_Export_2019_2020__2[[#This Row],[ cost ]]</f>
        <v>22676.639999999999</v>
      </c>
      <c r="L463" t="b">
        <f>COUNTIF(Sales_Export_2019_2020__2[order_id],Sales_Export_2019_2020__2[[#This Row],[order_id]])&gt;1</f>
        <v>0</v>
      </c>
      <c r="M463" t="str">
        <f t="shared" si="7"/>
        <v>£110,000 - £114,999</v>
      </c>
      <c r="N463" t="str" cm="1">
        <f t="array" ref="N46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63">
        <f>FLOOR(Sales_Export_2019_2020__2[[#This Row],[order_value_GBP]],5000)</f>
        <v>110000</v>
      </c>
    </row>
    <row r="464" spans="1:15" x14ac:dyDescent="0.35">
      <c r="A464" t="s">
        <v>53</v>
      </c>
      <c r="B464" s="2">
        <v>111462.88</v>
      </c>
      <c r="C464" s="2">
        <v>94130.4</v>
      </c>
      <c r="D464" s="1">
        <v>44077</v>
      </c>
      <c r="E464" t="s">
        <v>62</v>
      </c>
      <c r="F464" t="s">
        <v>89</v>
      </c>
      <c r="G464" t="s">
        <v>55</v>
      </c>
      <c r="H464" t="s">
        <v>144</v>
      </c>
      <c r="I464" t="s">
        <v>38</v>
      </c>
      <c r="J464" t="s">
        <v>617</v>
      </c>
      <c r="K464" s="2">
        <f>Sales_Export_2019_2020__2[[#This Row],[order_value_GBP]]-Sales_Export_2019_2020__2[[#This Row],[ cost ]]</f>
        <v>17332.48000000001</v>
      </c>
      <c r="L464" t="b">
        <f>COUNTIF(Sales_Export_2019_2020__2[order_id],Sales_Export_2019_2020__2[[#This Row],[order_id]])&gt;1</f>
        <v>0</v>
      </c>
      <c r="M464" t="str">
        <f t="shared" si="7"/>
        <v>£110,000 - £114,999</v>
      </c>
      <c r="N464" t="str" cm="1">
        <f t="array" ref="N46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64">
        <f>FLOOR(Sales_Export_2019_2020__2[[#This Row],[order_value_GBP]],5000)</f>
        <v>110000</v>
      </c>
    </row>
    <row r="465" spans="1:15" x14ac:dyDescent="0.35">
      <c r="A465" t="s">
        <v>45</v>
      </c>
      <c r="B465" s="2">
        <v>34748.75</v>
      </c>
      <c r="C465" s="2">
        <v>27475.84</v>
      </c>
      <c r="D465" s="1">
        <v>44101</v>
      </c>
      <c r="E465" t="s">
        <v>60</v>
      </c>
      <c r="F465" t="s">
        <v>126</v>
      </c>
      <c r="G465" t="s">
        <v>48</v>
      </c>
      <c r="H465" t="s">
        <v>66</v>
      </c>
      <c r="I465" t="s">
        <v>38</v>
      </c>
      <c r="J465" t="s">
        <v>618</v>
      </c>
      <c r="K465" s="2">
        <f>Sales_Export_2019_2020__2[[#This Row],[order_value_GBP]]-Sales_Export_2019_2020__2[[#This Row],[ cost ]]</f>
        <v>7272.91</v>
      </c>
      <c r="L465" t="b">
        <f>COUNTIF(Sales_Export_2019_2020__2[order_id],Sales_Export_2019_2020__2[[#This Row],[order_id]])&gt;1</f>
        <v>0</v>
      </c>
      <c r="M465" t="str">
        <f t="shared" si="7"/>
        <v>£30,000 - £34,999</v>
      </c>
      <c r="N465" t="str" cm="1">
        <f t="array" ref="N46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65">
        <f>FLOOR(Sales_Export_2019_2020__2[[#This Row],[order_value_GBP]],5000)</f>
        <v>30000</v>
      </c>
    </row>
    <row r="466" spans="1:15" x14ac:dyDescent="0.35">
      <c r="A466" t="s">
        <v>45</v>
      </c>
      <c r="B466" s="2">
        <v>137306.45000000001</v>
      </c>
      <c r="C466" s="2">
        <v>108732.98</v>
      </c>
      <c r="D466" s="1">
        <v>44078</v>
      </c>
      <c r="E466" t="s">
        <v>11</v>
      </c>
      <c r="F466" t="s">
        <v>54</v>
      </c>
      <c r="G466" t="s">
        <v>48</v>
      </c>
      <c r="H466" t="s">
        <v>49</v>
      </c>
      <c r="I466" t="s">
        <v>28</v>
      </c>
      <c r="J466" t="s">
        <v>619</v>
      </c>
      <c r="K466" s="2">
        <f>Sales_Export_2019_2020__2[[#This Row],[order_value_GBP]]-Sales_Export_2019_2020__2[[#This Row],[ cost ]]</f>
        <v>28573.470000000016</v>
      </c>
      <c r="L466" t="b">
        <f>COUNTIF(Sales_Export_2019_2020__2[order_id],Sales_Export_2019_2020__2[[#This Row],[order_id]])&gt;1</f>
        <v>0</v>
      </c>
      <c r="M466" t="str">
        <f t="shared" si="7"/>
        <v>£135,000 - £139,999</v>
      </c>
      <c r="N466" t="str" cm="1">
        <f t="array" ref="N46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66">
        <f>FLOOR(Sales_Export_2019_2020__2[[#This Row],[order_value_GBP]],5000)</f>
        <v>135000</v>
      </c>
    </row>
    <row r="467" spans="1:15" x14ac:dyDescent="0.35">
      <c r="A467" t="s">
        <v>23</v>
      </c>
      <c r="B467" s="2">
        <v>148212.23000000001</v>
      </c>
      <c r="C467" s="2">
        <v>123030.97</v>
      </c>
      <c r="D467" s="1">
        <v>43718</v>
      </c>
      <c r="E467" t="s">
        <v>24</v>
      </c>
      <c r="F467" t="s">
        <v>254</v>
      </c>
      <c r="G467" t="s">
        <v>26</v>
      </c>
      <c r="H467" t="s">
        <v>219</v>
      </c>
      <c r="I467" t="s">
        <v>28</v>
      </c>
      <c r="J467" t="s">
        <v>620</v>
      </c>
      <c r="K467" s="2">
        <f>Sales_Export_2019_2020__2[[#This Row],[order_value_GBP]]-Sales_Export_2019_2020__2[[#This Row],[ cost ]]</f>
        <v>25181.260000000009</v>
      </c>
      <c r="L467" t="b">
        <f>COUNTIF(Sales_Export_2019_2020__2[order_id],Sales_Export_2019_2020__2[[#This Row],[order_id]])&gt;1</f>
        <v>0</v>
      </c>
      <c r="M467" t="str">
        <f t="shared" si="7"/>
        <v>£145,000 - £149,999</v>
      </c>
      <c r="N467" t="str" cm="1">
        <f t="array" ref="N46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67">
        <f>FLOOR(Sales_Export_2019_2020__2[[#This Row],[order_value_GBP]],5000)</f>
        <v>145000</v>
      </c>
    </row>
    <row r="468" spans="1:15" x14ac:dyDescent="0.35">
      <c r="A468" t="s">
        <v>23</v>
      </c>
      <c r="B468" s="2">
        <v>159057.92000000001</v>
      </c>
      <c r="C468" s="2">
        <v>139923.25</v>
      </c>
      <c r="D468" s="1">
        <v>44128</v>
      </c>
      <c r="E468" t="s">
        <v>60</v>
      </c>
      <c r="F468" t="s">
        <v>35</v>
      </c>
      <c r="G468" t="s">
        <v>26</v>
      </c>
      <c r="H468" t="s">
        <v>219</v>
      </c>
      <c r="I468" t="s">
        <v>28</v>
      </c>
      <c r="J468" t="s">
        <v>621</v>
      </c>
      <c r="K468" s="2">
        <f>Sales_Export_2019_2020__2[[#This Row],[order_value_GBP]]-Sales_Export_2019_2020__2[[#This Row],[ cost ]]</f>
        <v>19134.670000000013</v>
      </c>
      <c r="L468" t="b">
        <f>COUNTIF(Sales_Export_2019_2020__2[order_id],Sales_Export_2019_2020__2[[#This Row],[order_id]])&gt;1</f>
        <v>0</v>
      </c>
      <c r="M468" t="str">
        <f t="shared" si="7"/>
        <v>£155,000 - £159,999</v>
      </c>
      <c r="N468" t="str" cm="1">
        <f t="array" ref="N46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68">
        <f>FLOOR(Sales_Export_2019_2020__2[[#This Row],[order_value_GBP]],5000)</f>
        <v>155000</v>
      </c>
    </row>
    <row r="469" spans="1:15" x14ac:dyDescent="0.35">
      <c r="A469" t="s">
        <v>10</v>
      </c>
      <c r="B469" s="2">
        <v>146226.35999999999</v>
      </c>
      <c r="C469" s="2">
        <v>117916.94</v>
      </c>
      <c r="D469" s="1">
        <v>44122</v>
      </c>
      <c r="E469" t="s">
        <v>60</v>
      </c>
      <c r="F469" t="s">
        <v>40</v>
      </c>
      <c r="G469" t="s">
        <v>13</v>
      </c>
      <c r="H469" t="s">
        <v>82</v>
      </c>
      <c r="I469" t="s">
        <v>28</v>
      </c>
      <c r="J469" t="s">
        <v>622</v>
      </c>
      <c r="K469" s="2">
        <f>Sales_Export_2019_2020__2[[#This Row],[order_value_GBP]]-Sales_Export_2019_2020__2[[#This Row],[ cost ]]</f>
        <v>28309.419999999984</v>
      </c>
      <c r="L469" t="b">
        <f>COUNTIF(Sales_Export_2019_2020__2[order_id],Sales_Export_2019_2020__2[[#This Row],[order_id]])&gt;1</f>
        <v>0</v>
      </c>
      <c r="M469" t="str">
        <f t="shared" si="7"/>
        <v>£145,000 - £149,999</v>
      </c>
      <c r="N469" t="str" cm="1">
        <f t="array" ref="N46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69">
        <f>FLOOR(Sales_Export_2019_2020__2[[#This Row],[order_value_GBP]],5000)</f>
        <v>145000</v>
      </c>
    </row>
    <row r="470" spans="1:15" x14ac:dyDescent="0.35">
      <c r="A470" t="s">
        <v>23</v>
      </c>
      <c r="B470" s="2">
        <v>201537.12</v>
      </c>
      <c r="C470" s="2">
        <v>166127.04999999999</v>
      </c>
      <c r="D470" s="1">
        <v>43992</v>
      </c>
      <c r="E470" t="s">
        <v>62</v>
      </c>
      <c r="F470" t="s">
        <v>395</v>
      </c>
      <c r="G470" t="s">
        <v>26</v>
      </c>
      <c r="H470" t="s">
        <v>219</v>
      </c>
      <c r="I470" t="s">
        <v>28</v>
      </c>
      <c r="J470" t="s">
        <v>623</v>
      </c>
      <c r="K470" s="2">
        <f>Sales_Export_2019_2020__2[[#This Row],[order_value_GBP]]-Sales_Export_2019_2020__2[[#This Row],[ cost ]]</f>
        <v>35410.070000000007</v>
      </c>
      <c r="L470" t="b">
        <f>COUNTIF(Sales_Export_2019_2020__2[order_id],Sales_Export_2019_2020__2[[#This Row],[order_id]])&gt;1</f>
        <v>0</v>
      </c>
      <c r="M470" t="str">
        <f t="shared" si="7"/>
        <v>£200,000 - £204,999</v>
      </c>
      <c r="N470" t="str" cm="1">
        <f t="array" ref="N47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470">
        <f>FLOOR(Sales_Export_2019_2020__2[[#This Row],[order_value_GBP]],5000)</f>
        <v>200000</v>
      </c>
    </row>
    <row r="471" spans="1:15" x14ac:dyDescent="0.35">
      <c r="A471" t="s">
        <v>23</v>
      </c>
      <c r="B471" s="2">
        <v>242192.19</v>
      </c>
      <c r="C471" s="2">
        <v>213104.91</v>
      </c>
      <c r="D471" s="1">
        <v>43648</v>
      </c>
      <c r="E471" t="s">
        <v>46</v>
      </c>
      <c r="F471" t="s">
        <v>237</v>
      </c>
      <c r="G471" t="s">
        <v>26</v>
      </c>
      <c r="H471" t="s">
        <v>27</v>
      </c>
      <c r="I471" t="s">
        <v>28</v>
      </c>
      <c r="J471" t="s">
        <v>624</v>
      </c>
      <c r="K471" s="2">
        <f>Sales_Export_2019_2020__2[[#This Row],[order_value_GBP]]-Sales_Export_2019_2020__2[[#This Row],[ cost ]]</f>
        <v>29087.279999999999</v>
      </c>
      <c r="L471" t="b">
        <f>COUNTIF(Sales_Export_2019_2020__2[order_id],Sales_Export_2019_2020__2[[#This Row],[order_id]])&gt;1</f>
        <v>0</v>
      </c>
      <c r="M471" t="str">
        <f t="shared" si="7"/>
        <v>£240,000 - £244,999</v>
      </c>
      <c r="N471" t="str" cm="1">
        <f t="array" ref="N47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471">
        <f>FLOOR(Sales_Export_2019_2020__2[[#This Row],[order_value_GBP]],5000)</f>
        <v>240000</v>
      </c>
    </row>
    <row r="472" spans="1:15" x14ac:dyDescent="0.35">
      <c r="A472" t="s">
        <v>106</v>
      </c>
      <c r="B472" s="2">
        <v>172397.66</v>
      </c>
      <c r="C472" s="2">
        <v>139986.9</v>
      </c>
      <c r="D472" s="1">
        <v>43492</v>
      </c>
      <c r="E472" t="s">
        <v>24</v>
      </c>
      <c r="F472" t="s">
        <v>35</v>
      </c>
      <c r="G472" t="s">
        <v>107</v>
      </c>
      <c r="H472" t="s">
        <v>108</v>
      </c>
      <c r="I472" t="s">
        <v>28</v>
      </c>
      <c r="J472" t="s">
        <v>625</v>
      </c>
      <c r="K472" s="2">
        <f>Sales_Export_2019_2020__2[[#This Row],[order_value_GBP]]-Sales_Export_2019_2020__2[[#This Row],[ cost ]]</f>
        <v>32410.760000000009</v>
      </c>
      <c r="L472" t="b">
        <f>COUNTIF(Sales_Export_2019_2020__2[order_id],Sales_Export_2019_2020__2[[#This Row],[order_id]])&gt;1</f>
        <v>0</v>
      </c>
      <c r="M472" t="str">
        <f t="shared" si="7"/>
        <v>£170,000 - £174,999</v>
      </c>
      <c r="N472" t="str" cm="1">
        <f t="array" ref="N47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72">
        <f>FLOOR(Sales_Export_2019_2020__2[[#This Row],[order_value_GBP]],5000)</f>
        <v>170000</v>
      </c>
    </row>
    <row r="473" spans="1:15" x14ac:dyDescent="0.35">
      <c r="A473" t="s">
        <v>96</v>
      </c>
      <c r="B473" s="2">
        <v>152370.57</v>
      </c>
      <c r="C473" s="2">
        <v>128478.86</v>
      </c>
      <c r="D473" s="1">
        <v>43789</v>
      </c>
      <c r="E473" t="s">
        <v>18</v>
      </c>
      <c r="F473" t="s">
        <v>58</v>
      </c>
      <c r="G473" t="s">
        <v>98</v>
      </c>
      <c r="H473" t="s">
        <v>99</v>
      </c>
      <c r="I473" t="s">
        <v>28</v>
      </c>
      <c r="J473" t="s">
        <v>626</v>
      </c>
      <c r="K473" s="2">
        <f>Sales_Export_2019_2020__2[[#This Row],[order_value_GBP]]-Sales_Export_2019_2020__2[[#This Row],[ cost ]]</f>
        <v>23891.710000000006</v>
      </c>
      <c r="L473" t="b">
        <f>COUNTIF(Sales_Export_2019_2020__2[order_id],Sales_Export_2019_2020__2[[#This Row],[order_id]])&gt;1</f>
        <v>0</v>
      </c>
      <c r="M473" t="str">
        <f t="shared" si="7"/>
        <v>£150,000 - £154,999</v>
      </c>
      <c r="N473" t="str" cm="1">
        <f t="array" ref="N47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73">
        <f>FLOOR(Sales_Export_2019_2020__2[[#This Row],[order_value_GBP]],5000)</f>
        <v>150000</v>
      </c>
    </row>
    <row r="474" spans="1:15" x14ac:dyDescent="0.35">
      <c r="A474" t="s">
        <v>23</v>
      </c>
      <c r="B474" s="2">
        <v>137419.29999999999</v>
      </c>
      <c r="C474" s="2">
        <v>117658.4</v>
      </c>
      <c r="D474" s="1">
        <v>43966</v>
      </c>
      <c r="E474" t="s">
        <v>18</v>
      </c>
      <c r="F474" t="s">
        <v>231</v>
      </c>
      <c r="G474" t="s">
        <v>26</v>
      </c>
      <c r="H474" t="s">
        <v>27</v>
      </c>
      <c r="I474" t="s">
        <v>15</v>
      </c>
      <c r="J474" t="s">
        <v>627</v>
      </c>
      <c r="K474" s="2">
        <f>Sales_Export_2019_2020__2[[#This Row],[order_value_GBP]]-Sales_Export_2019_2020__2[[#This Row],[ cost ]]</f>
        <v>19760.899999999994</v>
      </c>
      <c r="L474" t="b">
        <f>COUNTIF(Sales_Export_2019_2020__2[order_id],Sales_Export_2019_2020__2[[#This Row],[order_id]])&gt;1</f>
        <v>0</v>
      </c>
      <c r="M474" t="str">
        <f t="shared" si="7"/>
        <v>£135,000 - £139,999</v>
      </c>
      <c r="N474" t="str" cm="1">
        <f t="array" ref="N47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74">
        <f>FLOOR(Sales_Export_2019_2020__2[[#This Row],[order_value_GBP]],5000)</f>
        <v>135000</v>
      </c>
    </row>
    <row r="475" spans="1:15" x14ac:dyDescent="0.35">
      <c r="A475" t="s">
        <v>53</v>
      </c>
      <c r="B475" s="2">
        <v>67594.100000000006</v>
      </c>
      <c r="C475" s="2">
        <v>54920.21</v>
      </c>
      <c r="D475" s="1">
        <v>43734</v>
      </c>
      <c r="E475" t="s">
        <v>139</v>
      </c>
      <c r="F475" t="s">
        <v>71</v>
      </c>
      <c r="G475" t="s">
        <v>55</v>
      </c>
      <c r="H475" t="s">
        <v>72</v>
      </c>
      <c r="I475" t="s">
        <v>28</v>
      </c>
      <c r="J475" t="s">
        <v>628</v>
      </c>
      <c r="K475" s="2">
        <f>Sales_Export_2019_2020__2[[#This Row],[order_value_GBP]]-Sales_Export_2019_2020__2[[#This Row],[ cost ]]</f>
        <v>12673.890000000007</v>
      </c>
      <c r="L475" t="b">
        <f>COUNTIF(Sales_Export_2019_2020__2[order_id],Sales_Export_2019_2020__2[[#This Row],[order_id]])&gt;1</f>
        <v>0</v>
      </c>
      <c r="M475" t="str">
        <f t="shared" si="7"/>
        <v>£65,000 - £69,999</v>
      </c>
      <c r="N475" t="str" cm="1">
        <f t="array" ref="N47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75">
        <f>FLOOR(Sales_Export_2019_2020__2[[#This Row],[order_value_GBP]],5000)</f>
        <v>65000</v>
      </c>
    </row>
    <row r="476" spans="1:15" x14ac:dyDescent="0.35">
      <c r="A476" t="s">
        <v>106</v>
      </c>
      <c r="B476" s="2">
        <v>72002.259999999995</v>
      </c>
      <c r="C476" s="2">
        <v>56996.99</v>
      </c>
      <c r="D476" s="1">
        <v>43482</v>
      </c>
      <c r="E476" t="s">
        <v>51</v>
      </c>
      <c r="F476" t="s">
        <v>182</v>
      </c>
      <c r="G476" t="s">
        <v>107</v>
      </c>
      <c r="H476" t="s">
        <v>108</v>
      </c>
      <c r="I476" t="s">
        <v>28</v>
      </c>
      <c r="J476" t="s">
        <v>629</v>
      </c>
      <c r="K476" s="2">
        <f>Sales_Export_2019_2020__2[[#This Row],[order_value_GBP]]-Sales_Export_2019_2020__2[[#This Row],[ cost ]]</f>
        <v>15005.269999999997</v>
      </c>
      <c r="L476" t="b">
        <f>COUNTIF(Sales_Export_2019_2020__2[order_id],Sales_Export_2019_2020__2[[#This Row],[order_id]])&gt;1</f>
        <v>0</v>
      </c>
      <c r="M476" t="str">
        <f t="shared" si="7"/>
        <v>£70,000 - £74,999</v>
      </c>
      <c r="N476" t="str" cm="1">
        <f t="array" ref="N47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76">
        <f>FLOOR(Sales_Export_2019_2020__2[[#This Row],[order_value_GBP]],5000)</f>
        <v>70000</v>
      </c>
    </row>
    <row r="477" spans="1:15" x14ac:dyDescent="0.35">
      <c r="A477" t="s">
        <v>53</v>
      </c>
      <c r="B477" s="2">
        <v>159926.16</v>
      </c>
      <c r="C477" s="2">
        <v>126453.61</v>
      </c>
      <c r="D477" s="1">
        <v>44086</v>
      </c>
      <c r="E477" t="s">
        <v>30</v>
      </c>
      <c r="F477" t="s">
        <v>182</v>
      </c>
      <c r="G477" t="s">
        <v>55</v>
      </c>
      <c r="H477" t="s">
        <v>133</v>
      </c>
      <c r="I477" t="s">
        <v>15</v>
      </c>
      <c r="J477" t="s">
        <v>630</v>
      </c>
      <c r="K477" s="2">
        <f>Sales_Export_2019_2020__2[[#This Row],[order_value_GBP]]-Sales_Export_2019_2020__2[[#This Row],[ cost ]]</f>
        <v>33472.550000000003</v>
      </c>
      <c r="L477" t="b">
        <f>COUNTIF(Sales_Export_2019_2020__2[order_id],Sales_Export_2019_2020__2[[#This Row],[order_id]])&gt;1</f>
        <v>0</v>
      </c>
      <c r="M477" t="str">
        <f t="shared" si="7"/>
        <v>£155,000 - £159,999</v>
      </c>
      <c r="N477" t="str" cm="1">
        <f t="array" ref="N47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77">
        <f>FLOOR(Sales_Export_2019_2020__2[[#This Row],[order_value_GBP]],5000)</f>
        <v>155000</v>
      </c>
    </row>
    <row r="478" spans="1:15" x14ac:dyDescent="0.35">
      <c r="A478" t="s">
        <v>53</v>
      </c>
      <c r="B478" s="2">
        <v>65193.88</v>
      </c>
      <c r="C478" s="2">
        <v>53113.45</v>
      </c>
      <c r="D478" s="1">
        <v>43742</v>
      </c>
      <c r="E478" t="s">
        <v>30</v>
      </c>
      <c r="F478" t="s">
        <v>368</v>
      </c>
      <c r="G478" t="s">
        <v>55</v>
      </c>
      <c r="H478" t="s">
        <v>56</v>
      </c>
      <c r="I478" t="s">
        <v>28</v>
      </c>
      <c r="J478" t="s">
        <v>631</v>
      </c>
      <c r="K478" s="2">
        <f>Sales_Export_2019_2020__2[[#This Row],[order_value_GBP]]-Sales_Export_2019_2020__2[[#This Row],[ cost ]]</f>
        <v>12080.43</v>
      </c>
      <c r="L478" t="b">
        <f>COUNTIF(Sales_Export_2019_2020__2[order_id],Sales_Export_2019_2020__2[[#This Row],[order_id]])&gt;1</f>
        <v>0</v>
      </c>
      <c r="M478" t="str">
        <f t="shared" si="7"/>
        <v>£65,000 - £69,999</v>
      </c>
      <c r="N478" t="str" cm="1">
        <f t="array" ref="N47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78">
        <f>FLOOR(Sales_Export_2019_2020__2[[#This Row],[order_value_GBP]],5000)</f>
        <v>65000</v>
      </c>
    </row>
    <row r="479" spans="1:15" x14ac:dyDescent="0.35">
      <c r="A479" t="s">
        <v>23</v>
      </c>
      <c r="B479" s="2">
        <v>105374.44</v>
      </c>
      <c r="C479" s="2">
        <v>89779.02</v>
      </c>
      <c r="D479" s="1">
        <v>43879</v>
      </c>
      <c r="E479" t="s">
        <v>80</v>
      </c>
      <c r="F479" t="s">
        <v>327</v>
      </c>
      <c r="G479" t="s">
        <v>26</v>
      </c>
      <c r="H479" t="s">
        <v>219</v>
      </c>
      <c r="I479" t="s">
        <v>28</v>
      </c>
      <c r="J479" t="s">
        <v>632</v>
      </c>
      <c r="K479" s="2">
        <f>Sales_Export_2019_2020__2[[#This Row],[order_value_GBP]]-Sales_Export_2019_2020__2[[#This Row],[ cost ]]</f>
        <v>15595.419999999998</v>
      </c>
      <c r="L479" t="b">
        <f>COUNTIF(Sales_Export_2019_2020__2[order_id],Sales_Export_2019_2020__2[[#This Row],[order_id]])&gt;1</f>
        <v>0</v>
      </c>
      <c r="M479" t="str">
        <f t="shared" si="7"/>
        <v>£105,000 - £109,999</v>
      </c>
      <c r="N479" t="str" cm="1">
        <f t="array" ref="N47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79">
        <f>FLOOR(Sales_Export_2019_2020__2[[#This Row],[order_value_GBP]],5000)</f>
        <v>105000</v>
      </c>
    </row>
    <row r="480" spans="1:15" x14ac:dyDescent="0.35">
      <c r="A480" t="s">
        <v>45</v>
      </c>
      <c r="B480" s="2">
        <v>83097.399999999994</v>
      </c>
      <c r="C480" s="2">
        <v>68148.179999999993</v>
      </c>
      <c r="D480" s="1">
        <v>43546</v>
      </c>
      <c r="E480" t="s">
        <v>24</v>
      </c>
      <c r="F480" t="s">
        <v>254</v>
      </c>
      <c r="G480" t="s">
        <v>48</v>
      </c>
      <c r="H480" t="s">
        <v>74</v>
      </c>
      <c r="I480" t="s">
        <v>38</v>
      </c>
      <c r="J480" t="s">
        <v>633</v>
      </c>
      <c r="K480" s="2">
        <f>Sales_Export_2019_2020__2[[#This Row],[order_value_GBP]]-Sales_Export_2019_2020__2[[#This Row],[ cost ]]</f>
        <v>14949.220000000001</v>
      </c>
      <c r="L480" t="b">
        <f>COUNTIF(Sales_Export_2019_2020__2[order_id],Sales_Export_2019_2020__2[[#This Row],[order_id]])&gt;1</f>
        <v>0</v>
      </c>
      <c r="M480" t="str">
        <f t="shared" si="7"/>
        <v>£80,000 - £84,999</v>
      </c>
      <c r="N480" t="str" cm="1">
        <f t="array" ref="N48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80">
        <f>FLOOR(Sales_Export_2019_2020__2[[#This Row],[order_value_GBP]],5000)</f>
        <v>80000</v>
      </c>
    </row>
    <row r="481" spans="1:15" x14ac:dyDescent="0.35">
      <c r="A481" t="s">
        <v>10</v>
      </c>
      <c r="B481" s="2">
        <v>139682.07</v>
      </c>
      <c r="C481" s="2">
        <v>113212.32</v>
      </c>
      <c r="D481" s="1">
        <v>43848</v>
      </c>
      <c r="E481" t="s">
        <v>18</v>
      </c>
      <c r="F481" t="s">
        <v>291</v>
      </c>
      <c r="G481" t="s">
        <v>13</v>
      </c>
      <c r="H481" t="s">
        <v>69</v>
      </c>
      <c r="I481" t="s">
        <v>28</v>
      </c>
      <c r="J481" t="s">
        <v>634</v>
      </c>
      <c r="K481" s="2">
        <f>Sales_Export_2019_2020__2[[#This Row],[order_value_GBP]]-Sales_Export_2019_2020__2[[#This Row],[ cost ]]</f>
        <v>26469.75</v>
      </c>
      <c r="L481" t="b">
        <f>COUNTIF(Sales_Export_2019_2020__2[order_id],Sales_Export_2019_2020__2[[#This Row],[order_id]])&gt;1</f>
        <v>0</v>
      </c>
      <c r="M481" t="str">
        <f t="shared" si="7"/>
        <v>£135,000 - £139,999</v>
      </c>
      <c r="N481" t="str" cm="1">
        <f t="array" ref="N48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81">
        <f>FLOOR(Sales_Export_2019_2020__2[[#This Row],[order_value_GBP]],5000)</f>
        <v>135000</v>
      </c>
    </row>
    <row r="482" spans="1:15" x14ac:dyDescent="0.35">
      <c r="A482" t="s">
        <v>53</v>
      </c>
      <c r="B482" s="2">
        <v>81095.39</v>
      </c>
      <c r="C482" s="2">
        <v>64316.75</v>
      </c>
      <c r="D482" s="1">
        <v>44082</v>
      </c>
      <c r="E482" t="s">
        <v>18</v>
      </c>
      <c r="F482" t="s">
        <v>102</v>
      </c>
      <c r="G482" t="s">
        <v>55</v>
      </c>
      <c r="H482" t="s">
        <v>144</v>
      </c>
      <c r="I482" t="s">
        <v>28</v>
      </c>
      <c r="J482" t="s">
        <v>635</v>
      </c>
      <c r="K482" s="2">
        <f>Sales_Export_2019_2020__2[[#This Row],[order_value_GBP]]-Sales_Export_2019_2020__2[[#This Row],[ cost ]]</f>
        <v>16778.64</v>
      </c>
      <c r="L482" t="b">
        <f>COUNTIF(Sales_Export_2019_2020__2[order_id],Sales_Export_2019_2020__2[[#This Row],[order_id]])&gt;1</f>
        <v>0</v>
      </c>
      <c r="M482" t="str">
        <f t="shared" si="7"/>
        <v>£80,000 - £84,999</v>
      </c>
      <c r="N482" t="str" cm="1">
        <f t="array" ref="N48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82">
        <f>FLOOR(Sales_Export_2019_2020__2[[#This Row],[order_value_GBP]],5000)</f>
        <v>80000</v>
      </c>
    </row>
    <row r="483" spans="1:15" x14ac:dyDescent="0.35">
      <c r="A483" t="s">
        <v>101</v>
      </c>
      <c r="B483" s="2">
        <v>91108.56</v>
      </c>
      <c r="C483" s="2">
        <v>74089.48</v>
      </c>
      <c r="D483" s="1">
        <v>44006</v>
      </c>
      <c r="E483" t="s">
        <v>51</v>
      </c>
      <c r="F483" t="s">
        <v>327</v>
      </c>
      <c r="G483" t="s">
        <v>103</v>
      </c>
      <c r="H483" t="s">
        <v>104</v>
      </c>
      <c r="I483" t="s">
        <v>28</v>
      </c>
      <c r="J483" t="s">
        <v>636</v>
      </c>
      <c r="K483" s="2">
        <f>Sales_Export_2019_2020__2[[#This Row],[order_value_GBP]]-Sales_Export_2019_2020__2[[#This Row],[ cost ]]</f>
        <v>17019.080000000002</v>
      </c>
      <c r="L483" t="b">
        <f>COUNTIF(Sales_Export_2019_2020__2[order_id],Sales_Export_2019_2020__2[[#This Row],[order_id]])&gt;1</f>
        <v>0</v>
      </c>
      <c r="M483" t="str">
        <f t="shared" si="7"/>
        <v>£90,000 - £94,999</v>
      </c>
      <c r="N483" t="str" cm="1">
        <f t="array" ref="N48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83">
        <f>FLOOR(Sales_Export_2019_2020__2[[#This Row],[order_value_GBP]],5000)</f>
        <v>90000</v>
      </c>
    </row>
    <row r="484" spans="1:15" x14ac:dyDescent="0.35">
      <c r="A484" t="s">
        <v>106</v>
      </c>
      <c r="B484" s="2">
        <v>47182.43</v>
      </c>
      <c r="C484" s="2">
        <v>40576.89</v>
      </c>
      <c r="D484" s="1">
        <v>43882</v>
      </c>
      <c r="E484" t="s">
        <v>60</v>
      </c>
      <c r="F484" t="s">
        <v>112</v>
      </c>
      <c r="G484" t="s">
        <v>107</v>
      </c>
      <c r="H484" t="s">
        <v>108</v>
      </c>
      <c r="I484" t="s">
        <v>28</v>
      </c>
      <c r="J484" t="s">
        <v>637</v>
      </c>
      <c r="K484" s="2">
        <f>Sales_Export_2019_2020__2[[#This Row],[order_value_GBP]]-Sales_Export_2019_2020__2[[#This Row],[ cost ]]</f>
        <v>6605.5400000000009</v>
      </c>
      <c r="L484" t="b">
        <f>COUNTIF(Sales_Export_2019_2020__2[order_id],Sales_Export_2019_2020__2[[#This Row],[order_id]])&gt;1</f>
        <v>0</v>
      </c>
      <c r="M484" t="str">
        <f t="shared" si="7"/>
        <v>£45,000 - £49,999</v>
      </c>
      <c r="N484" t="str" cm="1">
        <f t="array" ref="N48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84">
        <f>FLOOR(Sales_Export_2019_2020__2[[#This Row],[order_value_GBP]],5000)</f>
        <v>45000</v>
      </c>
    </row>
    <row r="485" spans="1:15" x14ac:dyDescent="0.35">
      <c r="A485" t="s">
        <v>17</v>
      </c>
      <c r="B485" s="2">
        <v>161984.91</v>
      </c>
      <c r="C485" s="2">
        <v>138237.92000000001</v>
      </c>
      <c r="D485" s="1">
        <v>43990</v>
      </c>
      <c r="E485" t="s">
        <v>51</v>
      </c>
      <c r="F485" t="s">
        <v>89</v>
      </c>
      <c r="G485" t="s">
        <v>20</v>
      </c>
      <c r="H485" t="s">
        <v>353</v>
      </c>
      <c r="I485" t="s">
        <v>28</v>
      </c>
      <c r="J485" t="s">
        <v>638</v>
      </c>
      <c r="K485" s="2">
        <f>Sales_Export_2019_2020__2[[#This Row],[order_value_GBP]]-Sales_Export_2019_2020__2[[#This Row],[ cost ]]</f>
        <v>23746.989999999991</v>
      </c>
      <c r="L485" t="b">
        <f>COUNTIF(Sales_Export_2019_2020__2[order_id],Sales_Export_2019_2020__2[[#This Row],[order_id]])&gt;1</f>
        <v>0</v>
      </c>
      <c r="M485" t="str">
        <f t="shared" si="7"/>
        <v>£160,000 - £164,999</v>
      </c>
      <c r="N485" t="str" cm="1">
        <f t="array" ref="N48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85">
        <f>FLOOR(Sales_Export_2019_2020__2[[#This Row],[order_value_GBP]],5000)</f>
        <v>160000</v>
      </c>
    </row>
    <row r="486" spans="1:15" x14ac:dyDescent="0.35">
      <c r="A486" t="s">
        <v>10</v>
      </c>
      <c r="B486" s="2">
        <v>116548.17</v>
      </c>
      <c r="C486" s="2">
        <v>92119.67</v>
      </c>
      <c r="D486" s="1">
        <v>43956</v>
      </c>
      <c r="E486" t="s">
        <v>24</v>
      </c>
      <c r="F486" t="s">
        <v>35</v>
      </c>
      <c r="G486" t="s">
        <v>13</v>
      </c>
      <c r="H486" t="s">
        <v>69</v>
      </c>
      <c r="I486" t="s">
        <v>28</v>
      </c>
      <c r="J486" t="s">
        <v>639</v>
      </c>
      <c r="K486" s="2">
        <f>Sales_Export_2019_2020__2[[#This Row],[order_value_GBP]]-Sales_Export_2019_2020__2[[#This Row],[ cost ]]</f>
        <v>24428.5</v>
      </c>
      <c r="L486" t="b">
        <f>COUNTIF(Sales_Export_2019_2020__2[order_id],Sales_Export_2019_2020__2[[#This Row],[order_id]])&gt;1</f>
        <v>0</v>
      </c>
      <c r="M486" t="str">
        <f t="shared" si="7"/>
        <v>£115,000 - £119,999</v>
      </c>
      <c r="N486" t="str" cm="1">
        <f t="array" ref="N48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86">
        <f>FLOOR(Sales_Export_2019_2020__2[[#This Row],[order_value_GBP]],5000)</f>
        <v>115000</v>
      </c>
    </row>
    <row r="487" spans="1:15" x14ac:dyDescent="0.35">
      <c r="A487" t="s">
        <v>23</v>
      </c>
      <c r="B487" s="2">
        <v>138764.6</v>
      </c>
      <c r="C487" s="2">
        <v>111414.1</v>
      </c>
      <c r="D487" s="1">
        <v>43961</v>
      </c>
      <c r="E487" t="s">
        <v>51</v>
      </c>
      <c r="F487" t="s">
        <v>35</v>
      </c>
      <c r="G487" t="s">
        <v>26</v>
      </c>
      <c r="H487" t="s">
        <v>219</v>
      </c>
      <c r="I487" t="s">
        <v>28</v>
      </c>
      <c r="J487" t="s">
        <v>640</v>
      </c>
      <c r="K487" s="2">
        <f>Sales_Export_2019_2020__2[[#This Row],[order_value_GBP]]-Sales_Export_2019_2020__2[[#This Row],[ cost ]]</f>
        <v>27350.5</v>
      </c>
      <c r="L487" t="b">
        <f>COUNTIF(Sales_Export_2019_2020__2[order_id],Sales_Export_2019_2020__2[[#This Row],[order_id]])&gt;1</f>
        <v>0</v>
      </c>
      <c r="M487" t="str">
        <f t="shared" si="7"/>
        <v>£135,000 - £139,999</v>
      </c>
      <c r="N487" t="str" cm="1">
        <f t="array" ref="N48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87">
        <f>FLOOR(Sales_Export_2019_2020__2[[#This Row],[order_value_GBP]],5000)</f>
        <v>135000</v>
      </c>
    </row>
    <row r="488" spans="1:15" x14ac:dyDescent="0.35">
      <c r="A488" t="s">
        <v>53</v>
      </c>
      <c r="B488" s="2">
        <v>148405.47</v>
      </c>
      <c r="C488" s="2">
        <v>128845.63</v>
      </c>
      <c r="D488" s="1">
        <v>43765</v>
      </c>
      <c r="E488" t="s">
        <v>80</v>
      </c>
      <c r="F488" t="s">
        <v>35</v>
      </c>
      <c r="G488" t="s">
        <v>55</v>
      </c>
      <c r="H488" t="s">
        <v>72</v>
      </c>
      <c r="I488" t="s">
        <v>28</v>
      </c>
      <c r="J488" t="s">
        <v>641</v>
      </c>
      <c r="K488" s="2">
        <f>Sales_Export_2019_2020__2[[#This Row],[order_value_GBP]]-Sales_Export_2019_2020__2[[#This Row],[ cost ]]</f>
        <v>19559.839999999997</v>
      </c>
      <c r="L488" t="b">
        <f>COUNTIF(Sales_Export_2019_2020__2[order_id],Sales_Export_2019_2020__2[[#This Row],[order_id]])&gt;1</f>
        <v>0</v>
      </c>
      <c r="M488" t="str">
        <f t="shared" si="7"/>
        <v>£145,000 - £149,999</v>
      </c>
      <c r="N488" t="str" cm="1">
        <f t="array" ref="N48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88">
        <f>FLOOR(Sales_Export_2019_2020__2[[#This Row],[order_value_GBP]],5000)</f>
        <v>145000</v>
      </c>
    </row>
    <row r="489" spans="1:15" x14ac:dyDescent="0.35">
      <c r="A489" t="s">
        <v>84</v>
      </c>
      <c r="B489" s="2">
        <v>138249.76999999999</v>
      </c>
      <c r="C489" s="2">
        <v>120277.3</v>
      </c>
      <c r="D489" s="1">
        <v>43686</v>
      </c>
      <c r="E489" t="s">
        <v>18</v>
      </c>
      <c r="F489" t="s">
        <v>31</v>
      </c>
      <c r="G489" t="s">
        <v>85</v>
      </c>
      <c r="H489" t="s">
        <v>86</v>
      </c>
      <c r="I489" t="s">
        <v>28</v>
      </c>
      <c r="J489" t="s">
        <v>642</v>
      </c>
      <c r="K489" s="2">
        <f>Sales_Export_2019_2020__2[[#This Row],[order_value_GBP]]-Sales_Export_2019_2020__2[[#This Row],[ cost ]]</f>
        <v>17972.469999999987</v>
      </c>
      <c r="L489" t="b">
        <f>COUNTIF(Sales_Export_2019_2020__2[order_id],Sales_Export_2019_2020__2[[#This Row],[order_id]])&gt;1</f>
        <v>0</v>
      </c>
      <c r="M489" t="str">
        <f t="shared" si="7"/>
        <v>£135,000 - £139,999</v>
      </c>
      <c r="N489" t="str" cm="1">
        <f t="array" ref="N48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89">
        <f>FLOOR(Sales_Export_2019_2020__2[[#This Row],[order_value_GBP]],5000)</f>
        <v>135000</v>
      </c>
    </row>
    <row r="490" spans="1:15" x14ac:dyDescent="0.35">
      <c r="A490" t="s">
        <v>23</v>
      </c>
      <c r="B490" s="2">
        <v>115718.87</v>
      </c>
      <c r="C490" s="2">
        <v>100640.7</v>
      </c>
      <c r="D490" s="1">
        <v>43579</v>
      </c>
      <c r="E490" t="s">
        <v>80</v>
      </c>
      <c r="F490" t="s">
        <v>19</v>
      </c>
      <c r="G490" t="s">
        <v>26</v>
      </c>
      <c r="H490" t="s">
        <v>32</v>
      </c>
      <c r="I490" t="s">
        <v>28</v>
      </c>
      <c r="J490" t="s">
        <v>643</v>
      </c>
      <c r="K490" s="2">
        <f>Sales_Export_2019_2020__2[[#This Row],[order_value_GBP]]-Sales_Export_2019_2020__2[[#This Row],[ cost ]]</f>
        <v>15078.169999999998</v>
      </c>
      <c r="L490" t="b">
        <f>COUNTIF(Sales_Export_2019_2020__2[order_id],Sales_Export_2019_2020__2[[#This Row],[order_id]])&gt;1</f>
        <v>0</v>
      </c>
      <c r="M490" t="str">
        <f t="shared" si="7"/>
        <v>£115,000 - £119,999</v>
      </c>
      <c r="N490" t="str" cm="1">
        <f t="array" ref="N49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90">
        <f>FLOOR(Sales_Export_2019_2020__2[[#This Row],[order_value_GBP]],5000)</f>
        <v>115000</v>
      </c>
    </row>
    <row r="491" spans="1:15" x14ac:dyDescent="0.35">
      <c r="A491" t="s">
        <v>23</v>
      </c>
      <c r="B491" s="2">
        <v>194326.7</v>
      </c>
      <c r="C491" s="2">
        <v>169005.93</v>
      </c>
      <c r="D491" s="1">
        <v>43653</v>
      </c>
      <c r="E491" t="s">
        <v>11</v>
      </c>
      <c r="F491" t="s">
        <v>35</v>
      </c>
      <c r="G491" t="s">
        <v>26</v>
      </c>
      <c r="H491" t="s">
        <v>90</v>
      </c>
      <c r="I491" t="s">
        <v>15</v>
      </c>
      <c r="J491" t="s">
        <v>644</v>
      </c>
      <c r="K491" s="2">
        <f>Sales_Export_2019_2020__2[[#This Row],[order_value_GBP]]-Sales_Export_2019_2020__2[[#This Row],[ cost ]]</f>
        <v>25320.770000000019</v>
      </c>
      <c r="L491" t="b">
        <f>COUNTIF(Sales_Export_2019_2020__2[order_id],Sales_Export_2019_2020__2[[#This Row],[order_id]])&gt;1</f>
        <v>0</v>
      </c>
      <c r="M491" t="str">
        <f t="shared" si="7"/>
        <v>£190,000 - £194,999</v>
      </c>
      <c r="N491" t="str" cm="1">
        <f t="array" ref="N49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491">
        <f>FLOOR(Sales_Export_2019_2020__2[[#This Row],[order_value_GBP]],5000)</f>
        <v>190000</v>
      </c>
    </row>
    <row r="492" spans="1:15" x14ac:dyDescent="0.35">
      <c r="A492" t="s">
        <v>53</v>
      </c>
      <c r="B492" s="2">
        <v>38648.720000000001</v>
      </c>
      <c r="C492" s="2">
        <v>32368.3</v>
      </c>
      <c r="D492" s="1">
        <v>44169</v>
      </c>
      <c r="E492" t="s">
        <v>30</v>
      </c>
      <c r="F492" t="s">
        <v>168</v>
      </c>
      <c r="G492" t="s">
        <v>55</v>
      </c>
      <c r="H492" t="s">
        <v>128</v>
      </c>
      <c r="I492" t="s">
        <v>38</v>
      </c>
      <c r="J492" t="s">
        <v>645</v>
      </c>
      <c r="K492" s="2">
        <f>Sales_Export_2019_2020__2[[#This Row],[order_value_GBP]]-Sales_Export_2019_2020__2[[#This Row],[ cost ]]</f>
        <v>6280.4200000000019</v>
      </c>
      <c r="L492" t="b">
        <f>COUNTIF(Sales_Export_2019_2020__2[order_id],Sales_Export_2019_2020__2[[#This Row],[order_id]])&gt;1</f>
        <v>0</v>
      </c>
      <c r="M492" t="str">
        <f t="shared" si="7"/>
        <v>£35,000 - £39,999</v>
      </c>
      <c r="N492" t="str" cm="1">
        <f t="array" ref="N49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492">
        <f>FLOOR(Sales_Export_2019_2020__2[[#This Row],[order_value_GBP]],5000)</f>
        <v>35000</v>
      </c>
    </row>
    <row r="493" spans="1:15" x14ac:dyDescent="0.35">
      <c r="A493" t="s">
        <v>10</v>
      </c>
      <c r="B493" s="2">
        <v>58010.14</v>
      </c>
      <c r="C493" s="2">
        <v>46089.06</v>
      </c>
      <c r="D493" s="1">
        <v>43719</v>
      </c>
      <c r="E493" t="s">
        <v>51</v>
      </c>
      <c r="F493" t="s">
        <v>180</v>
      </c>
      <c r="G493" t="s">
        <v>13</v>
      </c>
      <c r="H493" t="s">
        <v>170</v>
      </c>
      <c r="I493" t="s">
        <v>28</v>
      </c>
      <c r="J493" t="s">
        <v>646</v>
      </c>
      <c r="K493" s="2">
        <f>Sales_Export_2019_2020__2[[#This Row],[order_value_GBP]]-Sales_Export_2019_2020__2[[#This Row],[ cost ]]</f>
        <v>11921.080000000002</v>
      </c>
      <c r="L493" t="b">
        <f>COUNTIF(Sales_Export_2019_2020__2[order_id],Sales_Export_2019_2020__2[[#This Row],[order_id]])&gt;1</f>
        <v>0</v>
      </c>
      <c r="M493" t="str">
        <f t="shared" si="7"/>
        <v>£55,000 - £59,999</v>
      </c>
      <c r="N493" t="str" cm="1">
        <f t="array" ref="N49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93">
        <f>FLOOR(Sales_Export_2019_2020__2[[#This Row],[order_value_GBP]],5000)</f>
        <v>55000</v>
      </c>
    </row>
    <row r="494" spans="1:15" x14ac:dyDescent="0.35">
      <c r="A494" t="s">
        <v>53</v>
      </c>
      <c r="B494" s="2">
        <v>82697.53</v>
      </c>
      <c r="C494" s="2">
        <v>69548.62</v>
      </c>
      <c r="D494" s="1">
        <v>44055</v>
      </c>
      <c r="E494" t="s">
        <v>18</v>
      </c>
      <c r="F494" t="s">
        <v>234</v>
      </c>
      <c r="G494" t="s">
        <v>55</v>
      </c>
      <c r="H494" t="s">
        <v>144</v>
      </c>
      <c r="I494" t="s">
        <v>28</v>
      </c>
      <c r="J494" t="s">
        <v>647</v>
      </c>
      <c r="K494" s="2">
        <f>Sales_Export_2019_2020__2[[#This Row],[order_value_GBP]]-Sales_Export_2019_2020__2[[#This Row],[ cost ]]</f>
        <v>13148.910000000003</v>
      </c>
      <c r="L494" t="b">
        <f>COUNTIF(Sales_Export_2019_2020__2[order_id],Sales_Export_2019_2020__2[[#This Row],[order_id]])&gt;1</f>
        <v>0</v>
      </c>
      <c r="M494" t="str">
        <f t="shared" si="7"/>
        <v>£80,000 - £84,999</v>
      </c>
      <c r="N494" t="str" cm="1">
        <f t="array" ref="N49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94">
        <f>FLOOR(Sales_Export_2019_2020__2[[#This Row],[order_value_GBP]],5000)</f>
        <v>80000</v>
      </c>
    </row>
    <row r="495" spans="1:15" x14ac:dyDescent="0.35">
      <c r="A495" t="s">
        <v>10</v>
      </c>
      <c r="B495" s="2">
        <v>68086.960000000006</v>
      </c>
      <c r="C495" s="2">
        <v>58759.05</v>
      </c>
      <c r="D495" s="1">
        <v>43795</v>
      </c>
      <c r="E495" t="s">
        <v>80</v>
      </c>
      <c r="F495" t="s">
        <v>648</v>
      </c>
      <c r="G495" t="s">
        <v>13</v>
      </c>
      <c r="H495" t="s">
        <v>170</v>
      </c>
      <c r="I495" t="s">
        <v>28</v>
      </c>
      <c r="J495" t="s">
        <v>649</v>
      </c>
      <c r="K495" s="2">
        <f>Sales_Export_2019_2020__2[[#This Row],[order_value_GBP]]-Sales_Export_2019_2020__2[[#This Row],[ cost ]]</f>
        <v>9327.9100000000035</v>
      </c>
      <c r="L495" t="b">
        <f>COUNTIF(Sales_Export_2019_2020__2[order_id],Sales_Export_2019_2020__2[[#This Row],[order_id]])&gt;1</f>
        <v>0</v>
      </c>
      <c r="M495" t="str">
        <f t="shared" si="7"/>
        <v>£65,000 - £69,999</v>
      </c>
      <c r="N495" t="str" cm="1">
        <f t="array" ref="N49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95">
        <f>FLOOR(Sales_Export_2019_2020__2[[#This Row],[order_value_GBP]],5000)</f>
        <v>65000</v>
      </c>
    </row>
    <row r="496" spans="1:15" x14ac:dyDescent="0.35">
      <c r="A496" t="s">
        <v>101</v>
      </c>
      <c r="B496" s="2">
        <v>111106.06</v>
      </c>
      <c r="C496" s="2">
        <v>93195.76</v>
      </c>
      <c r="D496" s="1">
        <v>44146</v>
      </c>
      <c r="E496" t="s">
        <v>18</v>
      </c>
      <c r="F496" t="s">
        <v>47</v>
      </c>
      <c r="G496" t="s">
        <v>103</v>
      </c>
      <c r="H496" t="s">
        <v>162</v>
      </c>
      <c r="I496" t="s">
        <v>28</v>
      </c>
      <c r="J496" t="s">
        <v>650</v>
      </c>
      <c r="K496" s="2">
        <f>Sales_Export_2019_2020__2[[#This Row],[order_value_GBP]]-Sales_Export_2019_2020__2[[#This Row],[ cost ]]</f>
        <v>17910.300000000003</v>
      </c>
      <c r="L496" t="b">
        <f>COUNTIF(Sales_Export_2019_2020__2[order_id],Sales_Export_2019_2020__2[[#This Row],[order_id]])&gt;1</f>
        <v>0</v>
      </c>
      <c r="M496" t="str">
        <f t="shared" si="7"/>
        <v>£110,000 - £114,999</v>
      </c>
      <c r="N496" t="str" cm="1">
        <f t="array" ref="N49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96">
        <f>FLOOR(Sales_Export_2019_2020__2[[#This Row],[order_value_GBP]],5000)</f>
        <v>110000</v>
      </c>
    </row>
    <row r="497" spans="1:15" x14ac:dyDescent="0.35">
      <c r="A497" t="s">
        <v>23</v>
      </c>
      <c r="B497" s="2">
        <v>227830.33</v>
      </c>
      <c r="C497" s="2">
        <v>182173.13</v>
      </c>
      <c r="D497" s="1">
        <v>43992</v>
      </c>
      <c r="E497" t="s">
        <v>11</v>
      </c>
      <c r="F497" t="s">
        <v>185</v>
      </c>
      <c r="G497" t="s">
        <v>26</v>
      </c>
      <c r="H497" t="s">
        <v>32</v>
      </c>
      <c r="I497" t="s">
        <v>28</v>
      </c>
      <c r="J497" t="s">
        <v>651</v>
      </c>
      <c r="K497" s="2">
        <f>Sales_Export_2019_2020__2[[#This Row],[order_value_GBP]]-Sales_Export_2019_2020__2[[#This Row],[ cost ]]</f>
        <v>45657.199999999983</v>
      </c>
      <c r="L497" t="b">
        <f>COUNTIF(Sales_Export_2019_2020__2[order_id],Sales_Export_2019_2020__2[[#This Row],[order_id]])&gt;1</f>
        <v>0</v>
      </c>
      <c r="M497" t="str">
        <f t="shared" si="7"/>
        <v>£225,000 - £229,999</v>
      </c>
      <c r="N497" t="str" cm="1">
        <f t="array" ref="N49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497">
        <f>FLOOR(Sales_Export_2019_2020__2[[#This Row],[order_value_GBP]],5000)</f>
        <v>225000</v>
      </c>
    </row>
    <row r="498" spans="1:15" x14ac:dyDescent="0.35">
      <c r="A498" t="s">
        <v>53</v>
      </c>
      <c r="B498" s="2">
        <v>87355.7</v>
      </c>
      <c r="C498" s="2">
        <v>74584.3</v>
      </c>
      <c r="D498" s="1">
        <v>43499</v>
      </c>
      <c r="E498" t="s">
        <v>60</v>
      </c>
      <c r="F498" t="s">
        <v>174</v>
      </c>
      <c r="G498" t="s">
        <v>55</v>
      </c>
      <c r="H498" t="s">
        <v>128</v>
      </c>
      <c r="I498" t="s">
        <v>28</v>
      </c>
      <c r="J498" t="s">
        <v>652</v>
      </c>
      <c r="K498" s="2">
        <f>Sales_Export_2019_2020__2[[#This Row],[order_value_GBP]]-Sales_Export_2019_2020__2[[#This Row],[ cost ]]</f>
        <v>12771.399999999994</v>
      </c>
      <c r="L498" t="b">
        <f>COUNTIF(Sales_Export_2019_2020__2[order_id],Sales_Export_2019_2020__2[[#This Row],[order_id]])&gt;1</f>
        <v>0</v>
      </c>
      <c r="M498" t="str">
        <f t="shared" si="7"/>
        <v>£85,000 - £89,999</v>
      </c>
      <c r="N498" t="str" cm="1">
        <f t="array" ref="N49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98">
        <f>FLOOR(Sales_Export_2019_2020__2[[#This Row],[order_value_GBP]],5000)</f>
        <v>85000</v>
      </c>
    </row>
    <row r="499" spans="1:15" x14ac:dyDescent="0.35">
      <c r="A499" t="s">
        <v>53</v>
      </c>
      <c r="B499" s="2">
        <v>164267.72</v>
      </c>
      <c r="C499" s="2">
        <v>139069.04999999999</v>
      </c>
      <c r="D499" s="1">
        <v>44112</v>
      </c>
      <c r="E499" t="s">
        <v>51</v>
      </c>
      <c r="F499" t="s">
        <v>19</v>
      </c>
      <c r="G499" t="s">
        <v>55</v>
      </c>
      <c r="H499" t="s">
        <v>128</v>
      </c>
      <c r="I499" t="s">
        <v>28</v>
      </c>
      <c r="J499" t="s">
        <v>653</v>
      </c>
      <c r="K499" s="2">
        <f>Sales_Export_2019_2020__2[[#This Row],[order_value_GBP]]-Sales_Export_2019_2020__2[[#This Row],[ cost ]]</f>
        <v>25198.670000000013</v>
      </c>
      <c r="L499" t="b">
        <f>COUNTIF(Sales_Export_2019_2020__2[order_id],Sales_Export_2019_2020__2[[#This Row],[order_id]])&gt;1</f>
        <v>0</v>
      </c>
      <c r="M499" t="str">
        <f t="shared" si="7"/>
        <v>£160,000 - £164,999</v>
      </c>
      <c r="N499" t="str" cm="1">
        <f t="array" ref="N49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499">
        <f>FLOOR(Sales_Export_2019_2020__2[[#This Row],[order_value_GBP]],5000)</f>
        <v>160000</v>
      </c>
    </row>
    <row r="500" spans="1:15" x14ac:dyDescent="0.35">
      <c r="A500" t="s">
        <v>45</v>
      </c>
      <c r="B500" s="2">
        <v>92179.76</v>
      </c>
      <c r="C500" s="2">
        <v>74794.66</v>
      </c>
      <c r="D500" s="1">
        <v>44037</v>
      </c>
      <c r="E500" t="s">
        <v>30</v>
      </c>
      <c r="F500" t="s">
        <v>210</v>
      </c>
      <c r="G500" t="s">
        <v>48</v>
      </c>
      <c r="H500" t="s">
        <v>74</v>
      </c>
      <c r="I500" t="s">
        <v>38</v>
      </c>
      <c r="J500" t="s">
        <v>654</v>
      </c>
      <c r="K500" s="2">
        <f>Sales_Export_2019_2020__2[[#This Row],[order_value_GBP]]-Sales_Export_2019_2020__2[[#This Row],[ cost ]]</f>
        <v>17385.099999999991</v>
      </c>
      <c r="L500" t="b">
        <f>COUNTIF(Sales_Export_2019_2020__2[order_id],Sales_Export_2019_2020__2[[#This Row],[order_id]])&gt;1</f>
        <v>0</v>
      </c>
      <c r="M500" t="str">
        <f t="shared" si="7"/>
        <v>£90,000 - £94,999</v>
      </c>
      <c r="N500" t="str" cm="1">
        <f t="array" ref="N50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00">
        <f>FLOOR(Sales_Export_2019_2020__2[[#This Row],[order_value_GBP]],5000)</f>
        <v>90000</v>
      </c>
    </row>
    <row r="501" spans="1:15" x14ac:dyDescent="0.35">
      <c r="A501" t="s">
        <v>10</v>
      </c>
      <c r="B501" s="2">
        <v>124093.75999999999</v>
      </c>
      <c r="C501" s="2">
        <v>105231.51</v>
      </c>
      <c r="D501" s="1">
        <v>43753</v>
      </c>
      <c r="E501" t="s">
        <v>80</v>
      </c>
      <c r="F501" t="s">
        <v>97</v>
      </c>
      <c r="G501" t="s">
        <v>13</v>
      </c>
      <c r="H501" t="s">
        <v>69</v>
      </c>
      <c r="I501" t="s">
        <v>28</v>
      </c>
      <c r="J501" t="s">
        <v>655</v>
      </c>
      <c r="K501" s="2">
        <f>Sales_Export_2019_2020__2[[#This Row],[order_value_GBP]]-Sales_Export_2019_2020__2[[#This Row],[ cost ]]</f>
        <v>18862.25</v>
      </c>
      <c r="L501" t="b">
        <f>COUNTIF(Sales_Export_2019_2020__2[order_id],Sales_Export_2019_2020__2[[#This Row],[order_id]])&gt;1</f>
        <v>0</v>
      </c>
      <c r="M501" t="str">
        <f t="shared" si="7"/>
        <v>£120,000 - £124,999</v>
      </c>
      <c r="N501" t="str" cm="1">
        <f t="array" ref="N50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01">
        <f>FLOOR(Sales_Export_2019_2020__2[[#This Row],[order_value_GBP]],5000)</f>
        <v>120000</v>
      </c>
    </row>
    <row r="502" spans="1:15" x14ac:dyDescent="0.35">
      <c r="A502" t="s">
        <v>45</v>
      </c>
      <c r="B502" s="2">
        <v>66391.58</v>
      </c>
      <c r="C502" s="2">
        <v>52635.24</v>
      </c>
      <c r="D502" s="1">
        <v>43803</v>
      </c>
      <c r="E502" t="s">
        <v>24</v>
      </c>
      <c r="F502" t="s">
        <v>368</v>
      </c>
      <c r="G502" t="s">
        <v>48</v>
      </c>
      <c r="H502" t="s">
        <v>49</v>
      </c>
      <c r="I502" t="s">
        <v>15</v>
      </c>
      <c r="J502" t="s">
        <v>656</v>
      </c>
      <c r="K502" s="2">
        <f>Sales_Export_2019_2020__2[[#This Row],[order_value_GBP]]-Sales_Export_2019_2020__2[[#This Row],[ cost ]]</f>
        <v>13756.340000000004</v>
      </c>
      <c r="L502" t="b">
        <f>COUNTIF(Sales_Export_2019_2020__2[order_id],Sales_Export_2019_2020__2[[#This Row],[order_id]])&gt;1</f>
        <v>0</v>
      </c>
      <c r="M502" t="str">
        <f t="shared" si="7"/>
        <v>£65,000 - £69,999</v>
      </c>
      <c r="N502" t="str" cm="1">
        <f t="array" ref="N50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02">
        <f>FLOOR(Sales_Export_2019_2020__2[[#This Row],[order_value_GBP]],5000)</f>
        <v>65000</v>
      </c>
    </row>
    <row r="503" spans="1:15" x14ac:dyDescent="0.35">
      <c r="A503" t="s">
        <v>53</v>
      </c>
      <c r="B503" s="2">
        <v>197471.1</v>
      </c>
      <c r="C503" s="2">
        <v>162577.96</v>
      </c>
      <c r="D503" s="1">
        <v>43644</v>
      </c>
      <c r="E503" t="s">
        <v>51</v>
      </c>
      <c r="F503" t="s">
        <v>35</v>
      </c>
      <c r="G503" t="s">
        <v>55</v>
      </c>
      <c r="H503" t="s">
        <v>128</v>
      </c>
      <c r="I503" t="s">
        <v>28</v>
      </c>
      <c r="J503" t="s">
        <v>657</v>
      </c>
      <c r="K503" s="2">
        <f>Sales_Export_2019_2020__2[[#This Row],[order_value_GBP]]-Sales_Export_2019_2020__2[[#This Row],[ cost ]]</f>
        <v>34893.140000000014</v>
      </c>
      <c r="L503" t="b">
        <f>COUNTIF(Sales_Export_2019_2020__2[order_id],Sales_Export_2019_2020__2[[#This Row],[order_id]])&gt;1</f>
        <v>0</v>
      </c>
      <c r="M503" t="str">
        <f t="shared" si="7"/>
        <v>£195,000 - £199,999</v>
      </c>
      <c r="N503" t="str" cm="1">
        <f t="array" ref="N50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03">
        <f>FLOOR(Sales_Export_2019_2020__2[[#This Row],[order_value_GBP]],5000)</f>
        <v>195000</v>
      </c>
    </row>
    <row r="504" spans="1:15" x14ac:dyDescent="0.35">
      <c r="A504" t="s">
        <v>45</v>
      </c>
      <c r="B504" s="2">
        <v>122627.2</v>
      </c>
      <c r="C504" s="2">
        <v>100284.52</v>
      </c>
      <c r="D504" s="1">
        <v>43597</v>
      </c>
      <c r="E504" t="s">
        <v>24</v>
      </c>
      <c r="F504" t="s">
        <v>126</v>
      </c>
      <c r="G504" t="s">
        <v>48</v>
      </c>
      <c r="H504" t="s">
        <v>49</v>
      </c>
      <c r="I504" t="s">
        <v>28</v>
      </c>
      <c r="J504" t="s">
        <v>658</v>
      </c>
      <c r="K504" s="2">
        <f>Sales_Export_2019_2020__2[[#This Row],[order_value_GBP]]-Sales_Export_2019_2020__2[[#This Row],[ cost ]]</f>
        <v>22342.679999999993</v>
      </c>
      <c r="L504" t="b">
        <f>COUNTIF(Sales_Export_2019_2020__2[order_id],Sales_Export_2019_2020__2[[#This Row],[order_id]])&gt;1</f>
        <v>0</v>
      </c>
      <c r="M504" t="str">
        <f t="shared" si="7"/>
        <v>£120,000 - £124,999</v>
      </c>
      <c r="N504" t="str" cm="1">
        <f t="array" ref="N50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04">
        <f>FLOOR(Sales_Export_2019_2020__2[[#This Row],[order_value_GBP]],5000)</f>
        <v>120000</v>
      </c>
    </row>
    <row r="505" spans="1:15" x14ac:dyDescent="0.35">
      <c r="A505" t="s">
        <v>45</v>
      </c>
      <c r="B505" s="2">
        <v>159052.70000000001</v>
      </c>
      <c r="C505" s="2">
        <v>127926.09</v>
      </c>
      <c r="D505" s="1">
        <v>43617</v>
      </c>
      <c r="E505" t="s">
        <v>18</v>
      </c>
      <c r="F505" t="s">
        <v>78</v>
      </c>
      <c r="G505" t="s">
        <v>48</v>
      </c>
      <c r="H505" t="s">
        <v>66</v>
      </c>
      <c r="I505" t="s">
        <v>28</v>
      </c>
      <c r="J505" t="s">
        <v>659</v>
      </c>
      <c r="K505" s="2">
        <f>Sales_Export_2019_2020__2[[#This Row],[order_value_GBP]]-Sales_Export_2019_2020__2[[#This Row],[ cost ]]</f>
        <v>31126.610000000015</v>
      </c>
      <c r="L505" t="b">
        <f>COUNTIF(Sales_Export_2019_2020__2[order_id],Sales_Export_2019_2020__2[[#This Row],[order_id]])&gt;1</f>
        <v>0</v>
      </c>
      <c r="M505" t="str">
        <f t="shared" si="7"/>
        <v>£155,000 - £159,999</v>
      </c>
      <c r="N505" t="str" cm="1">
        <f t="array" ref="N50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05">
        <f>FLOOR(Sales_Export_2019_2020__2[[#This Row],[order_value_GBP]],5000)</f>
        <v>155000</v>
      </c>
    </row>
    <row r="506" spans="1:15" x14ac:dyDescent="0.35">
      <c r="A506" t="s">
        <v>23</v>
      </c>
      <c r="B506" s="2">
        <v>85515.6</v>
      </c>
      <c r="C506" s="2">
        <v>67959.25</v>
      </c>
      <c r="D506" s="1">
        <v>43751</v>
      </c>
      <c r="E506" t="s">
        <v>18</v>
      </c>
      <c r="F506" t="s">
        <v>25</v>
      </c>
      <c r="G506" t="s">
        <v>26</v>
      </c>
      <c r="H506" t="s">
        <v>219</v>
      </c>
      <c r="I506" t="s">
        <v>28</v>
      </c>
      <c r="J506" t="s">
        <v>660</v>
      </c>
      <c r="K506" s="2">
        <f>Sales_Export_2019_2020__2[[#This Row],[order_value_GBP]]-Sales_Export_2019_2020__2[[#This Row],[ cost ]]</f>
        <v>17556.350000000006</v>
      </c>
      <c r="L506" t="b">
        <f>COUNTIF(Sales_Export_2019_2020__2[order_id],Sales_Export_2019_2020__2[[#This Row],[order_id]])&gt;1</f>
        <v>0</v>
      </c>
      <c r="M506" t="str">
        <f t="shared" si="7"/>
        <v>£85,000 - £89,999</v>
      </c>
      <c r="N506" t="str" cm="1">
        <f t="array" ref="N50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06">
        <f>FLOOR(Sales_Export_2019_2020__2[[#This Row],[order_value_GBP]],5000)</f>
        <v>85000</v>
      </c>
    </row>
    <row r="507" spans="1:15" x14ac:dyDescent="0.35">
      <c r="A507" t="s">
        <v>23</v>
      </c>
      <c r="B507" s="2">
        <v>42847.46</v>
      </c>
      <c r="C507" s="2">
        <v>34757.86</v>
      </c>
      <c r="D507" s="1">
        <v>44126</v>
      </c>
      <c r="E507" t="s">
        <v>46</v>
      </c>
      <c r="F507" t="s">
        <v>282</v>
      </c>
      <c r="G507" t="s">
        <v>26</v>
      </c>
      <c r="H507" t="s">
        <v>32</v>
      </c>
      <c r="I507" t="s">
        <v>28</v>
      </c>
      <c r="J507" t="s">
        <v>661</v>
      </c>
      <c r="K507" s="2">
        <f>Sales_Export_2019_2020__2[[#This Row],[order_value_GBP]]-Sales_Export_2019_2020__2[[#This Row],[ cost ]]</f>
        <v>8089.5999999999985</v>
      </c>
      <c r="L507" t="b">
        <f>COUNTIF(Sales_Export_2019_2020__2[order_id],Sales_Export_2019_2020__2[[#This Row],[order_id]])&gt;1</f>
        <v>0</v>
      </c>
      <c r="M507" t="str">
        <f t="shared" si="7"/>
        <v>£40,000 - £44,999</v>
      </c>
      <c r="N507" t="str" cm="1">
        <f t="array" ref="N50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07">
        <f>FLOOR(Sales_Export_2019_2020__2[[#This Row],[order_value_GBP]],5000)</f>
        <v>40000</v>
      </c>
    </row>
    <row r="508" spans="1:15" x14ac:dyDescent="0.35">
      <c r="A508" t="s">
        <v>53</v>
      </c>
      <c r="B508" s="2">
        <v>125499.82</v>
      </c>
      <c r="C508" s="2">
        <v>100977.16</v>
      </c>
      <c r="D508" s="1">
        <v>43563</v>
      </c>
      <c r="E508" t="s">
        <v>30</v>
      </c>
      <c r="F508" t="s">
        <v>150</v>
      </c>
      <c r="G508" t="s">
        <v>55</v>
      </c>
      <c r="H508" t="s">
        <v>133</v>
      </c>
      <c r="I508" t="s">
        <v>28</v>
      </c>
      <c r="J508" t="s">
        <v>662</v>
      </c>
      <c r="K508" s="2">
        <f>Sales_Export_2019_2020__2[[#This Row],[order_value_GBP]]-Sales_Export_2019_2020__2[[#This Row],[ cost ]]</f>
        <v>24522.660000000003</v>
      </c>
      <c r="L508" t="b">
        <f>COUNTIF(Sales_Export_2019_2020__2[order_id],Sales_Export_2019_2020__2[[#This Row],[order_id]])&gt;1</f>
        <v>0</v>
      </c>
      <c r="M508" t="str">
        <f t="shared" si="7"/>
        <v>£125,000 - £129,999</v>
      </c>
      <c r="N508" t="str" cm="1">
        <f t="array" ref="N50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08">
        <f>FLOOR(Sales_Export_2019_2020__2[[#This Row],[order_value_GBP]],5000)</f>
        <v>125000</v>
      </c>
    </row>
    <row r="509" spans="1:15" x14ac:dyDescent="0.35">
      <c r="A509" t="s">
        <v>17</v>
      </c>
      <c r="B509" s="2">
        <v>222379.49</v>
      </c>
      <c r="C509" s="2">
        <v>192869.73</v>
      </c>
      <c r="D509" s="1">
        <v>43656</v>
      </c>
      <c r="E509" t="s">
        <v>30</v>
      </c>
      <c r="F509" t="s">
        <v>123</v>
      </c>
      <c r="G509" t="s">
        <v>20</v>
      </c>
      <c r="H509" t="s">
        <v>353</v>
      </c>
      <c r="I509" t="s">
        <v>15</v>
      </c>
      <c r="J509" t="s">
        <v>663</v>
      </c>
      <c r="K509" s="2">
        <f>Sales_Export_2019_2020__2[[#This Row],[order_value_GBP]]-Sales_Export_2019_2020__2[[#This Row],[ cost ]]</f>
        <v>29509.75999999998</v>
      </c>
      <c r="L509" t="b">
        <f>COUNTIF(Sales_Export_2019_2020__2[order_id],Sales_Export_2019_2020__2[[#This Row],[order_id]])&gt;1</f>
        <v>0</v>
      </c>
      <c r="M509" t="str">
        <f t="shared" si="7"/>
        <v>£220,000 - £224,999</v>
      </c>
      <c r="N509" t="str" cm="1">
        <f t="array" ref="N50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09">
        <f>FLOOR(Sales_Export_2019_2020__2[[#This Row],[order_value_GBP]],5000)</f>
        <v>220000</v>
      </c>
    </row>
    <row r="510" spans="1:15" x14ac:dyDescent="0.35">
      <c r="A510" t="s">
        <v>23</v>
      </c>
      <c r="B510" s="2">
        <v>85390.17</v>
      </c>
      <c r="C510" s="2">
        <v>74400.460000000006</v>
      </c>
      <c r="D510" s="1">
        <v>43490</v>
      </c>
      <c r="E510" t="s">
        <v>80</v>
      </c>
      <c r="F510" t="s">
        <v>648</v>
      </c>
      <c r="G510" t="s">
        <v>26</v>
      </c>
      <c r="H510" t="s">
        <v>219</v>
      </c>
      <c r="I510" t="s">
        <v>28</v>
      </c>
      <c r="J510" t="s">
        <v>664</v>
      </c>
      <c r="K510" s="2">
        <f>Sales_Export_2019_2020__2[[#This Row],[order_value_GBP]]-Sales_Export_2019_2020__2[[#This Row],[ cost ]]</f>
        <v>10989.709999999992</v>
      </c>
      <c r="L510" t="b">
        <f>COUNTIF(Sales_Export_2019_2020__2[order_id],Sales_Export_2019_2020__2[[#This Row],[order_id]])&gt;1</f>
        <v>0</v>
      </c>
      <c r="M510" t="str">
        <f t="shared" si="7"/>
        <v>£85,000 - £89,999</v>
      </c>
      <c r="N510" t="str" cm="1">
        <f t="array" ref="N51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10">
        <f>FLOOR(Sales_Export_2019_2020__2[[#This Row],[order_value_GBP]],5000)</f>
        <v>85000</v>
      </c>
    </row>
    <row r="511" spans="1:15" x14ac:dyDescent="0.35">
      <c r="A511" t="s">
        <v>23</v>
      </c>
      <c r="B511" s="2">
        <v>97514.7</v>
      </c>
      <c r="C511" s="2">
        <v>80790.929999999993</v>
      </c>
      <c r="D511" s="1">
        <v>43873</v>
      </c>
      <c r="E511" t="s">
        <v>51</v>
      </c>
      <c r="F511" t="s">
        <v>68</v>
      </c>
      <c r="G511" t="s">
        <v>26</v>
      </c>
      <c r="H511" t="s">
        <v>90</v>
      </c>
      <c r="I511" t="s">
        <v>28</v>
      </c>
      <c r="J511" t="s">
        <v>665</v>
      </c>
      <c r="K511" s="2">
        <f>Sales_Export_2019_2020__2[[#This Row],[order_value_GBP]]-Sales_Export_2019_2020__2[[#This Row],[ cost ]]</f>
        <v>16723.770000000004</v>
      </c>
      <c r="L511" t="b">
        <f>COUNTIF(Sales_Export_2019_2020__2[order_id],Sales_Export_2019_2020__2[[#This Row],[order_id]])&gt;1</f>
        <v>0</v>
      </c>
      <c r="M511" t="str">
        <f t="shared" si="7"/>
        <v>£95,000 - £99,999</v>
      </c>
      <c r="N511" t="str" cm="1">
        <f t="array" ref="N51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11">
        <f>FLOOR(Sales_Export_2019_2020__2[[#This Row],[order_value_GBP]],5000)</f>
        <v>95000</v>
      </c>
    </row>
    <row r="512" spans="1:15" x14ac:dyDescent="0.35">
      <c r="A512" t="s">
        <v>45</v>
      </c>
      <c r="B512" s="2">
        <v>87321.89</v>
      </c>
      <c r="C512" s="2">
        <v>69254.990000000005</v>
      </c>
      <c r="D512" s="1">
        <v>43482</v>
      </c>
      <c r="E512" t="s">
        <v>80</v>
      </c>
      <c r="F512" t="s">
        <v>68</v>
      </c>
      <c r="G512" t="s">
        <v>48</v>
      </c>
      <c r="H512" t="s">
        <v>49</v>
      </c>
      <c r="I512" t="s">
        <v>15</v>
      </c>
      <c r="J512" t="s">
        <v>666</v>
      </c>
      <c r="K512" s="2">
        <f>Sales_Export_2019_2020__2[[#This Row],[order_value_GBP]]-Sales_Export_2019_2020__2[[#This Row],[ cost ]]</f>
        <v>18066.899999999994</v>
      </c>
      <c r="L512" t="b">
        <f>COUNTIF(Sales_Export_2019_2020__2[order_id],Sales_Export_2019_2020__2[[#This Row],[order_id]])&gt;1</f>
        <v>0</v>
      </c>
      <c r="M512" t="str">
        <f t="shared" si="7"/>
        <v>£85,000 - £89,999</v>
      </c>
      <c r="N512" t="str" cm="1">
        <f t="array" ref="N51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12">
        <f>FLOOR(Sales_Export_2019_2020__2[[#This Row],[order_value_GBP]],5000)</f>
        <v>85000</v>
      </c>
    </row>
    <row r="513" spans="1:15" x14ac:dyDescent="0.35">
      <c r="A513" t="s">
        <v>10</v>
      </c>
      <c r="B513" s="2">
        <v>205059.8</v>
      </c>
      <c r="C513" s="2">
        <v>173029.46</v>
      </c>
      <c r="D513" s="1">
        <v>44005</v>
      </c>
      <c r="E513" t="s">
        <v>80</v>
      </c>
      <c r="F513" t="s">
        <v>380</v>
      </c>
      <c r="G513" t="s">
        <v>13</v>
      </c>
      <c r="H513" t="s">
        <v>118</v>
      </c>
      <c r="I513" t="s">
        <v>28</v>
      </c>
      <c r="J513" t="s">
        <v>667</v>
      </c>
      <c r="K513" s="2">
        <f>Sales_Export_2019_2020__2[[#This Row],[order_value_GBP]]-Sales_Export_2019_2020__2[[#This Row],[ cost ]]</f>
        <v>32030.339999999997</v>
      </c>
      <c r="L513" t="b">
        <f>COUNTIF(Sales_Export_2019_2020__2[order_id],Sales_Export_2019_2020__2[[#This Row],[order_id]])&gt;1</f>
        <v>0</v>
      </c>
      <c r="M513" t="str">
        <f t="shared" si="7"/>
        <v>£205,000 - £209,999</v>
      </c>
      <c r="N513" t="str" cm="1">
        <f t="array" ref="N51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13">
        <f>FLOOR(Sales_Export_2019_2020__2[[#This Row],[order_value_GBP]],5000)</f>
        <v>205000</v>
      </c>
    </row>
    <row r="514" spans="1:15" x14ac:dyDescent="0.35">
      <c r="A514" t="s">
        <v>23</v>
      </c>
      <c r="B514" s="2">
        <v>105833.52</v>
      </c>
      <c r="C514" s="2">
        <v>85312.4</v>
      </c>
      <c r="D514" s="1">
        <v>43544</v>
      </c>
      <c r="E514" t="s">
        <v>60</v>
      </c>
      <c r="F514" t="s">
        <v>182</v>
      </c>
      <c r="G514" t="s">
        <v>26</v>
      </c>
      <c r="H514" t="s">
        <v>76</v>
      </c>
      <c r="I514" t="s">
        <v>28</v>
      </c>
      <c r="J514" t="s">
        <v>668</v>
      </c>
      <c r="K514" s="2">
        <f>Sales_Export_2019_2020__2[[#This Row],[order_value_GBP]]-Sales_Export_2019_2020__2[[#This Row],[ cost ]]</f>
        <v>20521.12000000001</v>
      </c>
      <c r="L514" t="b">
        <f>COUNTIF(Sales_Export_2019_2020__2[order_id],Sales_Export_2019_2020__2[[#This Row],[order_id]])&gt;1</f>
        <v>0</v>
      </c>
      <c r="M514" t="str">
        <f t="shared" ref="M514:M545" si="8">TEXT(FLOOR(B514,5000),"£#,##0")&amp;" - "&amp;TEXT(FLOOR(B514,5000)+4999,"£#,##0")</f>
        <v>£105,000 - £109,999</v>
      </c>
      <c r="N514" t="str" cm="1">
        <f t="array" ref="N51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14">
        <f>FLOOR(Sales_Export_2019_2020__2[[#This Row],[order_value_GBP]],5000)</f>
        <v>105000</v>
      </c>
    </row>
    <row r="515" spans="1:15" x14ac:dyDescent="0.35">
      <c r="A515" t="s">
        <v>53</v>
      </c>
      <c r="B515" s="2">
        <v>40043.11</v>
      </c>
      <c r="C515" s="2">
        <v>35109.800000000003</v>
      </c>
      <c r="D515" s="1">
        <v>44081</v>
      </c>
      <c r="E515" t="s">
        <v>51</v>
      </c>
      <c r="F515" t="s">
        <v>302</v>
      </c>
      <c r="G515" t="s">
        <v>55</v>
      </c>
      <c r="H515" t="s">
        <v>133</v>
      </c>
      <c r="I515" t="s">
        <v>28</v>
      </c>
      <c r="J515" t="s">
        <v>669</v>
      </c>
      <c r="K515" s="2">
        <f>Sales_Export_2019_2020__2[[#This Row],[order_value_GBP]]-Sales_Export_2019_2020__2[[#This Row],[ cost ]]</f>
        <v>4933.3099999999977</v>
      </c>
      <c r="L515" t="b">
        <f>COUNTIF(Sales_Export_2019_2020__2[order_id],Sales_Export_2019_2020__2[[#This Row],[order_id]])&gt;1</f>
        <v>0</v>
      </c>
      <c r="M515" t="str">
        <f t="shared" si="8"/>
        <v>£40,000 - £44,999</v>
      </c>
      <c r="N515" t="str" cm="1">
        <f t="array" ref="N51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15">
        <f>FLOOR(Sales_Export_2019_2020__2[[#This Row],[order_value_GBP]],5000)</f>
        <v>40000</v>
      </c>
    </row>
    <row r="516" spans="1:15" x14ac:dyDescent="0.35">
      <c r="A516" t="s">
        <v>23</v>
      </c>
      <c r="B516" s="2">
        <v>57859.08</v>
      </c>
      <c r="C516" s="2">
        <v>47756.88</v>
      </c>
      <c r="D516" s="1">
        <v>43807</v>
      </c>
      <c r="E516" t="s">
        <v>11</v>
      </c>
      <c r="F516" t="s">
        <v>31</v>
      </c>
      <c r="G516" t="s">
        <v>26</v>
      </c>
      <c r="H516" t="s">
        <v>32</v>
      </c>
      <c r="I516" t="s">
        <v>15</v>
      </c>
      <c r="J516" t="s">
        <v>670</v>
      </c>
      <c r="K516" s="2">
        <f>Sales_Export_2019_2020__2[[#This Row],[order_value_GBP]]-Sales_Export_2019_2020__2[[#This Row],[ cost ]]</f>
        <v>10102.200000000004</v>
      </c>
      <c r="L516" t="b">
        <f>COUNTIF(Sales_Export_2019_2020__2[order_id],Sales_Export_2019_2020__2[[#This Row],[order_id]])&gt;1</f>
        <v>0</v>
      </c>
      <c r="M516" t="str">
        <f t="shared" si="8"/>
        <v>£55,000 - £59,999</v>
      </c>
      <c r="N516" t="str" cm="1">
        <f t="array" ref="N51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16">
        <f>FLOOR(Sales_Export_2019_2020__2[[#This Row],[order_value_GBP]],5000)</f>
        <v>55000</v>
      </c>
    </row>
    <row r="517" spans="1:15" x14ac:dyDescent="0.35">
      <c r="A517" t="s">
        <v>53</v>
      </c>
      <c r="B517" s="2">
        <v>132235.46</v>
      </c>
      <c r="C517" s="2">
        <v>114132.43</v>
      </c>
      <c r="D517" s="1">
        <v>43983</v>
      </c>
      <c r="E517" t="s">
        <v>11</v>
      </c>
      <c r="F517" t="s">
        <v>178</v>
      </c>
      <c r="G517" t="s">
        <v>55</v>
      </c>
      <c r="H517" t="s">
        <v>133</v>
      </c>
      <c r="I517" t="s">
        <v>28</v>
      </c>
      <c r="J517" t="s">
        <v>671</v>
      </c>
      <c r="K517" s="2">
        <f>Sales_Export_2019_2020__2[[#This Row],[order_value_GBP]]-Sales_Export_2019_2020__2[[#This Row],[ cost ]]</f>
        <v>18103.03</v>
      </c>
      <c r="L517" t="b">
        <f>COUNTIF(Sales_Export_2019_2020__2[order_id],Sales_Export_2019_2020__2[[#This Row],[order_id]])&gt;1</f>
        <v>0</v>
      </c>
      <c r="M517" t="str">
        <f t="shared" si="8"/>
        <v>£130,000 - £134,999</v>
      </c>
      <c r="N517" t="str" cm="1">
        <f t="array" ref="N51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17">
        <f>FLOOR(Sales_Export_2019_2020__2[[#This Row],[order_value_GBP]],5000)</f>
        <v>130000</v>
      </c>
    </row>
    <row r="518" spans="1:15" x14ac:dyDescent="0.35">
      <c r="A518" t="s">
        <v>45</v>
      </c>
      <c r="B518" s="2">
        <v>33724.53</v>
      </c>
      <c r="C518" s="2">
        <v>26770.53</v>
      </c>
      <c r="D518" s="1">
        <v>43860</v>
      </c>
      <c r="E518" t="s">
        <v>30</v>
      </c>
      <c r="F518" t="s">
        <v>672</v>
      </c>
      <c r="G518" t="s">
        <v>48</v>
      </c>
      <c r="H518" t="s">
        <v>49</v>
      </c>
      <c r="I518" t="s">
        <v>15</v>
      </c>
      <c r="J518" t="s">
        <v>673</v>
      </c>
      <c r="K518" s="2">
        <f>Sales_Export_2019_2020__2[[#This Row],[order_value_GBP]]-Sales_Export_2019_2020__2[[#This Row],[ cost ]]</f>
        <v>6954</v>
      </c>
      <c r="L518" t="b">
        <f>COUNTIF(Sales_Export_2019_2020__2[order_id],Sales_Export_2019_2020__2[[#This Row],[order_id]])&gt;1</f>
        <v>0</v>
      </c>
      <c r="M518" t="str">
        <f t="shared" si="8"/>
        <v>£30,000 - £34,999</v>
      </c>
      <c r="N518" t="str" cm="1">
        <f t="array" ref="N51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18">
        <f>FLOOR(Sales_Export_2019_2020__2[[#This Row],[order_value_GBP]],5000)</f>
        <v>30000</v>
      </c>
    </row>
    <row r="519" spans="1:15" x14ac:dyDescent="0.35">
      <c r="A519" t="s">
        <v>173</v>
      </c>
      <c r="B519" s="2">
        <v>36070.76</v>
      </c>
      <c r="C519" s="2">
        <v>29339.96</v>
      </c>
      <c r="D519" s="1">
        <v>43602</v>
      </c>
      <c r="E519" t="s">
        <v>139</v>
      </c>
      <c r="F519" t="s">
        <v>114</v>
      </c>
      <c r="G519" t="s">
        <v>175</v>
      </c>
      <c r="H519" t="s">
        <v>176</v>
      </c>
      <c r="I519" t="s">
        <v>15</v>
      </c>
      <c r="J519" t="s">
        <v>674</v>
      </c>
      <c r="K519" s="2">
        <f>Sales_Export_2019_2020__2[[#This Row],[order_value_GBP]]-Sales_Export_2019_2020__2[[#This Row],[ cost ]]</f>
        <v>6730.8000000000029</v>
      </c>
      <c r="L519" t="b">
        <f>COUNTIF(Sales_Export_2019_2020__2[order_id],Sales_Export_2019_2020__2[[#This Row],[order_id]])&gt;1</f>
        <v>0</v>
      </c>
      <c r="M519" t="str">
        <f t="shared" si="8"/>
        <v>£35,000 - £39,999</v>
      </c>
      <c r="N519" t="str" cm="1">
        <f t="array" ref="N51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19">
        <f>FLOOR(Sales_Export_2019_2020__2[[#This Row],[order_value_GBP]],5000)</f>
        <v>35000</v>
      </c>
    </row>
    <row r="520" spans="1:15" x14ac:dyDescent="0.35">
      <c r="A520" t="s">
        <v>10</v>
      </c>
      <c r="B520" s="2">
        <v>39457.339999999997</v>
      </c>
      <c r="C520" s="2">
        <v>32793</v>
      </c>
      <c r="D520" s="1">
        <v>44124</v>
      </c>
      <c r="E520" t="s">
        <v>30</v>
      </c>
      <c r="F520" t="s">
        <v>282</v>
      </c>
      <c r="G520" t="s">
        <v>13</v>
      </c>
      <c r="H520" t="s">
        <v>69</v>
      </c>
      <c r="I520" t="s">
        <v>28</v>
      </c>
      <c r="J520" t="s">
        <v>675</v>
      </c>
      <c r="K520" s="2">
        <f>Sales_Export_2019_2020__2[[#This Row],[order_value_GBP]]-Sales_Export_2019_2020__2[[#This Row],[ cost ]]</f>
        <v>6664.3399999999965</v>
      </c>
      <c r="L520" t="b">
        <f>COUNTIF(Sales_Export_2019_2020__2[order_id],Sales_Export_2019_2020__2[[#This Row],[order_id]])&gt;1</f>
        <v>0</v>
      </c>
      <c r="M520" t="str">
        <f t="shared" si="8"/>
        <v>£35,000 - £39,999</v>
      </c>
      <c r="N520" t="str" cm="1">
        <f t="array" ref="N52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20">
        <f>FLOOR(Sales_Export_2019_2020__2[[#This Row],[order_value_GBP]],5000)</f>
        <v>35000</v>
      </c>
    </row>
    <row r="521" spans="1:15" x14ac:dyDescent="0.35">
      <c r="A521" t="s">
        <v>138</v>
      </c>
      <c r="B521" s="2">
        <v>38536.92</v>
      </c>
      <c r="C521" s="2">
        <v>32001.06</v>
      </c>
      <c r="D521" s="1">
        <v>43979</v>
      </c>
      <c r="E521" t="s">
        <v>11</v>
      </c>
      <c r="F521" t="s">
        <v>150</v>
      </c>
      <c r="G521" t="s">
        <v>140</v>
      </c>
      <c r="H521" t="s">
        <v>141</v>
      </c>
      <c r="I521" t="s">
        <v>15</v>
      </c>
      <c r="J521" t="s">
        <v>676</v>
      </c>
      <c r="K521" s="2">
        <f>Sales_Export_2019_2020__2[[#This Row],[order_value_GBP]]-Sales_Export_2019_2020__2[[#This Row],[ cost ]]</f>
        <v>6535.8599999999969</v>
      </c>
      <c r="L521" t="b">
        <f>COUNTIF(Sales_Export_2019_2020__2[order_id],Sales_Export_2019_2020__2[[#This Row],[order_id]])&gt;1</f>
        <v>0</v>
      </c>
      <c r="M521" t="str">
        <f t="shared" si="8"/>
        <v>£35,000 - £39,999</v>
      </c>
      <c r="N521" t="str" cm="1">
        <f t="array" ref="N52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21">
        <f>FLOOR(Sales_Export_2019_2020__2[[#This Row],[order_value_GBP]],5000)</f>
        <v>35000</v>
      </c>
    </row>
    <row r="522" spans="1:15" x14ac:dyDescent="0.35">
      <c r="A522" t="s">
        <v>53</v>
      </c>
      <c r="B522" s="2">
        <v>173829.96</v>
      </c>
      <c r="C522" s="2">
        <v>149824.04</v>
      </c>
      <c r="D522" s="1">
        <v>43731</v>
      </c>
      <c r="E522" t="s">
        <v>30</v>
      </c>
      <c r="F522" t="s">
        <v>121</v>
      </c>
      <c r="G522" t="s">
        <v>55</v>
      </c>
      <c r="H522" t="s">
        <v>72</v>
      </c>
      <c r="I522" t="s">
        <v>28</v>
      </c>
      <c r="J522" t="s">
        <v>677</v>
      </c>
      <c r="K522" s="2">
        <f>Sales_Export_2019_2020__2[[#This Row],[order_value_GBP]]-Sales_Export_2019_2020__2[[#This Row],[ cost ]]</f>
        <v>24005.919999999984</v>
      </c>
      <c r="L522" t="b">
        <f>COUNTIF(Sales_Export_2019_2020__2[order_id],Sales_Export_2019_2020__2[[#This Row],[order_id]])&gt;1</f>
        <v>0</v>
      </c>
      <c r="M522" t="str">
        <f t="shared" si="8"/>
        <v>£170,000 - £174,999</v>
      </c>
      <c r="N522" t="str" cm="1">
        <f t="array" ref="N52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22">
        <f>FLOOR(Sales_Export_2019_2020__2[[#This Row],[order_value_GBP]],5000)</f>
        <v>170000</v>
      </c>
    </row>
    <row r="523" spans="1:15" x14ac:dyDescent="0.35">
      <c r="A523" t="s">
        <v>23</v>
      </c>
      <c r="B523" s="2">
        <v>37521.39</v>
      </c>
      <c r="C523" s="2">
        <v>29701.93</v>
      </c>
      <c r="D523" s="1">
        <v>43848</v>
      </c>
      <c r="E523" t="s">
        <v>30</v>
      </c>
      <c r="F523" t="s">
        <v>114</v>
      </c>
      <c r="G523" t="s">
        <v>26</v>
      </c>
      <c r="H523" t="s">
        <v>90</v>
      </c>
      <c r="I523" t="s">
        <v>28</v>
      </c>
      <c r="J523" t="s">
        <v>678</v>
      </c>
      <c r="K523" s="2">
        <f>Sales_Export_2019_2020__2[[#This Row],[order_value_GBP]]-Sales_Export_2019_2020__2[[#This Row],[ cost ]]</f>
        <v>7819.4599999999991</v>
      </c>
      <c r="L523" t="b">
        <f>COUNTIF(Sales_Export_2019_2020__2[order_id],Sales_Export_2019_2020__2[[#This Row],[order_id]])&gt;1</f>
        <v>0</v>
      </c>
      <c r="M523" t="str">
        <f t="shared" si="8"/>
        <v>£35,000 - £39,999</v>
      </c>
      <c r="N523" t="str" cm="1">
        <f t="array" ref="N52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23">
        <f>FLOOR(Sales_Export_2019_2020__2[[#This Row],[order_value_GBP]],5000)</f>
        <v>35000</v>
      </c>
    </row>
    <row r="524" spans="1:15" x14ac:dyDescent="0.35">
      <c r="A524" t="s">
        <v>23</v>
      </c>
      <c r="B524" s="2">
        <v>119409.43</v>
      </c>
      <c r="C524" s="2">
        <v>102656.29</v>
      </c>
      <c r="D524" s="1">
        <v>43641</v>
      </c>
      <c r="E524" t="s">
        <v>80</v>
      </c>
      <c r="F524" t="s">
        <v>150</v>
      </c>
      <c r="G524" t="s">
        <v>26</v>
      </c>
      <c r="H524" t="s">
        <v>90</v>
      </c>
      <c r="I524" t="s">
        <v>28</v>
      </c>
      <c r="J524" t="s">
        <v>679</v>
      </c>
      <c r="K524" s="2">
        <f>Sales_Export_2019_2020__2[[#This Row],[order_value_GBP]]-Sales_Export_2019_2020__2[[#This Row],[ cost ]]</f>
        <v>16753.14</v>
      </c>
      <c r="L524" t="b">
        <f>COUNTIF(Sales_Export_2019_2020__2[order_id],Sales_Export_2019_2020__2[[#This Row],[order_id]])&gt;1</f>
        <v>0</v>
      </c>
      <c r="M524" t="str">
        <f t="shared" si="8"/>
        <v>£115,000 - £119,999</v>
      </c>
      <c r="N524" t="str" cm="1">
        <f t="array" ref="N52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24">
        <f>FLOOR(Sales_Export_2019_2020__2[[#This Row],[order_value_GBP]],5000)</f>
        <v>115000</v>
      </c>
    </row>
    <row r="525" spans="1:15" x14ac:dyDescent="0.35">
      <c r="A525" t="s">
        <v>346</v>
      </c>
      <c r="B525" s="2">
        <v>248261.86</v>
      </c>
      <c r="C525" s="2">
        <v>206727.65</v>
      </c>
      <c r="D525" s="1">
        <v>43821</v>
      </c>
      <c r="E525" t="s">
        <v>60</v>
      </c>
      <c r="F525" t="s">
        <v>446</v>
      </c>
      <c r="G525" t="s">
        <v>347</v>
      </c>
      <c r="H525" t="s">
        <v>348</v>
      </c>
      <c r="I525" t="s">
        <v>28</v>
      </c>
      <c r="J525" t="s">
        <v>680</v>
      </c>
      <c r="K525" s="2">
        <f>Sales_Export_2019_2020__2[[#This Row],[order_value_GBP]]-Sales_Export_2019_2020__2[[#This Row],[ cost ]]</f>
        <v>41534.209999999992</v>
      </c>
      <c r="L525" t="b">
        <f>COUNTIF(Sales_Export_2019_2020__2[order_id],Sales_Export_2019_2020__2[[#This Row],[order_id]])&gt;1</f>
        <v>0</v>
      </c>
      <c r="M525" t="str">
        <f t="shared" si="8"/>
        <v>£245,000 - £249,999</v>
      </c>
      <c r="N525" t="str" cm="1">
        <f t="array" ref="N52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25">
        <f>FLOOR(Sales_Export_2019_2020__2[[#This Row],[order_value_GBP]],5000)</f>
        <v>245000</v>
      </c>
    </row>
    <row r="526" spans="1:15" x14ac:dyDescent="0.35">
      <c r="A526" t="s">
        <v>45</v>
      </c>
      <c r="B526" s="2">
        <v>96669.92</v>
      </c>
      <c r="C526" s="2">
        <v>76475.570000000007</v>
      </c>
      <c r="D526" s="1">
        <v>44192</v>
      </c>
      <c r="E526" t="s">
        <v>51</v>
      </c>
      <c r="F526" t="s">
        <v>35</v>
      </c>
      <c r="G526" t="s">
        <v>48</v>
      </c>
      <c r="H526" t="s">
        <v>49</v>
      </c>
      <c r="I526" t="s">
        <v>15</v>
      </c>
      <c r="J526" t="s">
        <v>681</v>
      </c>
      <c r="K526" s="2">
        <f>Sales_Export_2019_2020__2[[#This Row],[order_value_GBP]]-Sales_Export_2019_2020__2[[#This Row],[ cost ]]</f>
        <v>20194.349999999991</v>
      </c>
      <c r="L526" t="b">
        <f>COUNTIF(Sales_Export_2019_2020__2[order_id],Sales_Export_2019_2020__2[[#This Row],[order_id]])&gt;1</f>
        <v>0</v>
      </c>
      <c r="M526" t="str">
        <f t="shared" si="8"/>
        <v>£95,000 - £99,999</v>
      </c>
      <c r="N526" t="str" cm="1">
        <f t="array" ref="N52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26">
        <f>FLOOR(Sales_Export_2019_2020__2[[#This Row],[order_value_GBP]],5000)</f>
        <v>95000</v>
      </c>
    </row>
    <row r="527" spans="1:15" x14ac:dyDescent="0.35">
      <c r="A527" t="s">
        <v>53</v>
      </c>
      <c r="B527" s="2">
        <v>264149.90999999997</v>
      </c>
      <c r="C527" s="2">
        <v>208757.67</v>
      </c>
      <c r="D527" s="1">
        <v>44185</v>
      </c>
      <c r="E527" t="s">
        <v>60</v>
      </c>
      <c r="F527" t="s">
        <v>132</v>
      </c>
      <c r="G527" t="s">
        <v>55</v>
      </c>
      <c r="H527" t="s">
        <v>144</v>
      </c>
      <c r="I527" t="s">
        <v>28</v>
      </c>
      <c r="J527" t="s">
        <v>682</v>
      </c>
      <c r="K527" s="2">
        <f>Sales_Export_2019_2020__2[[#This Row],[order_value_GBP]]-Sales_Export_2019_2020__2[[#This Row],[ cost ]]</f>
        <v>55392.239999999962</v>
      </c>
      <c r="L527" t="b">
        <f>COUNTIF(Sales_Export_2019_2020__2[order_id],Sales_Export_2019_2020__2[[#This Row],[order_id]])&gt;1</f>
        <v>0</v>
      </c>
      <c r="M527" t="str">
        <f t="shared" si="8"/>
        <v>£260,000 - £264,999</v>
      </c>
      <c r="N527" t="str" cm="1">
        <f t="array" ref="N52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27">
        <f>FLOOR(Sales_Export_2019_2020__2[[#This Row],[order_value_GBP]],5000)</f>
        <v>260000</v>
      </c>
    </row>
    <row r="528" spans="1:15" x14ac:dyDescent="0.35">
      <c r="A528" t="s">
        <v>23</v>
      </c>
      <c r="B528" s="2">
        <v>216863.04</v>
      </c>
      <c r="C528" s="2">
        <v>175355.45</v>
      </c>
      <c r="D528" s="1">
        <v>43670</v>
      </c>
      <c r="E528" t="s">
        <v>30</v>
      </c>
      <c r="F528" t="s">
        <v>210</v>
      </c>
      <c r="G528" t="s">
        <v>26</v>
      </c>
      <c r="H528" t="s">
        <v>76</v>
      </c>
      <c r="I528" t="s">
        <v>38</v>
      </c>
      <c r="J528" t="s">
        <v>683</v>
      </c>
      <c r="K528" s="2">
        <f>Sales_Export_2019_2020__2[[#This Row],[order_value_GBP]]-Sales_Export_2019_2020__2[[#This Row],[ cost ]]</f>
        <v>41507.589999999997</v>
      </c>
      <c r="L528" t="b">
        <f>COUNTIF(Sales_Export_2019_2020__2[order_id],Sales_Export_2019_2020__2[[#This Row],[order_id]])&gt;1</f>
        <v>0</v>
      </c>
      <c r="M528" t="str">
        <f t="shared" si="8"/>
        <v>£215,000 - £219,999</v>
      </c>
      <c r="N528" t="str" cm="1">
        <f t="array" ref="N52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28">
        <f>FLOOR(Sales_Export_2019_2020__2[[#This Row],[order_value_GBP]],5000)</f>
        <v>215000</v>
      </c>
    </row>
    <row r="529" spans="1:15" x14ac:dyDescent="0.35">
      <c r="A529" t="s">
        <v>53</v>
      </c>
      <c r="B529" s="2">
        <v>140943.88</v>
      </c>
      <c r="C529" s="2">
        <v>120633.87</v>
      </c>
      <c r="D529" s="1">
        <v>43979</v>
      </c>
      <c r="E529" t="s">
        <v>51</v>
      </c>
      <c r="F529" t="s">
        <v>97</v>
      </c>
      <c r="G529" t="s">
        <v>55</v>
      </c>
      <c r="H529" t="s">
        <v>144</v>
      </c>
      <c r="I529" t="s">
        <v>38</v>
      </c>
      <c r="J529" t="s">
        <v>684</v>
      </c>
      <c r="K529" s="2">
        <f>Sales_Export_2019_2020__2[[#This Row],[order_value_GBP]]-Sales_Export_2019_2020__2[[#This Row],[ cost ]]</f>
        <v>20310.010000000009</v>
      </c>
      <c r="L529" t="b">
        <f>COUNTIF(Sales_Export_2019_2020__2[order_id],Sales_Export_2019_2020__2[[#This Row],[order_id]])&gt;1</f>
        <v>0</v>
      </c>
      <c r="M529" t="str">
        <f t="shared" si="8"/>
        <v>£140,000 - £144,999</v>
      </c>
      <c r="N529" t="str" cm="1">
        <f t="array" ref="N52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29">
        <f>FLOOR(Sales_Export_2019_2020__2[[#This Row],[order_value_GBP]],5000)</f>
        <v>140000</v>
      </c>
    </row>
    <row r="530" spans="1:15" x14ac:dyDescent="0.35">
      <c r="A530" t="s">
        <v>106</v>
      </c>
      <c r="B530" s="2">
        <v>82525.61</v>
      </c>
      <c r="C530" s="2">
        <v>68446.740000000005</v>
      </c>
      <c r="D530" s="1">
        <v>43525</v>
      </c>
      <c r="E530" t="s">
        <v>24</v>
      </c>
      <c r="F530" t="s">
        <v>35</v>
      </c>
      <c r="G530" t="s">
        <v>107</v>
      </c>
      <c r="H530" t="s">
        <v>108</v>
      </c>
      <c r="I530" t="s">
        <v>28</v>
      </c>
      <c r="J530" t="s">
        <v>685</v>
      </c>
      <c r="K530" s="2">
        <f>Sales_Export_2019_2020__2[[#This Row],[order_value_GBP]]-Sales_Export_2019_2020__2[[#This Row],[ cost ]]</f>
        <v>14078.869999999995</v>
      </c>
      <c r="L530" t="b">
        <f>COUNTIF(Sales_Export_2019_2020__2[order_id],Sales_Export_2019_2020__2[[#This Row],[order_id]])&gt;1</f>
        <v>0</v>
      </c>
      <c r="M530" t="str">
        <f t="shared" si="8"/>
        <v>£80,000 - £84,999</v>
      </c>
      <c r="N530" t="str" cm="1">
        <f t="array" ref="N53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30">
        <f>FLOOR(Sales_Export_2019_2020__2[[#This Row],[order_value_GBP]],5000)</f>
        <v>80000</v>
      </c>
    </row>
    <row r="531" spans="1:15" x14ac:dyDescent="0.35">
      <c r="A531" t="s">
        <v>23</v>
      </c>
      <c r="B531" s="2">
        <v>19622.59</v>
      </c>
      <c r="C531" s="2">
        <v>17148.18</v>
      </c>
      <c r="D531" s="1">
        <v>43896</v>
      </c>
      <c r="E531" t="s">
        <v>24</v>
      </c>
      <c r="F531" t="s">
        <v>146</v>
      </c>
      <c r="G531" t="s">
        <v>26</v>
      </c>
      <c r="H531" t="s">
        <v>32</v>
      </c>
      <c r="I531" t="s">
        <v>28</v>
      </c>
      <c r="J531" t="s">
        <v>686</v>
      </c>
      <c r="K531" s="2">
        <f>Sales_Export_2019_2020__2[[#This Row],[order_value_GBP]]-Sales_Export_2019_2020__2[[#This Row],[ cost ]]</f>
        <v>2474.41</v>
      </c>
      <c r="L531" t="b">
        <f>COUNTIF(Sales_Export_2019_2020__2[order_id],Sales_Export_2019_2020__2[[#This Row],[order_id]])&gt;1</f>
        <v>0</v>
      </c>
      <c r="M531" t="str">
        <f t="shared" si="8"/>
        <v>£15,000 - £19,999</v>
      </c>
      <c r="N531" t="str" cm="1">
        <f t="array" ref="N53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31">
        <f>FLOOR(Sales_Export_2019_2020__2[[#This Row],[order_value_GBP]],5000)</f>
        <v>15000</v>
      </c>
    </row>
    <row r="532" spans="1:15" x14ac:dyDescent="0.35">
      <c r="A532" t="s">
        <v>10</v>
      </c>
      <c r="B532" s="2">
        <v>263713.12</v>
      </c>
      <c r="C532" s="2">
        <v>216165.64</v>
      </c>
      <c r="D532" s="1">
        <v>44012</v>
      </c>
      <c r="E532" t="s">
        <v>80</v>
      </c>
      <c r="F532" t="s">
        <v>132</v>
      </c>
      <c r="G532" t="s">
        <v>13</v>
      </c>
      <c r="H532" t="s">
        <v>170</v>
      </c>
      <c r="I532" t="s">
        <v>28</v>
      </c>
      <c r="J532" t="s">
        <v>687</v>
      </c>
      <c r="K532" s="2">
        <f>Sales_Export_2019_2020__2[[#This Row],[order_value_GBP]]-Sales_Export_2019_2020__2[[#This Row],[ cost ]]</f>
        <v>47547.479999999981</v>
      </c>
      <c r="L532" t="b">
        <f>COUNTIF(Sales_Export_2019_2020__2[order_id],Sales_Export_2019_2020__2[[#This Row],[order_id]])&gt;1</f>
        <v>0</v>
      </c>
      <c r="M532" t="str">
        <f t="shared" si="8"/>
        <v>£260,000 - £264,999</v>
      </c>
      <c r="N532" t="str" cm="1">
        <f t="array" ref="N53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32">
        <f>FLOOR(Sales_Export_2019_2020__2[[#This Row],[order_value_GBP]],5000)</f>
        <v>260000</v>
      </c>
    </row>
    <row r="533" spans="1:15" x14ac:dyDescent="0.35">
      <c r="A533" t="s">
        <v>23</v>
      </c>
      <c r="B533" s="2">
        <v>284298.56</v>
      </c>
      <c r="C533" s="2">
        <v>229656.38</v>
      </c>
      <c r="D533" s="1">
        <v>44015</v>
      </c>
      <c r="E533" t="s">
        <v>24</v>
      </c>
      <c r="F533" t="s">
        <v>327</v>
      </c>
      <c r="G533" t="s">
        <v>26</v>
      </c>
      <c r="H533" t="s">
        <v>76</v>
      </c>
      <c r="I533" t="s">
        <v>28</v>
      </c>
      <c r="J533" t="s">
        <v>688</v>
      </c>
      <c r="K533" s="2">
        <f>Sales_Export_2019_2020__2[[#This Row],[order_value_GBP]]-Sales_Export_2019_2020__2[[#This Row],[ cost ]]</f>
        <v>54642.179999999993</v>
      </c>
      <c r="L533" t="b">
        <f>COUNTIF(Sales_Export_2019_2020__2[order_id],Sales_Export_2019_2020__2[[#This Row],[order_id]])&gt;1</f>
        <v>0</v>
      </c>
      <c r="M533" t="str">
        <f t="shared" si="8"/>
        <v>£280,000 - £284,999</v>
      </c>
      <c r="N533" t="str" cm="1">
        <f t="array" ref="N53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33">
        <f>FLOOR(Sales_Export_2019_2020__2[[#This Row],[order_value_GBP]],5000)</f>
        <v>280000</v>
      </c>
    </row>
    <row r="534" spans="1:15" x14ac:dyDescent="0.35">
      <c r="A534" t="s">
        <v>10</v>
      </c>
      <c r="B534" s="2">
        <v>98320.37</v>
      </c>
      <c r="C534" s="2">
        <v>77722.25</v>
      </c>
      <c r="D534" s="1">
        <v>44066</v>
      </c>
      <c r="E534" t="s">
        <v>18</v>
      </c>
      <c r="F534" t="s">
        <v>311</v>
      </c>
      <c r="G534" t="s">
        <v>13</v>
      </c>
      <c r="H534" t="s">
        <v>170</v>
      </c>
      <c r="I534" t="s">
        <v>38</v>
      </c>
      <c r="J534" t="s">
        <v>689</v>
      </c>
      <c r="K534" s="2">
        <f>Sales_Export_2019_2020__2[[#This Row],[order_value_GBP]]-Sales_Export_2019_2020__2[[#This Row],[ cost ]]</f>
        <v>20598.119999999995</v>
      </c>
      <c r="L534" t="b">
        <f>COUNTIF(Sales_Export_2019_2020__2[order_id],Sales_Export_2019_2020__2[[#This Row],[order_id]])&gt;1</f>
        <v>0</v>
      </c>
      <c r="M534" t="str">
        <f t="shared" si="8"/>
        <v>£95,000 - £99,999</v>
      </c>
      <c r="N534" t="str" cm="1">
        <f t="array" ref="N53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34">
        <f>FLOOR(Sales_Export_2019_2020__2[[#This Row],[order_value_GBP]],5000)</f>
        <v>95000</v>
      </c>
    </row>
    <row r="535" spans="1:15" x14ac:dyDescent="0.35">
      <c r="A535" t="s">
        <v>45</v>
      </c>
      <c r="B535" s="2">
        <v>128112.26</v>
      </c>
      <c r="C535" s="2">
        <v>104975.19</v>
      </c>
      <c r="D535" s="1">
        <v>44174</v>
      </c>
      <c r="E535" t="s">
        <v>11</v>
      </c>
      <c r="F535" t="s">
        <v>31</v>
      </c>
      <c r="G535" t="s">
        <v>48</v>
      </c>
      <c r="H535" t="s">
        <v>74</v>
      </c>
      <c r="I535" t="s">
        <v>28</v>
      </c>
      <c r="J535" t="s">
        <v>690</v>
      </c>
      <c r="K535" s="2">
        <f>Sales_Export_2019_2020__2[[#This Row],[order_value_GBP]]-Sales_Export_2019_2020__2[[#This Row],[ cost ]]</f>
        <v>23137.069999999992</v>
      </c>
      <c r="L535" t="b">
        <f>COUNTIF(Sales_Export_2019_2020__2[order_id],Sales_Export_2019_2020__2[[#This Row],[order_id]])&gt;1</f>
        <v>0</v>
      </c>
      <c r="M535" t="str">
        <f t="shared" si="8"/>
        <v>£125,000 - £129,999</v>
      </c>
      <c r="N535" t="str" cm="1">
        <f t="array" ref="N53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35">
        <f>FLOOR(Sales_Export_2019_2020__2[[#This Row],[order_value_GBP]],5000)</f>
        <v>125000</v>
      </c>
    </row>
    <row r="536" spans="1:15" x14ac:dyDescent="0.35">
      <c r="A536" t="s">
        <v>53</v>
      </c>
      <c r="B536" s="2">
        <v>110878.97</v>
      </c>
      <c r="C536" s="2">
        <v>90588.12</v>
      </c>
      <c r="D536" s="1">
        <v>43867</v>
      </c>
      <c r="E536" t="s">
        <v>51</v>
      </c>
      <c r="F536" t="s">
        <v>311</v>
      </c>
      <c r="G536" t="s">
        <v>55</v>
      </c>
      <c r="H536" t="s">
        <v>72</v>
      </c>
      <c r="I536" t="s">
        <v>28</v>
      </c>
      <c r="J536" t="s">
        <v>691</v>
      </c>
      <c r="K536" s="2">
        <f>Sales_Export_2019_2020__2[[#This Row],[order_value_GBP]]-Sales_Export_2019_2020__2[[#This Row],[ cost ]]</f>
        <v>20290.850000000006</v>
      </c>
      <c r="L536" t="b">
        <f>COUNTIF(Sales_Export_2019_2020__2[order_id],Sales_Export_2019_2020__2[[#This Row],[order_id]])&gt;1</f>
        <v>0</v>
      </c>
      <c r="M536" t="str">
        <f t="shared" si="8"/>
        <v>£110,000 - £114,999</v>
      </c>
      <c r="N536" t="str" cm="1">
        <f t="array" ref="N53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36">
        <f>FLOOR(Sales_Export_2019_2020__2[[#This Row],[order_value_GBP]],5000)</f>
        <v>110000</v>
      </c>
    </row>
    <row r="537" spans="1:15" x14ac:dyDescent="0.35">
      <c r="A537" t="s">
        <v>10</v>
      </c>
      <c r="B537" s="2">
        <v>66225.710000000006</v>
      </c>
      <c r="C537" s="2">
        <v>52437.52</v>
      </c>
      <c r="D537" s="1">
        <v>44079</v>
      </c>
      <c r="E537" t="s">
        <v>11</v>
      </c>
      <c r="F537" t="s">
        <v>25</v>
      </c>
      <c r="G537" t="s">
        <v>13</v>
      </c>
      <c r="H537" t="s">
        <v>82</v>
      </c>
      <c r="I537" t="s">
        <v>28</v>
      </c>
      <c r="J537" t="s">
        <v>692</v>
      </c>
      <c r="K537" s="2">
        <f>Sales_Export_2019_2020__2[[#This Row],[order_value_GBP]]-Sales_Export_2019_2020__2[[#This Row],[ cost ]]</f>
        <v>13788.19000000001</v>
      </c>
      <c r="L537" t="b">
        <f>COUNTIF(Sales_Export_2019_2020__2[order_id],Sales_Export_2019_2020__2[[#This Row],[order_id]])&gt;1</f>
        <v>0</v>
      </c>
      <c r="M537" t="str">
        <f t="shared" si="8"/>
        <v>£65,000 - £69,999</v>
      </c>
      <c r="N537" t="str" cm="1">
        <f t="array" ref="N53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37">
        <f>FLOOR(Sales_Export_2019_2020__2[[#This Row],[order_value_GBP]],5000)</f>
        <v>65000</v>
      </c>
    </row>
    <row r="538" spans="1:15" x14ac:dyDescent="0.35">
      <c r="A538" t="s">
        <v>45</v>
      </c>
      <c r="B538" s="2">
        <v>73727.91</v>
      </c>
      <c r="C538" s="2">
        <v>64047.44</v>
      </c>
      <c r="D538" s="1">
        <v>44115</v>
      </c>
      <c r="E538" t="s">
        <v>11</v>
      </c>
      <c r="F538" t="s">
        <v>302</v>
      </c>
      <c r="G538" t="s">
        <v>48</v>
      </c>
      <c r="H538" t="s">
        <v>49</v>
      </c>
      <c r="I538" t="s">
        <v>28</v>
      </c>
      <c r="J538" t="s">
        <v>693</v>
      </c>
      <c r="K538" s="2">
        <f>Sales_Export_2019_2020__2[[#This Row],[order_value_GBP]]-Sales_Export_2019_2020__2[[#This Row],[ cost ]]</f>
        <v>9680.4700000000012</v>
      </c>
      <c r="L538" t="b">
        <f>COUNTIF(Sales_Export_2019_2020__2[order_id],Sales_Export_2019_2020__2[[#This Row],[order_id]])&gt;1</f>
        <v>0</v>
      </c>
      <c r="M538" t="str">
        <f t="shared" si="8"/>
        <v>£70,000 - £74,999</v>
      </c>
      <c r="N538" t="str" cm="1">
        <f t="array" ref="N53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38">
        <f>FLOOR(Sales_Export_2019_2020__2[[#This Row],[order_value_GBP]],5000)</f>
        <v>70000</v>
      </c>
    </row>
    <row r="539" spans="1:15" x14ac:dyDescent="0.35">
      <c r="A539" t="s">
        <v>346</v>
      </c>
      <c r="B539" s="2">
        <v>22164.959999999999</v>
      </c>
      <c r="C539" s="2">
        <v>17938.099999999999</v>
      </c>
      <c r="D539" s="1">
        <v>43538</v>
      </c>
      <c r="E539" t="s">
        <v>11</v>
      </c>
      <c r="F539" t="s">
        <v>606</v>
      </c>
      <c r="G539" t="s">
        <v>347</v>
      </c>
      <c r="H539" t="s">
        <v>348</v>
      </c>
      <c r="I539" t="s">
        <v>28</v>
      </c>
      <c r="J539" t="s">
        <v>694</v>
      </c>
      <c r="K539" s="2">
        <f>Sales_Export_2019_2020__2[[#This Row],[order_value_GBP]]-Sales_Export_2019_2020__2[[#This Row],[ cost ]]</f>
        <v>4226.8600000000006</v>
      </c>
      <c r="L539" t="b">
        <f>COUNTIF(Sales_Export_2019_2020__2[order_id],Sales_Export_2019_2020__2[[#This Row],[order_id]])&gt;1</f>
        <v>0</v>
      </c>
      <c r="M539" t="str">
        <f t="shared" si="8"/>
        <v>£20,000 - £24,999</v>
      </c>
      <c r="N539" t="str" cm="1">
        <f t="array" ref="N53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39">
        <f>FLOOR(Sales_Export_2019_2020__2[[#This Row],[order_value_GBP]],5000)</f>
        <v>20000</v>
      </c>
    </row>
    <row r="540" spans="1:15" x14ac:dyDescent="0.35">
      <c r="A540" t="s">
        <v>53</v>
      </c>
      <c r="B540" s="2">
        <v>151855.04000000001</v>
      </c>
      <c r="C540" s="2">
        <v>129486.79</v>
      </c>
      <c r="D540" s="1">
        <v>43481</v>
      </c>
      <c r="E540" t="s">
        <v>80</v>
      </c>
      <c r="F540" t="s">
        <v>110</v>
      </c>
      <c r="G540" t="s">
        <v>55</v>
      </c>
      <c r="H540" t="s">
        <v>72</v>
      </c>
      <c r="I540" t="s">
        <v>28</v>
      </c>
      <c r="J540" t="s">
        <v>695</v>
      </c>
      <c r="K540" s="2">
        <f>Sales_Export_2019_2020__2[[#This Row],[order_value_GBP]]-Sales_Export_2019_2020__2[[#This Row],[ cost ]]</f>
        <v>22368.250000000015</v>
      </c>
      <c r="L540" t="b">
        <f>COUNTIF(Sales_Export_2019_2020__2[order_id],Sales_Export_2019_2020__2[[#This Row],[order_id]])&gt;1</f>
        <v>0</v>
      </c>
      <c r="M540" t="str">
        <f t="shared" si="8"/>
        <v>£150,000 - £154,999</v>
      </c>
      <c r="N540" t="str" cm="1">
        <f t="array" ref="N54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40">
        <f>FLOOR(Sales_Export_2019_2020__2[[#This Row],[order_value_GBP]],5000)</f>
        <v>150000</v>
      </c>
    </row>
    <row r="541" spans="1:15" x14ac:dyDescent="0.35">
      <c r="A541" t="s">
        <v>17</v>
      </c>
      <c r="B541" s="2">
        <v>106115.85</v>
      </c>
      <c r="C541" s="2">
        <v>93063.6</v>
      </c>
      <c r="D541" s="1">
        <v>43876</v>
      </c>
      <c r="E541" t="s">
        <v>80</v>
      </c>
      <c r="F541" t="s">
        <v>35</v>
      </c>
      <c r="G541" t="s">
        <v>20</v>
      </c>
      <c r="H541" t="s">
        <v>353</v>
      </c>
      <c r="I541" t="s">
        <v>38</v>
      </c>
      <c r="J541" t="s">
        <v>696</v>
      </c>
      <c r="K541" s="2">
        <f>Sales_Export_2019_2020__2[[#This Row],[order_value_GBP]]-Sales_Export_2019_2020__2[[#This Row],[ cost ]]</f>
        <v>13052.25</v>
      </c>
      <c r="L541" t="b">
        <f>COUNTIF(Sales_Export_2019_2020__2[order_id],Sales_Export_2019_2020__2[[#This Row],[order_id]])&gt;1</f>
        <v>0</v>
      </c>
      <c r="M541" t="str">
        <f t="shared" si="8"/>
        <v>£105,000 - £109,999</v>
      </c>
      <c r="N541" t="str" cm="1">
        <f t="array" ref="N54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41">
        <f>FLOOR(Sales_Export_2019_2020__2[[#This Row],[order_value_GBP]],5000)</f>
        <v>105000</v>
      </c>
    </row>
    <row r="542" spans="1:15" x14ac:dyDescent="0.35">
      <c r="A542" t="s">
        <v>53</v>
      </c>
      <c r="B542" s="2">
        <v>89369</v>
      </c>
      <c r="C542" s="2">
        <v>72889.36</v>
      </c>
      <c r="D542" s="1">
        <v>43832</v>
      </c>
      <c r="E542" t="s">
        <v>60</v>
      </c>
      <c r="F542" t="s">
        <v>58</v>
      </c>
      <c r="G542" t="s">
        <v>55</v>
      </c>
      <c r="H542" t="s">
        <v>133</v>
      </c>
      <c r="I542" t="s">
        <v>28</v>
      </c>
      <c r="J542" t="s">
        <v>697</v>
      </c>
      <c r="K542" s="2">
        <f>Sales_Export_2019_2020__2[[#This Row],[order_value_GBP]]-Sales_Export_2019_2020__2[[#This Row],[ cost ]]</f>
        <v>16479.64</v>
      </c>
      <c r="L542" t="b">
        <f>COUNTIF(Sales_Export_2019_2020__2[order_id],Sales_Export_2019_2020__2[[#This Row],[order_id]])&gt;1</f>
        <v>0</v>
      </c>
      <c r="M542" t="str">
        <f t="shared" si="8"/>
        <v>£85,000 - £89,999</v>
      </c>
      <c r="N542" t="str" cm="1">
        <f t="array" ref="N54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42">
        <f>FLOOR(Sales_Export_2019_2020__2[[#This Row],[order_value_GBP]],5000)</f>
        <v>85000</v>
      </c>
    </row>
    <row r="543" spans="1:15" x14ac:dyDescent="0.35">
      <c r="A543" t="s">
        <v>10</v>
      </c>
      <c r="B543" s="2">
        <v>106076.67</v>
      </c>
      <c r="C543" s="2">
        <v>84765.87</v>
      </c>
      <c r="D543" s="1">
        <v>43748</v>
      </c>
      <c r="E543" t="s">
        <v>80</v>
      </c>
      <c r="F543" t="s">
        <v>302</v>
      </c>
      <c r="G543" t="s">
        <v>13</v>
      </c>
      <c r="H543" t="s">
        <v>14</v>
      </c>
      <c r="I543" t="s">
        <v>15</v>
      </c>
      <c r="J543" t="s">
        <v>698</v>
      </c>
      <c r="K543" s="2">
        <f>Sales_Export_2019_2020__2[[#This Row],[order_value_GBP]]-Sales_Export_2019_2020__2[[#This Row],[ cost ]]</f>
        <v>21310.800000000003</v>
      </c>
      <c r="L543" t="b">
        <f>COUNTIF(Sales_Export_2019_2020__2[order_id],Sales_Export_2019_2020__2[[#This Row],[order_id]])&gt;1</f>
        <v>0</v>
      </c>
      <c r="M543" t="str">
        <f t="shared" si="8"/>
        <v>£105,000 - £109,999</v>
      </c>
      <c r="N543" t="str" cm="1">
        <f t="array" ref="N54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43">
        <f>FLOOR(Sales_Export_2019_2020__2[[#This Row],[order_value_GBP]],5000)</f>
        <v>105000</v>
      </c>
    </row>
    <row r="544" spans="1:15" x14ac:dyDescent="0.35">
      <c r="A544" t="s">
        <v>84</v>
      </c>
      <c r="B544" s="2">
        <v>23290.84</v>
      </c>
      <c r="C544" s="2">
        <v>19147.400000000001</v>
      </c>
      <c r="D544" s="1">
        <v>43521</v>
      </c>
      <c r="E544" t="s">
        <v>80</v>
      </c>
      <c r="F544" t="s">
        <v>311</v>
      </c>
      <c r="G544" t="s">
        <v>85</v>
      </c>
      <c r="H544" t="s">
        <v>86</v>
      </c>
      <c r="I544" t="s">
        <v>28</v>
      </c>
      <c r="J544" t="s">
        <v>699</v>
      </c>
      <c r="K544" s="2">
        <f>Sales_Export_2019_2020__2[[#This Row],[order_value_GBP]]-Sales_Export_2019_2020__2[[#This Row],[ cost ]]</f>
        <v>4143.4399999999987</v>
      </c>
      <c r="L544" t="b">
        <f>COUNTIF(Sales_Export_2019_2020__2[order_id],Sales_Export_2019_2020__2[[#This Row],[order_id]])&gt;1</f>
        <v>0</v>
      </c>
      <c r="M544" t="str">
        <f t="shared" si="8"/>
        <v>£20,000 - £24,999</v>
      </c>
      <c r="N544" t="str" cm="1">
        <f t="array" ref="N54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44">
        <f>FLOOR(Sales_Export_2019_2020__2[[#This Row],[order_value_GBP]],5000)</f>
        <v>20000</v>
      </c>
    </row>
    <row r="545" spans="1:15" x14ac:dyDescent="0.35">
      <c r="A545" t="s">
        <v>53</v>
      </c>
      <c r="B545" s="2">
        <v>83340.039999999994</v>
      </c>
      <c r="C545" s="2">
        <v>73264.23</v>
      </c>
      <c r="D545" s="1">
        <v>43969</v>
      </c>
      <c r="E545" t="s">
        <v>24</v>
      </c>
      <c r="F545" t="s">
        <v>35</v>
      </c>
      <c r="G545" t="s">
        <v>55</v>
      </c>
      <c r="H545" t="s">
        <v>72</v>
      </c>
      <c r="I545" t="s">
        <v>28</v>
      </c>
      <c r="J545" t="s">
        <v>700</v>
      </c>
      <c r="K545" s="2">
        <f>Sales_Export_2019_2020__2[[#This Row],[order_value_GBP]]-Sales_Export_2019_2020__2[[#This Row],[ cost ]]</f>
        <v>10075.809999999998</v>
      </c>
      <c r="L545" t="b">
        <f>COUNTIF(Sales_Export_2019_2020__2[order_id],Sales_Export_2019_2020__2[[#This Row],[order_id]])&gt;1</f>
        <v>0</v>
      </c>
      <c r="M545" t="str">
        <f t="shared" si="8"/>
        <v>£80,000 - £84,999</v>
      </c>
      <c r="N545" t="str" cm="1">
        <f t="array" ref="N54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45">
        <f>FLOOR(Sales_Export_2019_2020__2[[#This Row],[order_value_GBP]],5000)</f>
        <v>80000</v>
      </c>
    </row>
    <row r="546" spans="1:15" x14ac:dyDescent="0.35">
      <c r="A546" t="s">
        <v>346</v>
      </c>
      <c r="B546" s="2">
        <v>39287.29</v>
      </c>
      <c r="C546" s="2">
        <v>31708.77</v>
      </c>
      <c r="D546" s="1">
        <v>43539</v>
      </c>
      <c r="E546" t="s">
        <v>18</v>
      </c>
      <c r="F546" t="s">
        <v>68</v>
      </c>
      <c r="G546" t="s">
        <v>347</v>
      </c>
      <c r="H546" t="s">
        <v>701</v>
      </c>
      <c r="I546" t="s">
        <v>28</v>
      </c>
      <c r="J546" t="s">
        <v>702</v>
      </c>
      <c r="K546" s="2">
        <f>Sales_Export_2019_2020__2[[#This Row],[order_value_GBP]]-Sales_Export_2019_2020__2[[#This Row],[ cost ]]</f>
        <v>7578.52</v>
      </c>
      <c r="L546" t="b">
        <f>COUNTIF(Sales_Export_2019_2020__2[order_id],Sales_Export_2019_2020__2[[#This Row],[order_id]])&gt;1</f>
        <v>0</v>
      </c>
      <c r="M546" t="str">
        <f t="shared" ref="M546:M609" si="9">TEXT(FLOOR(B546,5000),"£#,##0")&amp;" - "&amp;TEXT(FLOOR(B546,5000)+4999,"£#,##0")</f>
        <v>£35,000 - £39,999</v>
      </c>
      <c r="N546" t="str" cm="1">
        <f t="array" ref="N54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46">
        <f>FLOOR(Sales_Export_2019_2020__2[[#This Row],[order_value_GBP]],5000)</f>
        <v>35000</v>
      </c>
    </row>
    <row r="547" spans="1:15" x14ac:dyDescent="0.35">
      <c r="A547" t="s">
        <v>101</v>
      </c>
      <c r="B547" s="2">
        <v>124611.61</v>
      </c>
      <c r="C547" s="2">
        <v>107776.58</v>
      </c>
      <c r="D547" s="1">
        <v>44093</v>
      </c>
      <c r="E547" t="s">
        <v>80</v>
      </c>
      <c r="F547" t="s">
        <v>126</v>
      </c>
      <c r="G547" t="s">
        <v>103</v>
      </c>
      <c r="H547" t="s">
        <v>104</v>
      </c>
      <c r="I547" t="s">
        <v>28</v>
      </c>
      <c r="J547" t="s">
        <v>703</v>
      </c>
      <c r="K547" s="2">
        <f>Sales_Export_2019_2020__2[[#This Row],[order_value_GBP]]-Sales_Export_2019_2020__2[[#This Row],[ cost ]]</f>
        <v>16835.03</v>
      </c>
      <c r="L547" t="b">
        <f>COUNTIF(Sales_Export_2019_2020__2[order_id],Sales_Export_2019_2020__2[[#This Row],[order_id]])&gt;1</f>
        <v>0</v>
      </c>
      <c r="M547" t="str">
        <f t="shared" si="9"/>
        <v>£120,000 - £124,999</v>
      </c>
      <c r="N547" t="str" cm="1">
        <f t="array" ref="N54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47">
        <f>FLOOR(Sales_Export_2019_2020__2[[#This Row],[order_value_GBP]],5000)</f>
        <v>120000</v>
      </c>
    </row>
    <row r="548" spans="1:15" x14ac:dyDescent="0.35">
      <c r="A548" t="s">
        <v>53</v>
      </c>
      <c r="B548" s="2">
        <v>147055.1</v>
      </c>
      <c r="C548" s="2">
        <v>126114.45</v>
      </c>
      <c r="D548" s="1">
        <v>43570</v>
      </c>
      <c r="E548" t="s">
        <v>18</v>
      </c>
      <c r="F548" t="s">
        <v>114</v>
      </c>
      <c r="G548" t="s">
        <v>55</v>
      </c>
      <c r="H548" t="s">
        <v>128</v>
      </c>
      <c r="I548" t="s">
        <v>28</v>
      </c>
      <c r="J548" t="s">
        <v>704</v>
      </c>
      <c r="K548" s="2">
        <f>Sales_Export_2019_2020__2[[#This Row],[order_value_GBP]]-Sales_Export_2019_2020__2[[#This Row],[ cost ]]</f>
        <v>20940.650000000009</v>
      </c>
      <c r="L548" t="b">
        <f>COUNTIF(Sales_Export_2019_2020__2[order_id],Sales_Export_2019_2020__2[[#This Row],[order_id]])&gt;1</f>
        <v>0</v>
      </c>
      <c r="M548" t="str">
        <f t="shared" si="9"/>
        <v>£145,000 - £149,999</v>
      </c>
      <c r="N548" t="str" cm="1">
        <f t="array" ref="N54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48">
        <f>FLOOR(Sales_Export_2019_2020__2[[#This Row],[order_value_GBP]],5000)</f>
        <v>145000</v>
      </c>
    </row>
    <row r="549" spans="1:15" x14ac:dyDescent="0.35">
      <c r="A549" t="s">
        <v>173</v>
      </c>
      <c r="B549" s="2">
        <v>130242.41</v>
      </c>
      <c r="C549" s="2">
        <v>113050.41</v>
      </c>
      <c r="D549" s="1">
        <v>44195</v>
      </c>
      <c r="E549" t="s">
        <v>60</v>
      </c>
      <c r="F549" t="s">
        <v>35</v>
      </c>
      <c r="G549" t="s">
        <v>175</v>
      </c>
      <c r="H549" t="s">
        <v>212</v>
      </c>
      <c r="I549" t="s">
        <v>28</v>
      </c>
      <c r="J549" t="s">
        <v>705</v>
      </c>
      <c r="K549" s="2">
        <f>Sales_Export_2019_2020__2[[#This Row],[order_value_GBP]]-Sales_Export_2019_2020__2[[#This Row],[ cost ]]</f>
        <v>17192</v>
      </c>
      <c r="L549" t="b">
        <f>COUNTIF(Sales_Export_2019_2020__2[order_id],Sales_Export_2019_2020__2[[#This Row],[order_id]])&gt;1</f>
        <v>0</v>
      </c>
      <c r="M549" t="str">
        <f t="shared" si="9"/>
        <v>£130,000 - £134,999</v>
      </c>
      <c r="N549" t="str" cm="1">
        <f t="array" ref="N54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49">
        <f>FLOOR(Sales_Export_2019_2020__2[[#This Row],[order_value_GBP]],5000)</f>
        <v>130000</v>
      </c>
    </row>
    <row r="550" spans="1:15" x14ac:dyDescent="0.35">
      <c r="A550" t="s">
        <v>53</v>
      </c>
      <c r="B550" s="2">
        <v>34771.79</v>
      </c>
      <c r="C550" s="2">
        <v>28509.39</v>
      </c>
      <c r="D550" s="1">
        <v>43909</v>
      </c>
      <c r="E550" t="s">
        <v>60</v>
      </c>
      <c r="F550" t="s">
        <v>71</v>
      </c>
      <c r="G550" t="s">
        <v>55</v>
      </c>
      <c r="H550" t="s">
        <v>56</v>
      </c>
      <c r="I550" t="s">
        <v>28</v>
      </c>
      <c r="J550" t="s">
        <v>706</v>
      </c>
      <c r="K550" s="2">
        <f>Sales_Export_2019_2020__2[[#This Row],[order_value_GBP]]-Sales_Export_2019_2020__2[[#This Row],[ cost ]]</f>
        <v>6262.4000000000015</v>
      </c>
      <c r="L550" t="b">
        <f>COUNTIF(Sales_Export_2019_2020__2[order_id],Sales_Export_2019_2020__2[[#This Row],[order_id]])&gt;1</f>
        <v>0</v>
      </c>
      <c r="M550" t="str">
        <f t="shared" si="9"/>
        <v>£30,000 - £34,999</v>
      </c>
      <c r="N550" t="str" cm="1">
        <f t="array" ref="N55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50">
        <f>FLOOR(Sales_Export_2019_2020__2[[#This Row],[order_value_GBP]],5000)</f>
        <v>30000</v>
      </c>
    </row>
    <row r="551" spans="1:15" x14ac:dyDescent="0.35">
      <c r="A551" t="s">
        <v>23</v>
      </c>
      <c r="B551" s="2">
        <v>201573.23</v>
      </c>
      <c r="C551" s="2">
        <v>166116.5</v>
      </c>
      <c r="D551" s="1">
        <v>43804</v>
      </c>
      <c r="E551" t="s">
        <v>18</v>
      </c>
      <c r="F551" t="s">
        <v>707</v>
      </c>
      <c r="G551" t="s">
        <v>26</v>
      </c>
      <c r="H551" t="s">
        <v>76</v>
      </c>
      <c r="I551" t="s">
        <v>15</v>
      </c>
      <c r="J551" t="s">
        <v>708</v>
      </c>
      <c r="K551" s="2">
        <f>Sales_Export_2019_2020__2[[#This Row],[order_value_GBP]]-Sales_Export_2019_2020__2[[#This Row],[ cost ]]</f>
        <v>35456.73000000001</v>
      </c>
      <c r="L551" t="b">
        <f>COUNTIF(Sales_Export_2019_2020__2[order_id],Sales_Export_2019_2020__2[[#This Row],[order_id]])&gt;1</f>
        <v>0</v>
      </c>
      <c r="M551" t="str">
        <f t="shared" si="9"/>
        <v>£200,000 - £204,999</v>
      </c>
      <c r="N551" t="str" cm="1">
        <f t="array" ref="N55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51">
        <f>FLOOR(Sales_Export_2019_2020__2[[#This Row],[order_value_GBP]],5000)</f>
        <v>200000</v>
      </c>
    </row>
    <row r="552" spans="1:15" x14ac:dyDescent="0.35">
      <c r="A552" t="s">
        <v>10</v>
      </c>
      <c r="B552" s="2">
        <v>71119.23</v>
      </c>
      <c r="C552" s="2">
        <v>59220.98</v>
      </c>
      <c r="D552" s="1">
        <v>43533</v>
      </c>
      <c r="E552" t="s">
        <v>11</v>
      </c>
      <c r="F552" t="s">
        <v>35</v>
      </c>
      <c r="G552" t="s">
        <v>13</v>
      </c>
      <c r="H552" t="s">
        <v>82</v>
      </c>
      <c r="I552" t="s">
        <v>28</v>
      </c>
      <c r="J552" t="s">
        <v>709</v>
      </c>
      <c r="K552" s="2">
        <f>Sales_Export_2019_2020__2[[#This Row],[order_value_GBP]]-Sales_Export_2019_2020__2[[#This Row],[ cost ]]</f>
        <v>11898.249999999993</v>
      </c>
      <c r="L552" t="b">
        <f>COUNTIF(Sales_Export_2019_2020__2[order_id],Sales_Export_2019_2020__2[[#This Row],[order_id]])&gt;1</f>
        <v>0</v>
      </c>
      <c r="M552" t="str">
        <f t="shared" si="9"/>
        <v>£70,000 - £74,999</v>
      </c>
      <c r="N552" t="str" cm="1">
        <f t="array" ref="N55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52">
        <f>FLOOR(Sales_Export_2019_2020__2[[#This Row],[order_value_GBP]],5000)</f>
        <v>70000</v>
      </c>
    </row>
    <row r="553" spans="1:15" x14ac:dyDescent="0.35">
      <c r="A553" t="s">
        <v>23</v>
      </c>
      <c r="B553" s="2">
        <v>115538.34</v>
      </c>
      <c r="C553" s="2">
        <v>99686.48</v>
      </c>
      <c r="D553" s="1">
        <v>43858</v>
      </c>
      <c r="E553" t="s">
        <v>18</v>
      </c>
      <c r="F553" t="s">
        <v>25</v>
      </c>
      <c r="G553" t="s">
        <v>26</v>
      </c>
      <c r="H553" t="s">
        <v>27</v>
      </c>
      <c r="I553" t="s">
        <v>28</v>
      </c>
      <c r="J553" t="s">
        <v>710</v>
      </c>
      <c r="K553" s="2">
        <f>Sales_Export_2019_2020__2[[#This Row],[order_value_GBP]]-Sales_Export_2019_2020__2[[#This Row],[ cost ]]</f>
        <v>15851.86</v>
      </c>
      <c r="L553" t="b">
        <f>COUNTIF(Sales_Export_2019_2020__2[order_id],Sales_Export_2019_2020__2[[#This Row],[order_id]])&gt;1</f>
        <v>0</v>
      </c>
      <c r="M553" t="str">
        <f t="shared" si="9"/>
        <v>£115,000 - £119,999</v>
      </c>
      <c r="N553" t="str" cm="1">
        <f t="array" ref="N55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53">
        <f>FLOOR(Sales_Export_2019_2020__2[[#This Row],[order_value_GBP]],5000)</f>
        <v>115000</v>
      </c>
    </row>
    <row r="554" spans="1:15" x14ac:dyDescent="0.35">
      <c r="A554" t="s">
        <v>23</v>
      </c>
      <c r="B554" s="2">
        <v>144237.38</v>
      </c>
      <c r="C554" s="2">
        <v>116111.09</v>
      </c>
      <c r="D554" s="1">
        <v>44140</v>
      </c>
      <c r="E554" t="s">
        <v>11</v>
      </c>
      <c r="F554" t="s">
        <v>35</v>
      </c>
      <c r="G554" t="s">
        <v>26</v>
      </c>
      <c r="H554" t="s">
        <v>90</v>
      </c>
      <c r="I554" t="s">
        <v>28</v>
      </c>
      <c r="J554" t="s">
        <v>711</v>
      </c>
      <c r="K554" s="2">
        <f>Sales_Export_2019_2020__2[[#This Row],[order_value_GBP]]-Sales_Export_2019_2020__2[[#This Row],[ cost ]]</f>
        <v>28126.290000000008</v>
      </c>
      <c r="L554" t="b">
        <f>COUNTIF(Sales_Export_2019_2020__2[order_id],Sales_Export_2019_2020__2[[#This Row],[order_id]])&gt;1</f>
        <v>0</v>
      </c>
      <c r="M554" t="str">
        <f t="shared" si="9"/>
        <v>£140,000 - £144,999</v>
      </c>
      <c r="N554" t="str" cm="1">
        <f t="array" ref="N55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54">
        <f>FLOOR(Sales_Export_2019_2020__2[[#This Row],[order_value_GBP]],5000)</f>
        <v>140000</v>
      </c>
    </row>
    <row r="555" spans="1:15" x14ac:dyDescent="0.35">
      <c r="A555" t="s">
        <v>45</v>
      </c>
      <c r="B555" s="2">
        <v>91561.49</v>
      </c>
      <c r="C555" s="2">
        <v>78266.759999999995</v>
      </c>
      <c r="D555" s="1">
        <v>43549</v>
      </c>
      <c r="E555" t="s">
        <v>11</v>
      </c>
      <c r="F555" t="s">
        <v>97</v>
      </c>
      <c r="G555" t="s">
        <v>48</v>
      </c>
      <c r="H555" t="s">
        <v>49</v>
      </c>
      <c r="I555" t="s">
        <v>28</v>
      </c>
      <c r="J555" t="s">
        <v>712</v>
      </c>
      <c r="K555" s="2">
        <f>Sales_Export_2019_2020__2[[#This Row],[order_value_GBP]]-Sales_Export_2019_2020__2[[#This Row],[ cost ]]</f>
        <v>13294.73000000001</v>
      </c>
      <c r="L555" t="b">
        <f>COUNTIF(Sales_Export_2019_2020__2[order_id],Sales_Export_2019_2020__2[[#This Row],[order_id]])&gt;1</f>
        <v>0</v>
      </c>
      <c r="M555" t="str">
        <f t="shared" si="9"/>
        <v>£90,000 - £94,999</v>
      </c>
      <c r="N555" t="str" cm="1">
        <f t="array" ref="N55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55">
        <f>FLOOR(Sales_Export_2019_2020__2[[#This Row],[order_value_GBP]],5000)</f>
        <v>90000</v>
      </c>
    </row>
    <row r="556" spans="1:15" x14ac:dyDescent="0.35">
      <c r="A556" t="s">
        <v>10</v>
      </c>
      <c r="B556" s="2">
        <v>233858.47</v>
      </c>
      <c r="C556" s="2">
        <v>185543.31</v>
      </c>
      <c r="D556" s="1">
        <v>43984</v>
      </c>
      <c r="E556" t="s">
        <v>30</v>
      </c>
      <c r="F556" t="s">
        <v>89</v>
      </c>
      <c r="G556" t="s">
        <v>13</v>
      </c>
      <c r="H556" t="s">
        <v>82</v>
      </c>
      <c r="I556" t="s">
        <v>28</v>
      </c>
      <c r="J556" t="s">
        <v>713</v>
      </c>
      <c r="K556" s="2">
        <f>Sales_Export_2019_2020__2[[#This Row],[order_value_GBP]]-Sales_Export_2019_2020__2[[#This Row],[ cost ]]</f>
        <v>48315.16</v>
      </c>
      <c r="L556" t="b">
        <f>COUNTIF(Sales_Export_2019_2020__2[order_id],Sales_Export_2019_2020__2[[#This Row],[order_id]])&gt;1</f>
        <v>0</v>
      </c>
      <c r="M556" t="str">
        <f t="shared" si="9"/>
        <v>£230,000 - £234,999</v>
      </c>
      <c r="N556" t="str" cm="1">
        <f t="array" ref="N55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56">
        <f>FLOOR(Sales_Export_2019_2020__2[[#This Row],[order_value_GBP]],5000)</f>
        <v>230000</v>
      </c>
    </row>
    <row r="557" spans="1:15" x14ac:dyDescent="0.35">
      <c r="A557" t="s">
        <v>45</v>
      </c>
      <c r="B557" s="2">
        <v>256388.08</v>
      </c>
      <c r="C557" s="2">
        <v>212058.58</v>
      </c>
      <c r="D557" s="1">
        <v>43804</v>
      </c>
      <c r="E557" t="s">
        <v>51</v>
      </c>
      <c r="F557" t="s">
        <v>291</v>
      </c>
      <c r="G557" t="s">
        <v>48</v>
      </c>
      <c r="H557" t="s">
        <v>74</v>
      </c>
      <c r="I557" t="s">
        <v>15</v>
      </c>
      <c r="J557" t="s">
        <v>714</v>
      </c>
      <c r="K557" s="2">
        <f>Sales_Export_2019_2020__2[[#This Row],[order_value_GBP]]-Sales_Export_2019_2020__2[[#This Row],[ cost ]]</f>
        <v>44329.5</v>
      </c>
      <c r="L557" t="b">
        <f>COUNTIF(Sales_Export_2019_2020__2[order_id],Sales_Export_2019_2020__2[[#This Row],[order_id]])&gt;1</f>
        <v>0</v>
      </c>
      <c r="M557" t="str">
        <f t="shared" si="9"/>
        <v>£255,000 - £259,999</v>
      </c>
      <c r="N557" t="str" cm="1">
        <f t="array" ref="N55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57">
        <f>FLOOR(Sales_Export_2019_2020__2[[#This Row],[order_value_GBP]],5000)</f>
        <v>255000</v>
      </c>
    </row>
    <row r="558" spans="1:15" x14ac:dyDescent="0.35">
      <c r="A558" t="s">
        <v>45</v>
      </c>
      <c r="B558" s="2">
        <v>125099.05</v>
      </c>
      <c r="C558" s="2">
        <v>108473.39</v>
      </c>
      <c r="D558" s="1">
        <v>43895</v>
      </c>
      <c r="E558" t="s">
        <v>11</v>
      </c>
      <c r="F558" t="s">
        <v>121</v>
      </c>
      <c r="G558" t="s">
        <v>48</v>
      </c>
      <c r="H558" t="s">
        <v>66</v>
      </c>
      <c r="I558" t="s">
        <v>28</v>
      </c>
      <c r="J558" t="s">
        <v>715</v>
      </c>
      <c r="K558" s="2">
        <f>Sales_Export_2019_2020__2[[#This Row],[order_value_GBP]]-Sales_Export_2019_2020__2[[#This Row],[ cost ]]</f>
        <v>16625.660000000003</v>
      </c>
      <c r="L558" t="b">
        <f>COUNTIF(Sales_Export_2019_2020__2[order_id],Sales_Export_2019_2020__2[[#This Row],[order_id]])&gt;1</f>
        <v>0</v>
      </c>
      <c r="M558" t="str">
        <f t="shared" si="9"/>
        <v>£125,000 - £129,999</v>
      </c>
      <c r="N558" t="str" cm="1">
        <f t="array" ref="N55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58">
        <f>FLOOR(Sales_Export_2019_2020__2[[#This Row],[order_value_GBP]],5000)</f>
        <v>125000</v>
      </c>
    </row>
    <row r="559" spans="1:15" x14ac:dyDescent="0.35">
      <c r="A559" t="s">
        <v>45</v>
      </c>
      <c r="B559" s="2">
        <v>121246.32</v>
      </c>
      <c r="C559" s="2">
        <v>104005.09</v>
      </c>
      <c r="D559" s="1">
        <v>43981</v>
      </c>
      <c r="E559" t="s">
        <v>11</v>
      </c>
      <c r="F559" t="s">
        <v>160</v>
      </c>
      <c r="G559" t="s">
        <v>48</v>
      </c>
      <c r="H559" t="s">
        <v>49</v>
      </c>
      <c r="I559" t="s">
        <v>28</v>
      </c>
      <c r="J559" t="s">
        <v>716</v>
      </c>
      <c r="K559" s="2">
        <f>Sales_Export_2019_2020__2[[#This Row],[order_value_GBP]]-Sales_Export_2019_2020__2[[#This Row],[ cost ]]</f>
        <v>17241.23000000001</v>
      </c>
      <c r="L559" t="b">
        <f>COUNTIF(Sales_Export_2019_2020__2[order_id],Sales_Export_2019_2020__2[[#This Row],[order_id]])&gt;1</f>
        <v>0</v>
      </c>
      <c r="M559" t="str">
        <f t="shared" si="9"/>
        <v>£120,000 - £124,999</v>
      </c>
      <c r="N559" t="str" cm="1">
        <f t="array" ref="N55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59">
        <f>FLOOR(Sales_Export_2019_2020__2[[#This Row],[order_value_GBP]],5000)</f>
        <v>120000</v>
      </c>
    </row>
    <row r="560" spans="1:15" x14ac:dyDescent="0.35">
      <c r="A560" t="s">
        <v>17</v>
      </c>
      <c r="B560" s="2">
        <v>28538.19</v>
      </c>
      <c r="C560" s="2">
        <v>24970.92</v>
      </c>
      <c r="D560" s="1">
        <v>43612</v>
      </c>
      <c r="E560" t="s">
        <v>18</v>
      </c>
      <c r="F560" t="s">
        <v>19</v>
      </c>
      <c r="G560" t="s">
        <v>20</v>
      </c>
      <c r="H560" t="s">
        <v>21</v>
      </c>
      <c r="I560" t="s">
        <v>28</v>
      </c>
      <c r="J560" t="s">
        <v>717</v>
      </c>
      <c r="K560" s="2">
        <f>Sales_Export_2019_2020__2[[#This Row],[order_value_GBP]]-Sales_Export_2019_2020__2[[#This Row],[ cost ]]</f>
        <v>3567.2700000000004</v>
      </c>
      <c r="L560" t="b">
        <f>COUNTIF(Sales_Export_2019_2020__2[order_id],Sales_Export_2019_2020__2[[#This Row],[order_id]])&gt;1</f>
        <v>0</v>
      </c>
      <c r="M560" t="str">
        <f t="shared" si="9"/>
        <v>£25,000 - £29,999</v>
      </c>
      <c r="N560" t="str" cm="1">
        <f t="array" ref="N56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60">
        <f>FLOOR(Sales_Export_2019_2020__2[[#This Row],[order_value_GBP]],5000)</f>
        <v>25000</v>
      </c>
    </row>
    <row r="561" spans="1:15" x14ac:dyDescent="0.35">
      <c r="A561" t="s">
        <v>53</v>
      </c>
      <c r="B561" s="2">
        <v>89930.18</v>
      </c>
      <c r="C561" s="2">
        <v>78005.440000000002</v>
      </c>
      <c r="D561" s="1">
        <v>43916</v>
      </c>
      <c r="E561" t="s">
        <v>139</v>
      </c>
      <c r="F561" t="s">
        <v>31</v>
      </c>
      <c r="G561" t="s">
        <v>55</v>
      </c>
      <c r="H561" t="s">
        <v>56</v>
      </c>
      <c r="I561" t="s">
        <v>28</v>
      </c>
      <c r="J561" t="s">
        <v>718</v>
      </c>
      <c r="K561" s="2">
        <f>Sales_Export_2019_2020__2[[#This Row],[order_value_GBP]]-Sales_Export_2019_2020__2[[#This Row],[ cost ]]</f>
        <v>11924.739999999991</v>
      </c>
      <c r="L561" t="b">
        <f>COUNTIF(Sales_Export_2019_2020__2[order_id],Sales_Export_2019_2020__2[[#This Row],[order_id]])&gt;1</f>
        <v>0</v>
      </c>
      <c r="M561" t="str">
        <f t="shared" si="9"/>
        <v>£85,000 - £89,999</v>
      </c>
      <c r="N561" t="str" cm="1">
        <f t="array" ref="N56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61">
        <f>FLOOR(Sales_Export_2019_2020__2[[#This Row],[order_value_GBP]],5000)</f>
        <v>85000</v>
      </c>
    </row>
    <row r="562" spans="1:15" x14ac:dyDescent="0.35">
      <c r="A562" t="s">
        <v>10</v>
      </c>
      <c r="B562" s="2">
        <v>170457.8</v>
      </c>
      <c r="C562" s="2">
        <v>142809.54</v>
      </c>
      <c r="D562" s="1">
        <v>44057</v>
      </c>
      <c r="E562" t="s">
        <v>46</v>
      </c>
      <c r="F562" t="s">
        <v>201</v>
      </c>
      <c r="G562" t="s">
        <v>13</v>
      </c>
      <c r="H562" t="s">
        <v>69</v>
      </c>
      <c r="I562" t="s">
        <v>28</v>
      </c>
      <c r="J562" t="s">
        <v>719</v>
      </c>
      <c r="K562" s="2">
        <f>Sales_Export_2019_2020__2[[#This Row],[order_value_GBP]]-Sales_Export_2019_2020__2[[#This Row],[ cost ]]</f>
        <v>27648.25999999998</v>
      </c>
      <c r="L562" t="b">
        <f>COUNTIF(Sales_Export_2019_2020__2[order_id],Sales_Export_2019_2020__2[[#This Row],[order_id]])&gt;1</f>
        <v>0</v>
      </c>
      <c r="M562" t="str">
        <f t="shared" si="9"/>
        <v>£170,000 - £174,999</v>
      </c>
      <c r="N562" t="str" cm="1">
        <f t="array" ref="N56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62">
        <f>FLOOR(Sales_Export_2019_2020__2[[#This Row],[order_value_GBP]],5000)</f>
        <v>170000</v>
      </c>
    </row>
    <row r="563" spans="1:15" x14ac:dyDescent="0.35">
      <c r="A563" t="s">
        <v>45</v>
      </c>
      <c r="B563" s="2">
        <v>166380.74</v>
      </c>
      <c r="C563" s="2">
        <v>146049.01</v>
      </c>
      <c r="D563" s="1">
        <v>44005</v>
      </c>
      <c r="E563" t="s">
        <v>60</v>
      </c>
      <c r="F563" t="s">
        <v>123</v>
      </c>
      <c r="G563" t="s">
        <v>48</v>
      </c>
      <c r="H563" t="s">
        <v>66</v>
      </c>
      <c r="I563" t="s">
        <v>28</v>
      </c>
      <c r="J563" t="s">
        <v>720</v>
      </c>
      <c r="K563" s="2">
        <f>Sales_Export_2019_2020__2[[#This Row],[order_value_GBP]]-Sales_Export_2019_2020__2[[#This Row],[ cost ]]</f>
        <v>20331.729999999981</v>
      </c>
      <c r="L563" t="b">
        <f>COUNTIF(Sales_Export_2019_2020__2[order_id],Sales_Export_2019_2020__2[[#This Row],[order_id]])&gt;1</f>
        <v>0</v>
      </c>
      <c r="M563" t="str">
        <f t="shared" si="9"/>
        <v>£165,000 - £169,999</v>
      </c>
      <c r="N563" t="str" cm="1">
        <f t="array" ref="N56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63">
        <f>FLOOR(Sales_Export_2019_2020__2[[#This Row],[order_value_GBP]],5000)</f>
        <v>165000</v>
      </c>
    </row>
    <row r="564" spans="1:15" x14ac:dyDescent="0.35">
      <c r="A564" t="s">
        <v>53</v>
      </c>
      <c r="B564" s="2">
        <v>116328.75</v>
      </c>
      <c r="C564" s="2">
        <v>93365.45</v>
      </c>
      <c r="D564" s="1">
        <v>43735</v>
      </c>
      <c r="E564" t="s">
        <v>51</v>
      </c>
      <c r="F564" t="s">
        <v>237</v>
      </c>
      <c r="G564" t="s">
        <v>55</v>
      </c>
      <c r="H564" t="s">
        <v>128</v>
      </c>
      <c r="I564" t="s">
        <v>28</v>
      </c>
      <c r="J564" t="s">
        <v>721</v>
      </c>
      <c r="K564" s="2">
        <f>Sales_Export_2019_2020__2[[#This Row],[order_value_GBP]]-Sales_Export_2019_2020__2[[#This Row],[ cost ]]</f>
        <v>22963.300000000003</v>
      </c>
      <c r="L564" t="b">
        <f>COUNTIF(Sales_Export_2019_2020__2[order_id],Sales_Export_2019_2020__2[[#This Row],[order_id]])&gt;1</f>
        <v>0</v>
      </c>
      <c r="M564" t="str">
        <f t="shared" si="9"/>
        <v>£115,000 - £119,999</v>
      </c>
      <c r="N564" t="str" cm="1">
        <f t="array" ref="N56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64">
        <f>FLOOR(Sales_Export_2019_2020__2[[#This Row],[order_value_GBP]],5000)</f>
        <v>115000</v>
      </c>
    </row>
    <row r="565" spans="1:15" x14ac:dyDescent="0.35">
      <c r="A565" t="s">
        <v>215</v>
      </c>
      <c r="B565" s="2">
        <v>230765.62</v>
      </c>
      <c r="C565" s="2">
        <v>195435.4</v>
      </c>
      <c r="D565" s="1">
        <v>43664</v>
      </c>
      <c r="E565" t="s">
        <v>30</v>
      </c>
      <c r="F565" t="s">
        <v>35</v>
      </c>
      <c r="G565" t="s">
        <v>216</v>
      </c>
      <c r="H565" t="s">
        <v>217</v>
      </c>
      <c r="I565" t="s">
        <v>28</v>
      </c>
      <c r="J565" t="s">
        <v>722</v>
      </c>
      <c r="K565" s="2">
        <f>Sales_Export_2019_2020__2[[#This Row],[order_value_GBP]]-Sales_Export_2019_2020__2[[#This Row],[ cost ]]</f>
        <v>35330.22</v>
      </c>
      <c r="L565" t="b">
        <f>COUNTIF(Sales_Export_2019_2020__2[order_id],Sales_Export_2019_2020__2[[#This Row],[order_id]])&gt;1</f>
        <v>0</v>
      </c>
      <c r="M565" t="str">
        <f t="shared" si="9"/>
        <v>£230,000 - £234,999</v>
      </c>
      <c r="N565" t="str" cm="1">
        <f t="array" ref="N56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65">
        <f>FLOOR(Sales_Export_2019_2020__2[[#This Row],[order_value_GBP]],5000)</f>
        <v>230000</v>
      </c>
    </row>
    <row r="566" spans="1:15" x14ac:dyDescent="0.35">
      <c r="A566" t="s">
        <v>23</v>
      </c>
      <c r="B566" s="2">
        <v>152442.32</v>
      </c>
      <c r="C566" s="2">
        <v>122258.74</v>
      </c>
      <c r="D566" s="1">
        <v>44110</v>
      </c>
      <c r="E566" t="s">
        <v>80</v>
      </c>
      <c r="F566" t="s">
        <v>35</v>
      </c>
      <c r="G566" t="s">
        <v>26</v>
      </c>
      <c r="H566" t="s">
        <v>32</v>
      </c>
      <c r="I566" t="s">
        <v>28</v>
      </c>
      <c r="J566" t="s">
        <v>723</v>
      </c>
      <c r="K566" s="2">
        <f>Sales_Export_2019_2020__2[[#This Row],[order_value_GBP]]-Sales_Export_2019_2020__2[[#This Row],[ cost ]]</f>
        <v>30183.58</v>
      </c>
      <c r="L566" t="b">
        <f>COUNTIF(Sales_Export_2019_2020__2[order_id],Sales_Export_2019_2020__2[[#This Row],[order_id]])&gt;1</f>
        <v>0</v>
      </c>
      <c r="M566" t="str">
        <f t="shared" si="9"/>
        <v>£150,000 - £154,999</v>
      </c>
      <c r="N566" t="str" cm="1">
        <f t="array" ref="N56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66">
        <f>FLOOR(Sales_Export_2019_2020__2[[#This Row],[order_value_GBP]],5000)</f>
        <v>150000</v>
      </c>
    </row>
    <row r="567" spans="1:15" x14ac:dyDescent="0.35">
      <c r="A567" t="s">
        <v>10</v>
      </c>
      <c r="B567" s="2">
        <v>325331.99</v>
      </c>
      <c r="C567" s="2">
        <v>264592.51</v>
      </c>
      <c r="D567" s="1">
        <v>43822</v>
      </c>
      <c r="E567" t="s">
        <v>18</v>
      </c>
      <c r="F567" t="s">
        <v>160</v>
      </c>
      <c r="G567" t="s">
        <v>13</v>
      </c>
      <c r="H567" t="s">
        <v>118</v>
      </c>
      <c r="I567" t="s">
        <v>15</v>
      </c>
      <c r="J567" t="s">
        <v>724</v>
      </c>
      <c r="K567" s="2">
        <f>Sales_Export_2019_2020__2[[#This Row],[order_value_GBP]]-Sales_Export_2019_2020__2[[#This Row],[ cost ]]</f>
        <v>60739.479999999981</v>
      </c>
      <c r="L567" t="b">
        <f>COUNTIF(Sales_Export_2019_2020__2[order_id],Sales_Export_2019_2020__2[[#This Row],[order_id]])&gt;1</f>
        <v>0</v>
      </c>
      <c r="M567" t="str">
        <f t="shared" si="9"/>
        <v>£325,000 - £329,999</v>
      </c>
      <c r="N567" t="str" cm="1">
        <f t="array" ref="N56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67">
        <f>FLOOR(Sales_Export_2019_2020__2[[#This Row],[order_value_GBP]],5000)</f>
        <v>325000</v>
      </c>
    </row>
    <row r="568" spans="1:15" x14ac:dyDescent="0.35">
      <c r="A568" t="s">
        <v>45</v>
      </c>
      <c r="B568" s="2">
        <v>56768.43</v>
      </c>
      <c r="C568" s="2">
        <v>47384.61</v>
      </c>
      <c r="D568" s="1">
        <v>43577</v>
      </c>
      <c r="E568" t="s">
        <v>18</v>
      </c>
      <c r="F568" t="s">
        <v>234</v>
      </c>
      <c r="G568" t="s">
        <v>48</v>
      </c>
      <c r="H568" t="s">
        <v>49</v>
      </c>
      <c r="I568" t="s">
        <v>28</v>
      </c>
      <c r="J568" t="s">
        <v>725</v>
      </c>
      <c r="K568" s="2">
        <f>Sales_Export_2019_2020__2[[#This Row],[order_value_GBP]]-Sales_Export_2019_2020__2[[#This Row],[ cost ]]</f>
        <v>9383.82</v>
      </c>
      <c r="L568" t="b">
        <f>COUNTIF(Sales_Export_2019_2020__2[order_id],Sales_Export_2019_2020__2[[#This Row],[order_id]])&gt;1</f>
        <v>0</v>
      </c>
      <c r="M568" t="str">
        <f t="shared" si="9"/>
        <v>£55,000 - £59,999</v>
      </c>
      <c r="N568" t="str" cm="1">
        <f t="array" ref="N56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68">
        <f>FLOOR(Sales_Export_2019_2020__2[[#This Row],[order_value_GBP]],5000)</f>
        <v>55000</v>
      </c>
    </row>
    <row r="569" spans="1:15" x14ac:dyDescent="0.35">
      <c r="A569" t="s">
        <v>23</v>
      </c>
      <c r="B569" s="2">
        <v>147895.45000000001</v>
      </c>
      <c r="C569" s="2">
        <v>120416.48</v>
      </c>
      <c r="D569" s="1">
        <v>43647</v>
      </c>
      <c r="E569" t="s">
        <v>24</v>
      </c>
      <c r="F569" t="s">
        <v>64</v>
      </c>
      <c r="G569" t="s">
        <v>26</v>
      </c>
      <c r="H569" t="s">
        <v>90</v>
      </c>
      <c r="I569" t="s">
        <v>15</v>
      </c>
      <c r="J569" t="s">
        <v>726</v>
      </c>
      <c r="K569" s="2">
        <f>Sales_Export_2019_2020__2[[#This Row],[order_value_GBP]]-Sales_Export_2019_2020__2[[#This Row],[ cost ]]</f>
        <v>27478.970000000016</v>
      </c>
      <c r="L569" t="b">
        <f>COUNTIF(Sales_Export_2019_2020__2[order_id],Sales_Export_2019_2020__2[[#This Row],[order_id]])&gt;1</f>
        <v>0</v>
      </c>
      <c r="M569" t="str">
        <f t="shared" si="9"/>
        <v>£145,000 - £149,999</v>
      </c>
      <c r="N569" t="str" cm="1">
        <f t="array" ref="N56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69">
        <f>FLOOR(Sales_Export_2019_2020__2[[#This Row],[order_value_GBP]],5000)</f>
        <v>145000</v>
      </c>
    </row>
    <row r="570" spans="1:15" x14ac:dyDescent="0.35">
      <c r="A570" t="s">
        <v>173</v>
      </c>
      <c r="B570" s="2">
        <v>57107.26</v>
      </c>
      <c r="C570" s="2">
        <v>48232.79</v>
      </c>
      <c r="D570" s="1">
        <v>43874</v>
      </c>
      <c r="E570" t="s">
        <v>62</v>
      </c>
      <c r="F570" t="s">
        <v>160</v>
      </c>
      <c r="G570" t="s">
        <v>175</v>
      </c>
      <c r="H570" t="s">
        <v>176</v>
      </c>
      <c r="I570" t="s">
        <v>15</v>
      </c>
      <c r="J570" t="s">
        <v>727</v>
      </c>
      <c r="K570" s="2">
        <f>Sales_Export_2019_2020__2[[#This Row],[order_value_GBP]]-Sales_Export_2019_2020__2[[#This Row],[ cost ]]</f>
        <v>8874.4700000000012</v>
      </c>
      <c r="L570" t="b">
        <f>COUNTIF(Sales_Export_2019_2020__2[order_id],Sales_Export_2019_2020__2[[#This Row],[order_id]])&gt;1</f>
        <v>0</v>
      </c>
      <c r="M570" t="str">
        <f t="shared" si="9"/>
        <v>£55,000 - £59,999</v>
      </c>
      <c r="N570" t="str" cm="1">
        <f t="array" ref="N57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70">
        <f>FLOOR(Sales_Export_2019_2020__2[[#This Row],[order_value_GBP]],5000)</f>
        <v>55000</v>
      </c>
    </row>
    <row r="571" spans="1:15" x14ac:dyDescent="0.35">
      <c r="A571" t="s">
        <v>53</v>
      </c>
      <c r="B571" s="2">
        <v>85337.78</v>
      </c>
      <c r="C571" s="2">
        <v>72306.7</v>
      </c>
      <c r="D571" s="1">
        <v>43865</v>
      </c>
      <c r="E571" t="s">
        <v>51</v>
      </c>
      <c r="F571" t="s">
        <v>203</v>
      </c>
      <c r="G571" t="s">
        <v>55</v>
      </c>
      <c r="H571" t="s">
        <v>128</v>
      </c>
      <c r="I571" t="s">
        <v>15</v>
      </c>
      <c r="J571" t="s">
        <v>728</v>
      </c>
      <c r="K571" s="2">
        <f>Sales_Export_2019_2020__2[[#This Row],[order_value_GBP]]-Sales_Export_2019_2020__2[[#This Row],[ cost ]]</f>
        <v>13031.080000000002</v>
      </c>
      <c r="L571" t="b">
        <f>COUNTIF(Sales_Export_2019_2020__2[order_id],Sales_Export_2019_2020__2[[#This Row],[order_id]])&gt;1</f>
        <v>0</v>
      </c>
      <c r="M571" t="str">
        <f t="shared" si="9"/>
        <v>£85,000 - £89,999</v>
      </c>
      <c r="N571" t="str" cm="1">
        <f t="array" ref="N57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71">
        <f>FLOOR(Sales_Export_2019_2020__2[[#This Row],[order_value_GBP]],5000)</f>
        <v>85000</v>
      </c>
    </row>
    <row r="572" spans="1:15" x14ac:dyDescent="0.35">
      <c r="A572" t="s">
        <v>53</v>
      </c>
      <c r="B572" s="2">
        <v>162199.24</v>
      </c>
      <c r="C572" s="2">
        <v>130878.57</v>
      </c>
      <c r="D572" s="1">
        <v>44004</v>
      </c>
      <c r="E572" t="s">
        <v>51</v>
      </c>
      <c r="F572" t="s">
        <v>188</v>
      </c>
      <c r="G572" t="s">
        <v>55</v>
      </c>
      <c r="H572" t="s">
        <v>144</v>
      </c>
      <c r="I572" t="s">
        <v>28</v>
      </c>
      <c r="J572" t="s">
        <v>729</v>
      </c>
      <c r="K572" s="2">
        <f>Sales_Export_2019_2020__2[[#This Row],[order_value_GBP]]-Sales_Export_2019_2020__2[[#This Row],[ cost ]]</f>
        <v>31320.669999999984</v>
      </c>
      <c r="L572" t="b">
        <f>COUNTIF(Sales_Export_2019_2020__2[order_id],Sales_Export_2019_2020__2[[#This Row],[order_id]])&gt;1</f>
        <v>0</v>
      </c>
      <c r="M572" t="str">
        <f t="shared" si="9"/>
        <v>£160,000 - £164,999</v>
      </c>
      <c r="N572" t="str" cm="1">
        <f t="array" ref="N57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72">
        <f>FLOOR(Sales_Export_2019_2020__2[[#This Row],[order_value_GBP]],5000)</f>
        <v>160000</v>
      </c>
    </row>
    <row r="573" spans="1:15" x14ac:dyDescent="0.35">
      <c r="A573" t="s">
        <v>10</v>
      </c>
      <c r="B573" s="2">
        <v>128208.95</v>
      </c>
      <c r="C573" s="2">
        <v>111746.92</v>
      </c>
      <c r="D573" s="1">
        <v>44043</v>
      </c>
      <c r="E573" t="s">
        <v>51</v>
      </c>
      <c r="F573" t="s">
        <v>121</v>
      </c>
      <c r="G573" t="s">
        <v>13</v>
      </c>
      <c r="H573" t="s">
        <v>82</v>
      </c>
      <c r="I573" t="s">
        <v>28</v>
      </c>
      <c r="J573" t="s">
        <v>730</v>
      </c>
      <c r="K573" s="2">
        <f>Sales_Export_2019_2020__2[[#This Row],[order_value_GBP]]-Sales_Export_2019_2020__2[[#This Row],[ cost ]]</f>
        <v>16462.03</v>
      </c>
      <c r="L573" t="b">
        <f>COUNTIF(Sales_Export_2019_2020__2[order_id],Sales_Export_2019_2020__2[[#This Row],[order_id]])&gt;1</f>
        <v>0</v>
      </c>
      <c r="M573" t="str">
        <f t="shared" si="9"/>
        <v>£125,000 - £129,999</v>
      </c>
      <c r="N573" t="str" cm="1">
        <f t="array" ref="N57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73">
        <f>FLOOR(Sales_Export_2019_2020__2[[#This Row],[order_value_GBP]],5000)</f>
        <v>125000</v>
      </c>
    </row>
    <row r="574" spans="1:15" x14ac:dyDescent="0.35">
      <c r="A574" t="s">
        <v>215</v>
      </c>
      <c r="B574" s="2">
        <v>86669.23</v>
      </c>
      <c r="C574" s="2">
        <v>71580.12</v>
      </c>
      <c r="D574" s="1">
        <v>43908</v>
      </c>
      <c r="E574" t="s">
        <v>51</v>
      </c>
      <c r="F574" t="s">
        <v>31</v>
      </c>
      <c r="G574" t="s">
        <v>216</v>
      </c>
      <c r="H574" t="s">
        <v>217</v>
      </c>
      <c r="I574" t="s">
        <v>28</v>
      </c>
      <c r="J574" t="s">
        <v>731</v>
      </c>
      <c r="K574" s="2">
        <f>Sales_Export_2019_2020__2[[#This Row],[order_value_GBP]]-Sales_Export_2019_2020__2[[#This Row],[ cost ]]</f>
        <v>15089.11</v>
      </c>
      <c r="L574" t="b">
        <f>COUNTIF(Sales_Export_2019_2020__2[order_id],Sales_Export_2019_2020__2[[#This Row],[order_id]])&gt;1</f>
        <v>0</v>
      </c>
      <c r="M574" t="str">
        <f t="shared" si="9"/>
        <v>£85,000 - £89,999</v>
      </c>
      <c r="N574" t="str" cm="1">
        <f t="array" ref="N57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74">
        <f>FLOOR(Sales_Export_2019_2020__2[[#This Row],[order_value_GBP]],5000)</f>
        <v>85000</v>
      </c>
    </row>
    <row r="575" spans="1:15" x14ac:dyDescent="0.35">
      <c r="A575" t="s">
        <v>173</v>
      </c>
      <c r="B575" s="2">
        <v>117288.29</v>
      </c>
      <c r="C575" s="2">
        <v>94546.09</v>
      </c>
      <c r="D575" s="1">
        <v>43650</v>
      </c>
      <c r="E575" t="s">
        <v>24</v>
      </c>
      <c r="F575" t="s">
        <v>35</v>
      </c>
      <c r="G575" t="s">
        <v>175</v>
      </c>
      <c r="H575" t="s">
        <v>212</v>
      </c>
      <c r="I575" t="s">
        <v>28</v>
      </c>
      <c r="J575" t="s">
        <v>732</v>
      </c>
      <c r="K575" s="2">
        <f>Sales_Export_2019_2020__2[[#This Row],[order_value_GBP]]-Sales_Export_2019_2020__2[[#This Row],[ cost ]]</f>
        <v>22742.199999999997</v>
      </c>
      <c r="L575" t="b">
        <f>COUNTIF(Sales_Export_2019_2020__2[order_id],Sales_Export_2019_2020__2[[#This Row],[order_id]])&gt;1</f>
        <v>0</v>
      </c>
      <c r="M575" t="str">
        <f t="shared" si="9"/>
        <v>£115,000 - £119,999</v>
      </c>
      <c r="N575" t="str" cm="1">
        <f t="array" ref="N57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75">
        <f>FLOOR(Sales_Export_2019_2020__2[[#This Row],[order_value_GBP]],5000)</f>
        <v>115000</v>
      </c>
    </row>
    <row r="576" spans="1:15" x14ac:dyDescent="0.35">
      <c r="A576" t="s">
        <v>53</v>
      </c>
      <c r="B576" s="2">
        <v>57292.84</v>
      </c>
      <c r="C576" s="2">
        <v>45908.75</v>
      </c>
      <c r="D576" s="1">
        <v>43741</v>
      </c>
      <c r="E576" t="s">
        <v>80</v>
      </c>
      <c r="F576" t="s">
        <v>178</v>
      </c>
      <c r="G576" t="s">
        <v>55</v>
      </c>
      <c r="H576" t="s">
        <v>133</v>
      </c>
      <c r="I576" t="s">
        <v>28</v>
      </c>
      <c r="J576" t="s">
        <v>733</v>
      </c>
      <c r="K576" s="2">
        <f>Sales_Export_2019_2020__2[[#This Row],[order_value_GBP]]-Sales_Export_2019_2020__2[[#This Row],[ cost ]]</f>
        <v>11384.089999999997</v>
      </c>
      <c r="L576" t="b">
        <f>COUNTIF(Sales_Export_2019_2020__2[order_id],Sales_Export_2019_2020__2[[#This Row],[order_id]])&gt;1</f>
        <v>0</v>
      </c>
      <c r="M576" t="str">
        <f t="shared" si="9"/>
        <v>£55,000 - £59,999</v>
      </c>
      <c r="N576" t="str" cm="1">
        <f t="array" ref="N57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76">
        <f>FLOOR(Sales_Export_2019_2020__2[[#This Row],[order_value_GBP]],5000)</f>
        <v>55000</v>
      </c>
    </row>
    <row r="577" spans="1:15" x14ac:dyDescent="0.35">
      <c r="A577" t="s">
        <v>23</v>
      </c>
      <c r="B577" s="2">
        <v>110441.89</v>
      </c>
      <c r="C577" s="2">
        <v>90970.98</v>
      </c>
      <c r="D577" s="1">
        <v>43834</v>
      </c>
      <c r="E577" t="s">
        <v>30</v>
      </c>
      <c r="F577" t="s">
        <v>734</v>
      </c>
      <c r="G577" t="s">
        <v>26</v>
      </c>
      <c r="H577" t="s">
        <v>90</v>
      </c>
      <c r="I577" t="s">
        <v>38</v>
      </c>
      <c r="J577" t="s">
        <v>735</v>
      </c>
      <c r="K577" s="2">
        <f>Sales_Export_2019_2020__2[[#This Row],[order_value_GBP]]-Sales_Export_2019_2020__2[[#This Row],[ cost ]]</f>
        <v>19470.910000000003</v>
      </c>
      <c r="L577" t="b">
        <f>COUNTIF(Sales_Export_2019_2020__2[order_id],Sales_Export_2019_2020__2[[#This Row],[order_id]])&gt;1</f>
        <v>0</v>
      </c>
      <c r="M577" t="str">
        <f t="shared" si="9"/>
        <v>£110,000 - £114,999</v>
      </c>
      <c r="N577" t="str" cm="1">
        <f t="array" ref="N57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77">
        <f>FLOOR(Sales_Export_2019_2020__2[[#This Row],[order_value_GBP]],5000)</f>
        <v>110000</v>
      </c>
    </row>
    <row r="578" spans="1:15" x14ac:dyDescent="0.35">
      <c r="A578" t="s">
        <v>45</v>
      </c>
      <c r="B578" s="2">
        <v>53801.73</v>
      </c>
      <c r="C578" s="2">
        <v>46785.98</v>
      </c>
      <c r="D578" s="1">
        <v>43736</v>
      </c>
      <c r="E578" t="s">
        <v>18</v>
      </c>
      <c r="F578" t="s">
        <v>35</v>
      </c>
      <c r="G578" t="s">
        <v>48</v>
      </c>
      <c r="H578" t="s">
        <v>74</v>
      </c>
      <c r="I578" t="s">
        <v>28</v>
      </c>
      <c r="J578" t="s">
        <v>736</v>
      </c>
      <c r="K578" s="2">
        <f>Sales_Export_2019_2020__2[[#This Row],[order_value_GBP]]-Sales_Export_2019_2020__2[[#This Row],[ cost ]]</f>
        <v>7015.75</v>
      </c>
      <c r="L578" t="b">
        <f>COUNTIF(Sales_Export_2019_2020__2[order_id],Sales_Export_2019_2020__2[[#This Row],[order_id]])&gt;1</f>
        <v>0</v>
      </c>
      <c r="M578" t="str">
        <f t="shared" si="9"/>
        <v>£50,000 - £54,999</v>
      </c>
      <c r="N578" t="str" cm="1">
        <f t="array" ref="N57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78">
        <f>FLOOR(Sales_Export_2019_2020__2[[#This Row],[order_value_GBP]],5000)</f>
        <v>50000</v>
      </c>
    </row>
    <row r="579" spans="1:15" x14ac:dyDescent="0.35">
      <c r="A579" t="s">
        <v>45</v>
      </c>
      <c r="B579" s="2">
        <v>308763.51</v>
      </c>
      <c r="C579" s="2">
        <v>245714</v>
      </c>
      <c r="D579" s="1">
        <v>44169</v>
      </c>
      <c r="E579" t="s">
        <v>62</v>
      </c>
      <c r="F579" t="s">
        <v>234</v>
      </c>
      <c r="G579" t="s">
        <v>48</v>
      </c>
      <c r="H579" t="s">
        <v>49</v>
      </c>
      <c r="I579" t="s">
        <v>28</v>
      </c>
      <c r="J579" t="s">
        <v>737</v>
      </c>
      <c r="K579" s="2">
        <f>Sales_Export_2019_2020__2[[#This Row],[order_value_GBP]]-Sales_Export_2019_2020__2[[#This Row],[ cost ]]</f>
        <v>63049.510000000009</v>
      </c>
      <c r="L579" t="b">
        <f>COUNTIF(Sales_Export_2019_2020__2[order_id],Sales_Export_2019_2020__2[[#This Row],[order_id]])&gt;1</f>
        <v>0</v>
      </c>
      <c r="M579" t="str">
        <f t="shared" si="9"/>
        <v>£305,000 - £309,999</v>
      </c>
      <c r="N579" t="str" cm="1">
        <f t="array" ref="N57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79">
        <f>FLOOR(Sales_Export_2019_2020__2[[#This Row],[order_value_GBP]],5000)</f>
        <v>305000</v>
      </c>
    </row>
    <row r="580" spans="1:15" x14ac:dyDescent="0.35">
      <c r="A580" t="s">
        <v>23</v>
      </c>
      <c r="B580" s="2">
        <v>87409.49</v>
      </c>
      <c r="C580" s="2">
        <v>70548.2</v>
      </c>
      <c r="D580" s="1">
        <v>44164</v>
      </c>
      <c r="E580" t="s">
        <v>18</v>
      </c>
      <c r="F580" t="s">
        <v>31</v>
      </c>
      <c r="G580" t="s">
        <v>26</v>
      </c>
      <c r="H580" t="s">
        <v>219</v>
      </c>
      <c r="I580" t="s">
        <v>28</v>
      </c>
      <c r="J580" t="s">
        <v>738</v>
      </c>
      <c r="K580" s="2">
        <f>Sales_Export_2019_2020__2[[#This Row],[order_value_GBP]]-Sales_Export_2019_2020__2[[#This Row],[ cost ]]</f>
        <v>16861.290000000008</v>
      </c>
      <c r="L580" t="b">
        <f>COUNTIF(Sales_Export_2019_2020__2[order_id],Sales_Export_2019_2020__2[[#This Row],[order_id]])&gt;1</f>
        <v>0</v>
      </c>
      <c r="M580" t="str">
        <f t="shared" si="9"/>
        <v>£85,000 - £89,999</v>
      </c>
      <c r="N580" t="str" cm="1">
        <f t="array" ref="N58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80">
        <f>FLOOR(Sales_Export_2019_2020__2[[#This Row],[order_value_GBP]],5000)</f>
        <v>85000</v>
      </c>
    </row>
    <row r="581" spans="1:15" x14ac:dyDescent="0.35">
      <c r="A581" t="s">
        <v>346</v>
      </c>
      <c r="B581" s="2">
        <v>47516.54</v>
      </c>
      <c r="C581" s="2">
        <v>38987.32</v>
      </c>
      <c r="D581" s="1">
        <v>43839</v>
      </c>
      <c r="E581" t="s">
        <v>11</v>
      </c>
      <c r="F581" t="s">
        <v>35</v>
      </c>
      <c r="G581" t="s">
        <v>347</v>
      </c>
      <c r="H581" t="s">
        <v>701</v>
      </c>
      <c r="I581" t="s">
        <v>28</v>
      </c>
      <c r="J581" t="s">
        <v>1069</v>
      </c>
      <c r="K581" s="2">
        <f>Sales_Export_2019_2020__2[[#This Row],[order_value_GBP]]-Sales_Export_2019_2020__2[[#This Row],[ cost ]]</f>
        <v>8529.2200000000012</v>
      </c>
      <c r="L581" t="b">
        <f>COUNTIF(Sales_Export_2019_2020__2[order_id],Sales_Export_2019_2020__2[[#This Row],[order_id]])&gt;1</f>
        <v>0</v>
      </c>
      <c r="M581" t="str">
        <f t="shared" si="9"/>
        <v>£45,000 - £49,999</v>
      </c>
      <c r="N581" t="str" cm="1">
        <f t="array" ref="N58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81">
        <f>FLOOR(Sales_Export_2019_2020__2[[#This Row],[order_value_GBP]],5000)</f>
        <v>45000</v>
      </c>
    </row>
    <row r="582" spans="1:15" x14ac:dyDescent="0.35">
      <c r="A582" t="s">
        <v>10</v>
      </c>
      <c r="B582" s="2">
        <v>45463.65</v>
      </c>
      <c r="C582" s="2">
        <v>36907.39</v>
      </c>
      <c r="D582" s="1">
        <v>44072</v>
      </c>
      <c r="E582" t="s">
        <v>24</v>
      </c>
      <c r="F582" t="s">
        <v>707</v>
      </c>
      <c r="G582" t="s">
        <v>13</v>
      </c>
      <c r="H582" t="s">
        <v>82</v>
      </c>
      <c r="I582" t="s">
        <v>28</v>
      </c>
      <c r="J582" t="s">
        <v>740</v>
      </c>
      <c r="K582" s="2">
        <f>Sales_Export_2019_2020__2[[#This Row],[order_value_GBP]]-Sales_Export_2019_2020__2[[#This Row],[ cost ]]</f>
        <v>8556.260000000002</v>
      </c>
      <c r="L582" t="b">
        <f>COUNTIF(Sales_Export_2019_2020__2[order_id],Sales_Export_2019_2020__2[[#This Row],[order_id]])&gt;1</f>
        <v>0</v>
      </c>
      <c r="M582" t="str">
        <f t="shared" si="9"/>
        <v>£45,000 - £49,999</v>
      </c>
      <c r="N582" t="str" cm="1">
        <f t="array" ref="N58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82">
        <f>FLOOR(Sales_Export_2019_2020__2[[#This Row],[order_value_GBP]],5000)</f>
        <v>45000</v>
      </c>
    </row>
    <row r="583" spans="1:15" x14ac:dyDescent="0.35">
      <c r="A583" t="s">
        <v>10</v>
      </c>
      <c r="B583" s="2">
        <v>112909.4</v>
      </c>
      <c r="C583" s="2">
        <v>93940.62</v>
      </c>
      <c r="D583" s="1">
        <v>43580</v>
      </c>
      <c r="E583" t="s">
        <v>24</v>
      </c>
      <c r="F583" t="s">
        <v>35</v>
      </c>
      <c r="G583" t="s">
        <v>13</v>
      </c>
      <c r="H583" t="s">
        <v>14</v>
      </c>
      <c r="I583" t="s">
        <v>28</v>
      </c>
      <c r="J583" t="s">
        <v>741</v>
      </c>
      <c r="K583" s="2">
        <f>Sales_Export_2019_2020__2[[#This Row],[order_value_GBP]]-Sales_Export_2019_2020__2[[#This Row],[ cost ]]</f>
        <v>18968.78</v>
      </c>
      <c r="L583" t="b">
        <f>COUNTIF(Sales_Export_2019_2020__2[order_id],Sales_Export_2019_2020__2[[#This Row],[order_id]])&gt;1</f>
        <v>0</v>
      </c>
      <c r="M583" t="str">
        <f t="shared" si="9"/>
        <v>£110,000 - £114,999</v>
      </c>
      <c r="N583" t="str" cm="1">
        <f t="array" ref="N58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83">
        <f>FLOOR(Sales_Export_2019_2020__2[[#This Row],[order_value_GBP]],5000)</f>
        <v>110000</v>
      </c>
    </row>
    <row r="584" spans="1:15" x14ac:dyDescent="0.35">
      <c r="A584" t="s">
        <v>23</v>
      </c>
      <c r="B584" s="2">
        <v>126346.44</v>
      </c>
      <c r="C584" s="2">
        <v>103970.49</v>
      </c>
      <c r="D584" s="1">
        <v>43563</v>
      </c>
      <c r="E584" t="s">
        <v>60</v>
      </c>
      <c r="F584" t="s">
        <v>35</v>
      </c>
      <c r="G584" t="s">
        <v>26</v>
      </c>
      <c r="H584" t="s">
        <v>76</v>
      </c>
      <c r="I584" t="s">
        <v>28</v>
      </c>
      <c r="J584" t="s">
        <v>742</v>
      </c>
      <c r="K584" s="2">
        <f>Sales_Export_2019_2020__2[[#This Row],[order_value_GBP]]-Sales_Export_2019_2020__2[[#This Row],[ cost ]]</f>
        <v>22375.949999999997</v>
      </c>
      <c r="L584" t="b">
        <f>COUNTIF(Sales_Export_2019_2020__2[order_id],Sales_Export_2019_2020__2[[#This Row],[order_id]])&gt;1</f>
        <v>0</v>
      </c>
      <c r="M584" t="str">
        <f t="shared" si="9"/>
        <v>£125,000 - £129,999</v>
      </c>
      <c r="N584" t="str" cm="1">
        <f t="array" ref="N58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84">
        <f>FLOOR(Sales_Export_2019_2020__2[[#This Row],[order_value_GBP]],5000)</f>
        <v>125000</v>
      </c>
    </row>
    <row r="585" spans="1:15" x14ac:dyDescent="0.35">
      <c r="A585" t="s">
        <v>23</v>
      </c>
      <c r="B585" s="2">
        <v>109713.84</v>
      </c>
      <c r="C585" s="2">
        <v>95769.21</v>
      </c>
      <c r="D585" s="1">
        <v>43958</v>
      </c>
      <c r="E585" t="s">
        <v>60</v>
      </c>
      <c r="F585" t="s">
        <v>180</v>
      </c>
      <c r="G585" t="s">
        <v>26</v>
      </c>
      <c r="H585" t="s">
        <v>32</v>
      </c>
      <c r="I585" t="s">
        <v>28</v>
      </c>
      <c r="J585" t="s">
        <v>743</v>
      </c>
      <c r="K585" s="2">
        <f>Sales_Export_2019_2020__2[[#This Row],[order_value_GBP]]-Sales_Export_2019_2020__2[[#This Row],[ cost ]]</f>
        <v>13944.62999999999</v>
      </c>
      <c r="L585" t="b">
        <f>COUNTIF(Sales_Export_2019_2020__2[order_id],Sales_Export_2019_2020__2[[#This Row],[order_id]])&gt;1</f>
        <v>0</v>
      </c>
      <c r="M585" t="str">
        <f t="shared" si="9"/>
        <v>£105,000 - £109,999</v>
      </c>
      <c r="N585" t="str" cm="1">
        <f t="array" ref="N58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85">
        <f>FLOOR(Sales_Export_2019_2020__2[[#This Row],[order_value_GBP]],5000)</f>
        <v>105000</v>
      </c>
    </row>
    <row r="586" spans="1:15" x14ac:dyDescent="0.35">
      <c r="A586" t="s">
        <v>84</v>
      </c>
      <c r="B586" s="2">
        <v>200472.46</v>
      </c>
      <c r="C586" s="2">
        <v>170181.07</v>
      </c>
      <c r="D586" s="1">
        <v>44001</v>
      </c>
      <c r="E586" t="s">
        <v>80</v>
      </c>
      <c r="F586" t="s">
        <v>126</v>
      </c>
      <c r="G586" t="s">
        <v>85</v>
      </c>
      <c r="H586" t="s">
        <v>86</v>
      </c>
      <c r="I586" t="s">
        <v>28</v>
      </c>
      <c r="J586" t="s">
        <v>744</v>
      </c>
      <c r="K586" s="2">
        <f>Sales_Export_2019_2020__2[[#This Row],[order_value_GBP]]-Sales_Export_2019_2020__2[[#This Row],[ cost ]]</f>
        <v>30291.389999999985</v>
      </c>
      <c r="L586" t="b">
        <f>COUNTIF(Sales_Export_2019_2020__2[order_id],Sales_Export_2019_2020__2[[#This Row],[order_id]])&gt;1</f>
        <v>0</v>
      </c>
      <c r="M586" t="str">
        <f t="shared" si="9"/>
        <v>£200,000 - £204,999</v>
      </c>
      <c r="N586" t="str" cm="1">
        <f t="array" ref="N58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86">
        <f>FLOOR(Sales_Export_2019_2020__2[[#This Row],[order_value_GBP]],5000)</f>
        <v>200000</v>
      </c>
    </row>
    <row r="587" spans="1:15" x14ac:dyDescent="0.35">
      <c r="A587" t="s">
        <v>53</v>
      </c>
      <c r="B587" s="2">
        <v>35214.85</v>
      </c>
      <c r="C587" s="2">
        <v>27985.24</v>
      </c>
      <c r="D587" s="1">
        <v>43537</v>
      </c>
      <c r="E587" t="s">
        <v>80</v>
      </c>
      <c r="F587" t="s">
        <v>265</v>
      </c>
      <c r="G587" t="s">
        <v>55</v>
      </c>
      <c r="H587" t="s">
        <v>133</v>
      </c>
      <c r="I587" t="s">
        <v>28</v>
      </c>
      <c r="J587" t="s">
        <v>745</v>
      </c>
      <c r="K587" s="2">
        <f>Sales_Export_2019_2020__2[[#This Row],[order_value_GBP]]-Sales_Export_2019_2020__2[[#This Row],[ cost ]]</f>
        <v>7229.6099999999969</v>
      </c>
      <c r="L587" t="b">
        <f>COUNTIF(Sales_Export_2019_2020__2[order_id],Sales_Export_2019_2020__2[[#This Row],[order_id]])&gt;1</f>
        <v>0</v>
      </c>
      <c r="M587" t="str">
        <f t="shared" si="9"/>
        <v>£35,000 - £39,999</v>
      </c>
      <c r="N587" t="str" cm="1">
        <f t="array" ref="N58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87">
        <f>FLOOR(Sales_Export_2019_2020__2[[#This Row],[order_value_GBP]],5000)</f>
        <v>35000</v>
      </c>
    </row>
    <row r="588" spans="1:15" x14ac:dyDescent="0.35">
      <c r="A588" t="s">
        <v>173</v>
      </c>
      <c r="B588" s="2">
        <v>161630.62</v>
      </c>
      <c r="C588" s="2">
        <v>133991.78</v>
      </c>
      <c r="D588" s="1">
        <v>43559</v>
      </c>
      <c r="E588" t="s">
        <v>51</v>
      </c>
      <c r="F588" t="s">
        <v>114</v>
      </c>
      <c r="G588" t="s">
        <v>175</v>
      </c>
      <c r="H588" t="s">
        <v>212</v>
      </c>
      <c r="I588" t="s">
        <v>28</v>
      </c>
      <c r="J588" t="s">
        <v>746</v>
      </c>
      <c r="K588" s="2">
        <f>Sales_Export_2019_2020__2[[#This Row],[order_value_GBP]]-Sales_Export_2019_2020__2[[#This Row],[ cost ]]</f>
        <v>27638.839999999997</v>
      </c>
      <c r="L588" t="b">
        <f>COUNTIF(Sales_Export_2019_2020__2[order_id],Sales_Export_2019_2020__2[[#This Row],[order_id]])&gt;1</f>
        <v>0</v>
      </c>
      <c r="M588" t="str">
        <f t="shared" si="9"/>
        <v>£160,000 - £164,999</v>
      </c>
      <c r="N588" t="str" cm="1">
        <f t="array" ref="N58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88">
        <f>FLOOR(Sales_Export_2019_2020__2[[#This Row],[order_value_GBP]],5000)</f>
        <v>160000</v>
      </c>
    </row>
    <row r="589" spans="1:15" x14ac:dyDescent="0.35">
      <c r="A589" t="s">
        <v>23</v>
      </c>
      <c r="B589" s="2">
        <v>179184.12</v>
      </c>
      <c r="C589" s="2">
        <v>142433.46</v>
      </c>
      <c r="D589" s="1">
        <v>43959</v>
      </c>
      <c r="E589" t="s">
        <v>51</v>
      </c>
      <c r="F589" t="s">
        <v>135</v>
      </c>
      <c r="G589" t="s">
        <v>26</v>
      </c>
      <c r="H589" t="s">
        <v>219</v>
      </c>
      <c r="I589" t="s">
        <v>28</v>
      </c>
      <c r="J589" t="s">
        <v>747</v>
      </c>
      <c r="K589" s="2">
        <f>Sales_Export_2019_2020__2[[#This Row],[order_value_GBP]]-Sales_Export_2019_2020__2[[#This Row],[ cost ]]</f>
        <v>36750.660000000003</v>
      </c>
      <c r="L589" t="b">
        <f>COUNTIF(Sales_Export_2019_2020__2[order_id],Sales_Export_2019_2020__2[[#This Row],[order_id]])&gt;1</f>
        <v>0</v>
      </c>
      <c r="M589" t="str">
        <f t="shared" si="9"/>
        <v>£175,000 - £179,999</v>
      </c>
      <c r="N589" t="str" cm="1">
        <f t="array" ref="N58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589">
        <f>FLOOR(Sales_Export_2019_2020__2[[#This Row],[order_value_GBP]],5000)</f>
        <v>175000</v>
      </c>
    </row>
    <row r="590" spans="1:15" x14ac:dyDescent="0.35">
      <c r="A590" t="s">
        <v>10</v>
      </c>
      <c r="B590" s="2">
        <v>80867.179999999993</v>
      </c>
      <c r="C590" s="2">
        <v>63982.11</v>
      </c>
      <c r="D590" s="1">
        <v>43508</v>
      </c>
      <c r="E590" t="s">
        <v>11</v>
      </c>
      <c r="F590" t="s">
        <v>121</v>
      </c>
      <c r="G590" t="s">
        <v>13</v>
      </c>
      <c r="H590" t="s">
        <v>69</v>
      </c>
      <c r="I590" t="s">
        <v>28</v>
      </c>
      <c r="J590" t="s">
        <v>748</v>
      </c>
      <c r="K590" s="2">
        <f>Sales_Export_2019_2020__2[[#This Row],[order_value_GBP]]-Sales_Export_2019_2020__2[[#This Row],[ cost ]]</f>
        <v>16885.069999999992</v>
      </c>
      <c r="L590" t="b">
        <f>COUNTIF(Sales_Export_2019_2020__2[order_id],Sales_Export_2019_2020__2[[#This Row],[order_id]])&gt;1</f>
        <v>0</v>
      </c>
      <c r="M590" t="str">
        <f t="shared" si="9"/>
        <v>£80,000 - £84,999</v>
      </c>
      <c r="N590" t="str" cm="1">
        <f t="array" ref="N59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90">
        <f>FLOOR(Sales_Export_2019_2020__2[[#This Row],[order_value_GBP]],5000)</f>
        <v>80000</v>
      </c>
    </row>
    <row r="591" spans="1:15" x14ac:dyDescent="0.35">
      <c r="A591" t="s">
        <v>53</v>
      </c>
      <c r="B591" s="2">
        <v>96613.06</v>
      </c>
      <c r="C591" s="2">
        <v>79242.03</v>
      </c>
      <c r="D591" s="1">
        <v>43579</v>
      </c>
      <c r="E591" t="s">
        <v>11</v>
      </c>
      <c r="F591" t="s">
        <v>35</v>
      </c>
      <c r="G591" t="s">
        <v>55</v>
      </c>
      <c r="H591" t="s">
        <v>133</v>
      </c>
      <c r="I591" t="s">
        <v>28</v>
      </c>
      <c r="J591" t="s">
        <v>749</v>
      </c>
      <c r="K591" s="2">
        <f>Sales_Export_2019_2020__2[[#This Row],[order_value_GBP]]-Sales_Export_2019_2020__2[[#This Row],[ cost ]]</f>
        <v>17371.03</v>
      </c>
      <c r="L591" t="b">
        <f>COUNTIF(Sales_Export_2019_2020__2[order_id],Sales_Export_2019_2020__2[[#This Row],[order_id]])&gt;1</f>
        <v>0</v>
      </c>
      <c r="M591" t="str">
        <f t="shared" si="9"/>
        <v>£95,000 - £99,999</v>
      </c>
      <c r="N591" t="str" cm="1">
        <f t="array" ref="N59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91">
        <f>FLOOR(Sales_Export_2019_2020__2[[#This Row],[order_value_GBP]],5000)</f>
        <v>95000</v>
      </c>
    </row>
    <row r="592" spans="1:15" x14ac:dyDescent="0.35">
      <c r="A592" t="s">
        <v>23</v>
      </c>
      <c r="B592" s="2">
        <v>89600.45</v>
      </c>
      <c r="C592" s="2">
        <v>70811.240000000005</v>
      </c>
      <c r="D592" s="1">
        <v>43851</v>
      </c>
      <c r="E592" t="s">
        <v>18</v>
      </c>
      <c r="F592" t="s">
        <v>64</v>
      </c>
      <c r="G592" t="s">
        <v>26</v>
      </c>
      <c r="H592" t="s">
        <v>27</v>
      </c>
      <c r="I592" t="s">
        <v>28</v>
      </c>
      <c r="J592" t="s">
        <v>750</v>
      </c>
      <c r="K592" s="2">
        <f>Sales_Export_2019_2020__2[[#This Row],[order_value_GBP]]-Sales_Export_2019_2020__2[[#This Row],[ cost ]]</f>
        <v>18789.209999999992</v>
      </c>
      <c r="L592" t="b">
        <f>COUNTIF(Sales_Export_2019_2020__2[order_id],Sales_Export_2019_2020__2[[#This Row],[order_id]])&gt;1</f>
        <v>0</v>
      </c>
      <c r="M592" t="str">
        <f t="shared" si="9"/>
        <v>£85,000 - £89,999</v>
      </c>
      <c r="N592" t="str" cm="1">
        <f t="array" ref="N59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92">
        <f>FLOOR(Sales_Export_2019_2020__2[[#This Row],[order_value_GBP]],5000)</f>
        <v>85000</v>
      </c>
    </row>
    <row r="593" spans="1:15" x14ac:dyDescent="0.35">
      <c r="A593" t="s">
        <v>23</v>
      </c>
      <c r="B593" s="2">
        <v>41921.61</v>
      </c>
      <c r="C593" s="2">
        <v>34773.980000000003</v>
      </c>
      <c r="D593" s="1">
        <v>44163</v>
      </c>
      <c r="E593" t="s">
        <v>18</v>
      </c>
      <c r="F593" t="s">
        <v>54</v>
      </c>
      <c r="G593" t="s">
        <v>26</v>
      </c>
      <c r="H593" t="s">
        <v>90</v>
      </c>
      <c r="I593" t="s">
        <v>38</v>
      </c>
      <c r="J593" t="s">
        <v>751</v>
      </c>
      <c r="K593" s="2">
        <f>Sales_Export_2019_2020__2[[#This Row],[order_value_GBP]]-Sales_Export_2019_2020__2[[#This Row],[ cost ]]</f>
        <v>7147.6299999999974</v>
      </c>
      <c r="L593" t="b">
        <f>COUNTIF(Sales_Export_2019_2020__2[order_id],Sales_Export_2019_2020__2[[#This Row],[order_id]])&gt;1</f>
        <v>0</v>
      </c>
      <c r="M593" t="str">
        <f t="shared" si="9"/>
        <v>£40,000 - £44,999</v>
      </c>
      <c r="N593" t="str" cm="1">
        <f t="array" ref="N59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93">
        <f>FLOOR(Sales_Export_2019_2020__2[[#This Row],[order_value_GBP]],5000)</f>
        <v>40000</v>
      </c>
    </row>
    <row r="594" spans="1:15" x14ac:dyDescent="0.35">
      <c r="A594" t="s">
        <v>45</v>
      </c>
      <c r="B594" s="2">
        <v>151012.12</v>
      </c>
      <c r="C594" s="2">
        <v>126080.02</v>
      </c>
      <c r="D594" s="1">
        <v>44068</v>
      </c>
      <c r="E594" t="s">
        <v>46</v>
      </c>
      <c r="F594" t="s">
        <v>35</v>
      </c>
      <c r="G594" t="s">
        <v>48</v>
      </c>
      <c r="H594" t="s">
        <v>74</v>
      </c>
      <c r="I594" t="s">
        <v>28</v>
      </c>
      <c r="J594" t="s">
        <v>752</v>
      </c>
      <c r="K594" s="2">
        <f>Sales_Export_2019_2020__2[[#This Row],[order_value_GBP]]-Sales_Export_2019_2020__2[[#This Row],[ cost ]]</f>
        <v>24932.099999999991</v>
      </c>
      <c r="L594" t="b">
        <f>COUNTIF(Sales_Export_2019_2020__2[order_id],Sales_Export_2019_2020__2[[#This Row],[order_id]])&gt;1</f>
        <v>0</v>
      </c>
      <c r="M594" t="str">
        <f t="shared" si="9"/>
        <v>£150,000 - £154,999</v>
      </c>
      <c r="N594" t="str" cm="1">
        <f t="array" ref="N59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94">
        <f>FLOOR(Sales_Export_2019_2020__2[[#This Row],[order_value_GBP]],5000)</f>
        <v>150000</v>
      </c>
    </row>
    <row r="595" spans="1:15" x14ac:dyDescent="0.35">
      <c r="A595" t="s">
        <v>23</v>
      </c>
      <c r="B595" s="2">
        <v>112481.44</v>
      </c>
      <c r="C595" s="2">
        <v>96700.29</v>
      </c>
      <c r="D595" s="1">
        <v>43932</v>
      </c>
      <c r="E595" t="s">
        <v>80</v>
      </c>
      <c r="F595" t="s">
        <v>210</v>
      </c>
      <c r="G595" t="s">
        <v>26</v>
      </c>
      <c r="H595" t="s">
        <v>90</v>
      </c>
      <c r="I595" t="s">
        <v>15</v>
      </c>
      <c r="J595" t="s">
        <v>753</v>
      </c>
      <c r="K595" s="2">
        <f>Sales_Export_2019_2020__2[[#This Row],[order_value_GBP]]-Sales_Export_2019_2020__2[[#This Row],[ cost ]]</f>
        <v>15781.150000000009</v>
      </c>
      <c r="L595" t="b">
        <f>COUNTIF(Sales_Export_2019_2020__2[order_id],Sales_Export_2019_2020__2[[#This Row],[order_id]])&gt;1</f>
        <v>0</v>
      </c>
      <c r="M595" t="str">
        <f t="shared" si="9"/>
        <v>£110,000 - £114,999</v>
      </c>
      <c r="N595" t="str" cm="1">
        <f t="array" ref="N59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95">
        <f>FLOOR(Sales_Export_2019_2020__2[[#This Row],[order_value_GBP]],5000)</f>
        <v>110000</v>
      </c>
    </row>
    <row r="596" spans="1:15" x14ac:dyDescent="0.35">
      <c r="A596" t="s">
        <v>53</v>
      </c>
      <c r="B596" s="2">
        <v>90228.68</v>
      </c>
      <c r="C596" s="2">
        <v>77966.600000000006</v>
      </c>
      <c r="D596" s="1">
        <v>43492</v>
      </c>
      <c r="E596" t="s">
        <v>80</v>
      </c>
      <c r="F596" t="s">
        <v>126</v>
      </c>
      <c r="G596" t="s">
        <v>55</v>
      </c>
      <c r="H596" t="s">
        <v>144</v>
      </c>
      <c r="I596" t="s">
        <v>28</v>
      </c>
      <c r="J596" t="s">
        <v>754</v>
      </c>
      <c r="K596" s="2">
        <f>Sales_Export_2019_2020__2[[#This Row],[order_value_GBP]]-Sales_Export_2019_2020__2[[#This Row],[ cost ]]</f>
        <v>12262.079999999987</v>
      </c>
      <c r="L596" t="b">
        <f>COUNTIF(Sales_Export_2019_2020__2[order_id],Sales_Export_2019_2020__2[[#This Row],[order_id]])&gt;1</f>
        <v>0</v>
      </c>
      <c r="M596" t="str">
        <f t="shared" si="9"/>
        <v>£90,000 - £94,999</v>
      </c>
      <c r="N596" t="str" cm="1">
        <f t="array" ref="N59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96">
        <f>FLOOR(Sales_Export_2019_2020__2[[#This Row],[order_value_GBP]],5000)</f>
        <v>90000</v>
      </c>
    </row>
    <row r="597" spans="1:15" x14ac:dyDescent="0.35">
      <c r="A597" t="s">
        <v>45</v>
      </c>
      <c r="B597" s="2">
        <v>141552.4</v>
      </c>
      <c r="C597" s="2">
        <v>122994.88</v>
      </c>
      <c r="D597" s="1">
        <v>43725</v>
      </c>
      <c r="E597" t="s">
        <v>30</v>
      </c>
      <c r="F597" t="s">
        <v>210</v>
      </c>
      <c r="G597" t="s">
        <v>48</v>
      </c>
      <c r="H597" t="s">
        <v>49</v>
      </c>
      <c r="I597" t="s">
        <v>28</v>
      </c>
      <c r="J597" t="s">
        <v>755</v>
      </c>
      <c r="K597" s="2">
        <f>Sales_Export_2019_2020__2[[#This Row],[order_value_GBP]]-Sales_Export_2019_2020__2[[#This Row],[ cost ]]</f>
        <v>18557.51999999999</v>
      </c>
      <c r="L597" t="b">
        <f>COUNTIF(Sales_Export_2019_2020__2[order_id],Sales_Export_2019_2020__2[[#This Row],[order_id]])&gt;1</f>
        <v>0</v>
      </c>
      <c r="M597" t="str">
        <f t="shared" si="9"/>
        <v>£140,000 - £144,999</v>
      </c>
      <c r="N597" t="str" cm="1">
        <f t="array" ref="N59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97">
        <f>FLOOR(Sales_Export_2019_2020__2[[#This Row],[order_value_GBP]],5000)</f>
        <v>140000</v>
      </c>
    </row>
    <row r="598" spans="1:15" x14ac:dyDescent="0.35">
      <c r="A598" t="s">
        <v>45</v>
      </c>
      <c r="B598" s="2">
        <v>29783.39</v>
      </c>
      <c r="C598" s="2">
        <v>23719.49</v>
      </c>
      <c r="D598" s="1">
        <v>43796</v>
      </c>
      <c r="E598" t="s">
        <v>11</v>
      </c>
      <c r="F598" t="s">
        <v>132</v>
      </c>
      <c r="G598" t="s">
        <v>48</v>
      </c>
      <c r="H598" t="s">
        <v>49</v>
      </c>
      <c r="I598" t="s">
        <v>28</v>
      </c>
      <c r="J598" t="s">
        <v>756</v>
      </c>
      <c r="K598" s="2">
        <f>Sales_Export_2019_2020__2[[#This Row],[order_value_GBP]]-Sales_Export_2019_2020__2[[#This Row],[ cost ]]</f>
        <v>6063.8999999999978</v>
      </c>
      <c r="L598" t="b">
        <f>COUNTIF(Sales_Export_2019_2020__2[order_id],Sales_Export_2019_2020__2[[#This Row],[order_id]])&gt;1</f>
        <v>0</v>
      </c>
      <c r="M598" t="str">
        <f t="shared" si="9"/>
        <v>£25,000 - £29,999</v>
      </c>
      <c r="N598" t="str" cm="1">
        <f t="array" ref="N59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598">
        <f>FLOOR(Sales_Export_2019_2020__2[[#This Row],[order_value_GBP]],5000)</f>
        <v>25000</v>
      </c>
    </row>
    <row r="599" spans="1:15" x14ac:dyDescent="0.35">
      <c r="A599" t="s">
        <v>10</v>
      </c>
      <c r="B599" s="2">
        <v>149938.71</v>
      </c>
      <c r="C599" s="2">
        <v>131541.23000000001</v>
      </c>
      <c r="D599" s="1">
        <v>44189</v>
      </c>
      <c r="E599" t="s">
        <v>11</v>
      </c>
      <c r="F599" t="s">
        <v>155</v>
      </c>
      <c r="G599" t="s">
        <v>13</v>
      </c>
      <c r="H599" t="s">
        <v>14</v>
      </c>
      <c r="I599" t="s">
        <v>28</v>
      </c>
      <c r="J599" t="s">
        <v>757</v>
      </c>
      <c r="K599" s="2">
        <f>Sales_Export_2019_2020__2[[#This Row],[order_value_GBP]]-Sales_Export_2019_2020__2[[#This Row],[ cost ]]</f>
        <v>18397.479999999981</v>
      </c>
      <c r="L599" t="b">
        <f>COUNTIF(Sales_Export_2019_2020__2[order_id],Sales_Export_2019_2020__2[[#This Row],[order_id]])&gt;1</f>
        <v>0</v>
      </c>
      <c r="M599" t="str">
        <f t="shared" si="9"/>
        <v>£145,000 - £149,999</v>
      </c>
      <c r="N599" t="str" cm="1">
        <f t="array" ref="N59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599">
        <f>FLOOR(Sales_Export_2019_2020__2[[#This Row],[order_value_GBP]],5000)</f>
        <v>145000</v>
      </c>
    </row>
    <row r="600" spans="1:15" x14ac:dyDescent="0.35">
      <c r="A600" t="s">
        <v>10</v>
      </c>
      <c r="B600" s="2">
        <v>103839.74</v>
      </c>
      <c r="C600" s="2">
        <v>90683.24</v>
      </c>
      <c r="D600" s="1">
        <v>44066</v>
      </c>
      <c r="E600" t="s">
        <v>11</v>
      </c>
      <c r="F600" t="s">
        <v>43</v>
      </c>
      <c r="G600" t="s">
        <v>13</v>
      </c>
      <c r="H600" t="s">
        <v>170</v>
      </c>
      <c r="I600" t="s">
        <v>28</v>
      </c>
      <c r="J600" t="s">
        <v>758</v>
      </c>
      <c r="K600" s="2">
        <f>Sales_Export_2019_2020__2[[#This Row],[order_value_GBP]]-Sales_Export_2019_2020__2[[#This Row],[ cost ]]</f>
        <v>13156.5</v>
      </c>
      <c r="L600" t="b">
        <f>COUNTIF(Sales_Export_2019_2020__2[order_id],Sales_Export_2019_2020__2[[#This Row],[order_id]])&gt;1</f>
        <v>0</v>
      </c>
      <c r="M600" t="str">
        <f t="shared" si="9"/>
        <v>£100,000 - £104,999</v>
      </c>
      <c r="N600" t="str" cm="1">
        <f t="array" ref="N60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00">
        <f>FLOOR(Sales_Export_2019_2020__2[[#This Row],[order_value_GBP]],5000)</f>
        <v>100000</v>
      </c>
    </row>
    <row r="601" spans="1:15" x14ac:dyDescent="0.35">
      <c r="A601" t="s">
        <v>23</v>
      </c>
      <c r="B601" s="2">
        <v>30550.32</v>
      </c>
      <c r="C601" s="2">
        <v>25457.58</v>
      </c>
      <c r="D601" s="1">
        <v>43616</v>
      </c>
      <c r="E601" t="s">
        <v>30</v>
      </c>
      <c r="F601" t="s">
        <v>40</v>
      </c>
      <c r="G601" t="s">
        <v>26</v>
      </c>
      <c r="H601" t="s">
        <v>27</v>
      </c>
      <c r="I601" t="s">
        <v>15</v>
      </c>
      <c r="J601" t="s">
        <v>759</v>
      </c>
      <c r="K601" s="2">
        <f>Sales_Export_2019_2020__2[[#This Row],[order_value_GBP]]-Sales_Export_2019_2020__2[[#This Row],[ cost ]]</f>
        <v>5092.739999999998</v>
      </c>
      <c r="L601" t="b">
        <f>COUNTIF(Sales_Export_2019_2020__2[order_id],Sales_Export_2019_2020__2[[#This Row],[order_id]])&gt;1</f>
        <v>0</v>
      </c>
      <c r="M601" t="str">
        <f t="shared" si="9"/>
        <v>£30,000 - £34,999</v>
      </c>
      <c r="N601" t="str" cm="1">
        <f t="array" ref="N60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01">
        <f>FLOOR(Sales_Export_2019_2020__2[[#This Row],[order_value_GBP]],5000)</f>
        <v>30000</v>
      </c>
    </row>
    <row r="602" spans="1:15" x14ac:dyDescent="0.35">
      <c r="A602" t="s">
        <v>10</v>
      </c>
      <c r="B602" s="2">
        <v>24787.65</v>
      </c>
      <c r="C602" s="2">
        <v>20454.77</v>
      </c>
      <c r="D602" s="1">
        <v>43508</v>
      </c>
      <c r="E602" t="s">
        <v>139</v>
      </c>
      <c r="F602" t="s">
        <v>265</v>
      </c>
      <c r="G602" t="s">
        <v>13</v>
      </c>
      <c r="H602" t="s">
        <v>118</v>
      </c>
      <c r="I602" t="s">
        <v>28</v>
      </c>
      <c r="J602" t="s">
        <v>760</v>
      </c>
      <c r="K602" s="2">
        <f>Sales_Export_2019_2020__2[[#This Row],[order_value_GBP]]-Sales_Export_2019_2020__2[[#This Row],[ cost ]]</f>
        <v>4332.880000000001</v>
      </c>
      <c r="L602" t="b">
        <f>COUNTIF(Sales_Export_2019_2020__2[order_id],Sales_Export_2019_2020__2[[#This Row],[order_id]])&gt;1</f>
        <v>0</v>
      </c>
      <c r="M602" t="str">
        <f t="shared" si="9"/>
        <v>£20,000 - £24,999</v>
      </c>
      <c r="N602" t="str" cm="1">
        <f t="array" ref="N60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02">
        <f>FLOOR(Sales_Export_2019_2020__2[[#This Row],[order_value_GBP]],5000)</f>
        <v>20000</v>
      </c>
    </row>
    <row r="603" spans="1:15" x14ac:dyDescent="0.35">
      <c r="A603" t="s">
        <v>53</v>
      </c>
      <c r="B603" s="2">
        <v>122468.33</v>
      </c>
      <c r="C603" s="2">
        <v>103032.61</v>
      </c>
      <c r="D603" s="1">
        <v>44082</v>
      </c>
      <c r="E603" t="s">
        <v>80</v>
      </c>
      <c r="F603" t="s">
        <v>35</v>
      </c>
      <c r="G603" t="s">
        <v>55</v>
      </c>
      <c r="H603" t="s">
        <v>144</v>
      </c>
      <c r="I603" t="s">
        <v>15</v>
      </c>
      <c r="J603" t="s">
        <v>761</v>
      </c>
      <c r="K603" s="2">
        <f>Sales_Export_2019_2020__2[[#This Row],[order_value_GBP]]-Sales_Export_2019_2020__2[[#This Row],[ cost ]]</f>
        <v>19435.72</v>
      </c>
      <c r="L603" t="b">
        <f>COUNTIF(Sales_Export_2019_2020__2[order_id],Sales_Export_2019_2020__2[[#This Row],[order_id]])&gt;1</f>
        <v>0</v>
      </c>
      <c r="M603" t="str">
        <f t="shared" si="9"/>
        <v>£120,000 - £124,999</v>
      </c>
      <c r="N603" t="str" cm="1">
        <f t="array" ref="N60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03">
        <f>FLOOR(Sales_Export_2019_2020__2[[#This Row],[order_value_GBP]],5000)</f>
        <v>120000</v>
      </c>
    </row>
    <row r="604" spans="1:15" x14ac:dyDescent="0.35">
      <c r="A604" t="s">
        <v>10</v>
      </c>
      <c r="B604" s="2">
        <v>137026.71</v>
      </c>
      <c r="C604" s="2">
        <v>120117.61</v>
      </c>
      <c r="D604" s="1">
        <v>44069</v>
      </c>
      <c r="E604" t="s">
        <v>60</v>
      </c>
      <c r="F604" t="s">
        <v>148</v>
      </c>
      <c r="G604" t="s">
        <v>13</v>
      </c>
      <c r="H604" t="s">
        <v>69</v>
      </c>
      <c r="I604" t="s">
        <v>28</v>
      </c>
      <c r="J604" t="s">
        <v>762</v>
      </c>
      <c r="K604" s="2">
        <f>Sales_Export_2019_2020__2[[#This Row],[order_value_GBP]]-Sales_Export_2019_2020__2[[#This Row],[ cost ]]</f>
        <v>16909.099999999991</v>
      </c>
      <c r="L604" t="b">
        <f>COUNTIF(Sales_Export_2019_2020__2[order_id],Sales_Export_2019_2020__2[[#This Row],[order_id]])&gt;1</f>
        <v>0</v>
      </c>
      <c r="M604" t="str">
        <f t="shared" si="9"/>
        <v>£135,000 - £139,999</v>
      </c>
      <c r="N604" t="str" cm="1">
        <f t="array" ref="N60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04">
        <f>FLOOR(Sales_Export_2019_2020__2[[#This Row],[order_value_GBP]],5000)</f>
        <v>135000</v>
      </c>
    </row>
    <row r="605" spans="1:15" x14ac:dyDescent="0.35">
      <c r="A605" t="s">
        <v>17</v>
      </c>
      <c r="B605" s="2">
        <v>132246.48000000001</v>
      </c>
      <c r="C605" s="2">
        <v>106841.93</v>
      </c>
      <c r="D605" s="1">
        <v>43467</v>
      </c>
      <c r="E605" t="s">
        <v>18</v>
      </c>
      <c r="F605" t="s">
        <v>114</v>
      </c>
      <c r="G605" t="s">
        <v>20</v>
      </c>
      <c r="H605" t="s">
        <v>353</v>
      </c>
      <c r="I605" t="s">
        <v>28</v>
      </c>
      <c r="J605" t="s">
        <v>763</v>
      </c>
      <c r="K605" s="2">
        <f>Sales_Export_2019_2020__2[[#This Row],[order_value_GBP]]-Sales_Export_2019_2020__2[[#This Row],[ cost ]]</f>
        <v>25404.550000000017</v>
      </c>
      <c r="L605" t="b">
        <f>COUNTIF(Sales_Export_2019_2020__2[order_id],Sales_Export_2019_2020__2[[#This Row],[order_id]])&gt;1</f>
        <v>0</v>
      </c>
      <c r="M605" t="str">
        <f t="shared" si="9"/>
        <v>£130,000 - £134,999</v>
      </c>
      <c r="N605" t="str" cm="1">
        <f t="array" ref="N60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05">
        <f>FLOOR(Sales_Export_2019_2020__2[[#This Row],[order_value_GBP]],5000)</f>
        <v>130000</v>
      </c>
    </row>
    <row r="606" spans="1:15" x14ac:dyDescent="0.35">
      <c r="A606" t="s">
        <v>23</v>
      </c>
      <c r="B606" s="2">
        <v>111551.96</v>
      </c>
      <c r="C606" s="2">
        <v>89420.05</v>
      </c>
      <c r="D606" s="1">
        <v>43836</v>
      </c>
      <c r="E606" t="s">
        <v>24</v>
      </c>
      <c r="F606" t="s">
        <v>153</v>
      </c>
      <c r="G606" t="s">
        <v>26</v>
      </c>
      <c r="H606" t="s">
        <v>32</v>
      </c>
      <c r="I606" t="s">
        <v>28</v>
      </c>
      <c r="J606" t="s">
        <v>764</v>
      </c>
      <c r="K606" s="2">
        <f>Sales_Export_2019_2020__2[[#This Row],[order_value_GBP]]-Sales_Export_2019_2020__2[[#This Row],[ cost ]]</f>
        <v>22131.910000000003</v>
      </c>
      <c r="L606" t="b">
        <f>COUNTIF(Sales_Export_2019_2020__2[order_id],Sales_Export_2019_2020__2[[#This Row],[order_id]])&gt;1</f>
        <v>0</v>
      </c>
      <c r="M606" t="str">
        <f t="shared" si="9"/>
        <v>£110,000 - £114,999</v>
      </c>
      <c r="N606" t="str" cm="1">
        <f t="array" ref="N60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06">
        <f>FLOOR(Sales_Export_2019_2020__2[[#This Row],[order_value_GBP]],5000)</f>
        <v>110000</v>
      </c>
    </row>
    <row r="607" spans="1:15" x14ac:dyDescent="0.35">
      <c r="A607" t="s">
        <v>53</v>
      </c>
      <c r="B607" s="2">
        <v>127946.33</v>
      </c>
      <c r="C607" s="2">
        <v>111850.68</v>
      </c>
      <c r="D607" s="1">
        <v>43717</v>
      </c>
      <c r="E607" t="s">
        <v>30</v>
      </c>
      <c r="F607" t="s">
        <v>135</v>
      </c>
      <c r="G607" t="s">
        <v>55</v>
      </c>
      <c r="H607" t="s">
        <v>128</v>
      </c>
      <c r="I607" t="s">
        <v>28</v>
      </c>
      <c r="J607" t="s">
        <v>765</v>
      </c>
      <c r="K607" s="2">
        <f>Sales_Export_2019_2020__2[[#This Row],[order_value_GBP]]-Sales_Export_2019_2020__2[[#This Row],[ cost ]]</f>
        <v>16095.650000000009</v>
      </c>
      <c r="L607" t="b">
        <f>COUNTIF(Sales_Export_2019_2020__2[order_id],Sales_Export_2019_2020__2[[#This Row],[order_id]])&gt;1</f>
        <v>0</v>
      </c>
      <c r="M607" t="str">
        <f t="shared" si="9"/>
        <v>£125,000 - £129,999</v>
      </c>
      <c r="N607" t="str" cm="1">
        <f t="array" ref="N60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07">
        <f>FLOOR(Sales_Export_2019_2020__2[[#This Row],[order_value_GBP]],5000)</f>
        <v>125000</v>
      </c>
    </row>
    <row r="608" spans="1:15" x14ac:dyDescent="0.35">
      <c r="A608" t="s">
        <v>10</v>
      </c>
      <c r="B608" s="2">
        <v>78679.600000000006</v>
      </c>
      <c r="C608" s="2">
        <v>62416.53</v>
      </c>
      <c r="D608" s="1">
        <v>43750</v>
      </c>
      <c r="E608" t="s">
        <v>18</v>
      </c>
      <c r="F608" t="s">
        <v>327</v>
      </c>
      <c r="G608" t="s">
        <v>13</v>
      </c>
      <c r="H608" t="s">
        <v>170</v>
      </c>
      <c r="I608" t="s">
        <v>28</v>
      </c>
      <c r="J608" t="s">
        <v>766</v>
      </c>
      <c r="K608" s="2">
        <f>Sales_Export_2019_2020__2[[#This Row],[order_value_GBP]]-Sales_Export_2019_2020__2[[#This Row],[ cost ]]</f>
        <v>16263.070000000007</v>
      </c>
      <c r="L608" t="b">
        <f>COUNTIF(Sales_Export_2019_2020__2[order_id],Sales_Export_2019_2020__2[[#This Row],[order_id]])&gt;1</f>
        <v>0</v>
      </c>
      <c r="M608" t="str">
        <f t="shared" si="9"/>
        <v>£75,000 - £79,999</v>
      </c>
      <c r="N608" t="str" cm="1">
        <f t="array" ref="N60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08">
        <f>FLOOR(Sales_Export_2019_2020__2[[#This Row],[order_value_GBP]],5000)</f>
        <v>75000</v>
      </c>
    </row>
    <row r="609" spans="1:15" x14ac:dyDescent="0.35">
      <c r="A609" t="s">
        <v>45</v>
      </c>
      <c r="B609" s="2">
        <v>86071.63</v>
      </c>
      <c r="C609" s="2">
        <v>71198.45</v>
      </c>
      <c r="D609" s="1">
        <v>43782</v>
      </c>
      <c r="E609" t="s">
        <v>80</v>
      </c>
      <c r="F609" t="s">
        <v>54</v>
      </c>
      <c r="G609" t="s">
        <v>48</v>
      </c>
      <c r="H609" t="s">
        <v>66</v>
      </c>
      <c r="I609" t="s">
        <v>38</v>
      </c>
      <c r="J609" t="s">
        <v>767</v>
      </c>
      <c r="K609" s="2">
        <f>Sales_Export_2019_2020__2[[#This Row],[order_value_GBP]]-Sales_Export_2019_2020__2[[#This Row],[ cost ]]</f>
        <v>14873.180000000008</v>
      </c>
      <c r="L609" t="b">
        <f>COUNTIF(Sales_Export_2019_2020__2[order_id],Sales_Export_2019_2020__2[[#This Row],[order_id]])&gt;1</f>
        <v>0</v>
      </c>
      <c r="M609" t="str">
        <f t="shared" si="9"/>
        <v>£85,000 - £89,999</v>
      </c>
      <c r="N609" t="str" cm="1">
        <f t="array" ref="N60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09">
        <f>FLOOR(Sales_Export_2019_2020__2[[#This Row],[order_value_GBP]],5000)</f>
        <v>85000</v>
      </c>
    </row>
    <row r="610" spans="1:15" x14ac:dyDescent="0.35">
      <c r="A610" t="s">
        <v>23</v>
      </c>
      <c r="B610" s="2">
        <v>134120.38</v>
      </c>
      <c r="C610" s="2">
        <v>105981.92</v>
      </c>
      <c r="D610" s="1">
        <v>43951</v>
      </c>
      <c r="E610" t="s">
        <v>18</v>
      </c>
      <c r="F610" t="s">
        <v>148</v>
      </c>
      <c r="G610" t="s">
        <v>26</v>
      </c>
      <c r="H610" t="s">
        <v>219</v>
      </c>
      <c r="I610" t="s">
        <v>28</v>
      </c>
      <c r="J610" t="s">
        <v>768</v>
      </c>
      <c r="K610" s="2">
        <f>Sales_Export_2019_2020__2[[#This Row],[order_value_GBP]]-Sales_Export_2019_2020__2[[#This Row],[ cost ]]</f>
        <v>28138.460000000006</v>
      </c>
      <c r="L610" t="b">
        <f>COUNTIF(Sales_Export_2019_2020__2[order_id],Sales_Export_2019_2020__2[[#This Row],[order_id]])&gt;1</f>
        <v>0</v>
      </c>
      <c r="M610" t="str">
        <f t="shared" ref="M610:M673" si="10">TEXT(FLOOR(B610,5000),"£#,##0")&amp;" - "&amp;TEXT(FLOOR(B610,5000)+4999,"£#,##0")</f>
        <v>£130,000 - £134,999</v>
      </c>
      <c r="N610" t="str" cm="1">
        <f t="array" ref="N61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10">
        <f>FLOOR(Sales_Export_2019_2020__2[[#This Row],[order_value_GBP]],5000)</f>
        <v>130000</v>
      </c>
    </row>
    <row r="611" spans="1:15" x14ac:dyDescent="0.35">
      <c r="A611" t="s">
        <v>34</v>
      </c>
      <c r="B611" s="2">
        <v>77855.47</v>
      </c>
      <c r="C611" s="2">
        <v>63545.63</v>
      </c>
      <c r="D611" s="1">
        <v>43690</v>
      </c>
      <c r="E611" t="s">
        <v>62</v>
      </c>
      <c r="F611" t="s">
        <v>12</v>
      </c>
      <c r="G611" t="s">
        <v>36</v>
      </c>
      <c r="H611" t="s">
        <v>37</v>
      </c>
      <c r="I611" t="s">
        <v>28</v>
      </c>
      <c r="J611" t="s">
        <v>769</v>
      </c>
      <c r="K611" s="2">
        <f>Sales_Export_2019_2020__2[[#This Row],[order_value_GBP]]-Sales_Export_2019_2020__2[[#This Row],[ cost ]]</f>
        <v>14309.840000000004</v>
      </c>
      <c r="L611" t="b">
        <f>COUNTIF(Sales_Export_2019_2020__2[order_id],Sales_Export_2019_2020__2[[#This Row],[order_id]])&gt;1</f>
        <v>0</v>
      </c>
      <c r="M611" t="str">
        <f t="shared" si="10"/>
        <v>£75,000 - £79,999</v>
      </c>
      <c r="N611" t="str" cm="1">
        <f t="array" ref="N61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11">
        <f>FLOOR(Sales_Export_2019_2020__2[[#This Row],[order_value_GBP]],5000)</f>
        <v>75000</v>
      </c>
    </row>
    <row r="612" spans="1:15" x14ac:dyDescent="0.35">
      <c r="A612" t="s">
        <v>45</v>
      </c>
      <c r="B612" s="2">
        <v>176080.36</v>
      </c>
      <c r="C612" s="2">
        <v>153401.21</v>
      </c>
      <c r="D612" s="1">
        <v>43782</v>
      </c>
      <c r="E612" t="s">
        <v>30</v>
      </c>
      <c r="F612" t="s">
        <v>68</v>
      </c>
      <c r="G612" t="s">
        <v>48</v>
      </c>
      <c r="H612" t="s">
        <v>74</v>
      </c>
      <c r="I612" t="s">
        <v>28</v>
      </c>
      <c r="J612" t="s">
        <v>770</v>
      </c>
      <c r="K612" s="2">
        <f>Sales_Export_2019_2020__2[[#This Row],[order_value_GBP]]-Sales_Export_2019_2020__2[[#This Row],[ cost ]]</f>
        <v>22679.149999999994</v>
      </c>
      <c r="L612" t="b">
        <f>COUNTIF(Sales_Export_2019_2020__2[order_id],Sales_Export_2019_2020__2[[#This Row],[order_id]])&gt;1</f>
        <v>0</v>
      </c>
      <c r="M612" t="str">
        <f t="shared" si="10"/>
        <v>£175,000 - £179,999</v>
      </c>
      <c r="N612" t="str" cm="1">
        <f t="array" ref="N61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612">
        <f>FLOOR(Sales_Export_2019_2020__2[[#This Row],[order_value_GBP]],5000)</f>
        <v>175000</v>
      </c>
    </row>
    <row r="613" spans="1:15" x14ac:dyDescent="0.35">
      <c r="A613" t="s">
        <v>23</v>
      </c>
      <c r="B613" s="2">
        <v>159514.03</v>
      </c>
      <c r="C613" s="2">
        <v>138872.91</v>
      </c>
      <c r="D613" s="1">
        <v>44097</v>
      </c>
      <c r="E613" t="s">
        <v>24</v>
      </c>
      <c r="F613" t="s">
        <v>31</v>
      </c>
      <c r="G613" t="s">
        <v>26</v>
      </c>
      <c r="H613" t="s">
        <v>32</v>
      </c>
      <c r="I613" t="s">
        <v>28</v>
      </c>
      <c r="J613" t="s">
        <v>771</v>
      </c>
      <c r="K613" s="2">
        <f>Sales_Export_2019_2020__2[[#This Row],[order_value_GBP]]-Sales_Export_2019_2020__2[[#This Row],[ cost ]]</f>
        <v>20641.119999999995</v>
      </c>
      <c r="L613" t="b">
        <f>COUNTIF(Sales_Export_2019_2020__2[order_id],Sales_Export_2019_2020__2[[#This Row],[order_id]])&gt;1</f>
        <v>0</v>
      </c>
      <c r="M613" t="str">
        <f t="shared" si="10"/>
        <v>£155,000 - £159,999</v>
      </c>
      <c r="N613" t="str" cm="1">
        <f t="array" ref="N61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13">
        <f>FLOOR(Sales_Export_2019_2020__2[[#This Row],[order_value_GBP]],5000)</f>
        <v>155000</v>
      </c>
    </row>
    <row r="614" spans="1:15" x14ac:dyDescent="0.35">
      <c r="A614" t="s">
        <v>53</v>
      </c>
      <c r="B614" s="2">
        <v>238850.25</v>
      </c>
      <c r="C614" s="2">
        <v>199607.15</v>
      </c>
      <c r="D614" s="1">
        <v>43646</v>
      </c>
      <c r="E614" t="s">
        <v>51</v>
      </c>
      <c r="F614" t="s">
        <v>71</v>
      </c>
      <c r="G614" t="s">
        <v>55</v>
      </c>
      <c r="H614" t="s">
        <v>133</v>
      </c>
      <c r="I614" t="s">
        <v>28</v>
      </c>
      <c r="J614" t="s">
        <v>772</v>
      </c>
      <c r="K614" s="2">
        <f>Sales_Export_2019_2020__2[[#This Row],[order_value_GBP]]-Sales_Export_2019_2020__2[[#This Row],[ cost ]]</f>
        <v>39243.100000000006</v>
      </c>
      <c r="L614" t="b">
        <f>COUNTIF(Sales_Export_2019_2020__2[order_id],Sales_Export_2019_2020__2[[#This Row],[order_id]])&gt;1</f>
        <v>0</v>
      </c>
      <c r="M614" t="str">
        <f t="shared" si="10"/>
        <v>£235,000 - £239,999</v>
      </c>
      <c r="N614" t="str" cm="1">
        <f t="array" ref="N61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614">
        <f>FLOOR(Sales_Export_2019_2020__2[[#This Row],[order_value_GBP]],5000)</f>
        <v>235000</v>
      </c>
    </row>
    <row r="615" spans="1:15" x14ac:dyDescent="0.35">
      <c r="A615" t="s">
        <v>10</v>
      </c>
      <c r="B615" s="2">
        <v>240940.97</v>
      </c>
      <c r="C615" s="2">
        <v>195138.09</v>
      </c>
      <c r="D615" s="1">
        <v>43826</v>
      </c>
      <c r="E615" t="s">
        <v>46</v>
      </c>
      <c r="F615" t="s">
        <v>153</v>
      </c>
      <c r="G615" t="s">
        <v>13</v>
      </c>
      <c r="H615" t="s">
        <v>170</v>
      </c>
      <c r="I615" t="s">
        <v>28</v>
      </c>
      <c r="J615" t="s">
        <v>773</v>
      </c>
      <c r="K615" s="2">
        <f>Sales_Export_2019_2020__2[[#This Row],[order_value_GBP]]-Sales_Export_2019_2020__2[[#This Row],[ cost ]]</f>
        <v>45802.880000000005</v>
      </c>
      <c r="L615" t="b">
        <f>COUNTIF(Sales_Export_2019_2020__2[order_id],Sales_Export_2019_2020__2[[#This Row],[order_id]])&gt;1</f>
        <v>0</v>
      </c>
      <c r="M615" t="str">
        <f t="shared" si="10"/>
        <v>£240,000 - £244,999</v>
      </c>
      <c r="N615" t="str" cm="1">
        <f t="array" ref="N61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615">
        <f>FLOOR(Sales_Export_2019_2020__2[[#This Row],[order_value_GBP]],5000)</f>
        <v>240000</v>
      </c>
    </row>
    <row r="616" spans="1:15" x14ac:dyDescent="0.35">
      <c r="A616" t="s">
        <v>346</v>
      </c>
      <c r="B616" s="2">
        <v>43609.57</v>
      </c>
      <c r="C616" s="2">
        <v>34634.720000000001</v>
      </c>
      <c r="D616" s="1">
        <v>43891</v>
      </c>
      <c r="E616" t="s">
        <v>51</v>
      </c>
      <c r="F616" t="s">
        <v>155</v>
      </c>
      <c r="G616" t="s">
        <v>347</v>
      </c>
      <c r="H616" t="s">
        <v>701</v>
      </c>
      <c r="I616" t="s">
        <v>28</v>
      </c>
      <c r="J616" t="s">
        <v>954</v>
      </c>
      <c r="K616" s="2">
        <f>Sales_Export_2019_2020__2[[#This Row],[order_value_GBP]]-Sales_Export_2019_2020__2[[#This Row],[ cost ]]</f>
        <v>8974.8499999999985</v>
      </c>
      <c r="L616" t="b">
        <f>COUNTIF(Sales_Export_2019_2020__2[order_id],Sales_Export_2019_2020__2[[#This Row],[order_id]])&gt;1</f>
        <v>0</v>
      </c>
      <c r="M616" t="str">
        <f t="shared" si="10"/>
        <v>£40,000 - £44,999</v>
      </c>
      <c r="N616" t="str" cm="1">
        <f t="array" ref="N61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16">
        <f>FLOOR(Sales_Export_2019_2020__2[[#This Row],[order_value_GBP]],5000)</f>
        <v>40000</v>
      </c>
    </row>
    <row r="617" spans="1:15" x14ac:dyDescent="0.35">
      <c r="A617" t="s">
        <v>215</v>
      </c>
      <c r="B617" s="2">
        <v>86704.08</v>
      </c>
      <c r="C617" s="2">
        <v>75380.53</v>
      </c>
      <c r="D617" s="1">
        <v>44109</v>
      </c>
      <c r="E617" t="s">
        <v>11</v>
      </c>
      <c r="F617" t="s">
        <v>68</v>
      </c>
      <c r="G617" t="s">
        <v>216</v>
      </c>
      <c r="H617" t="s">
        <v>217</v>
      </c>
      <c r="I617" t="s">
        <v>28</v>
      </c>
      <c r="J617" t="s">
        <v>775</v>
      </c>
      <c r="K617" s="2">
        <f>Sales_Export_2019_2020__2[[#This Row],[order_value_GBP]]-Sales_Export_2019_2020__2[[#This Row],[ cost ]]</f>
        <v>11323.550000000003</v>
      </c>
      <c r="L617" t="b">
        <f>COUNTIF(Sales_Export_2019_2020__2[order_id],Sales_Export_2019_2020__2[[#This Row],[order_id]])&gt;1</f>
        <v>0</v>
      </c>
      <c r="M617" t="str">
        <f t="shared" si="10"/>
        <v>£85,000 - £89,999</v>
      </c>
      <c r="N617" t="str" cm="1">
        <f t="array" ref="N61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17">
        <f>FLOOR(Sales_Export_2019_2020__2[[#This Row],[order_value_GBP]],5000)</f>
        <v>85000</v>
      </c>
    </row>
    <row r="618" spans="1:15" x14ac:dyDescent="0.35">
      <c r="A618" t="s">
        <v>173</v>
      </c>
      <c r="B618" s="2">
        <v>292124.64</v>
      </c>
      <c r="C618" s="2">
        <v>245822.88</v>
      </c>
      <c r="D618" s="1">
        <v>43808</v>
      </c>
      <c r="E618" t="s">
        <v>30</v>
      </c>
      <c r="F618" t="s">
        <v>158</v>
      </c>
      <c r="G618" t="s">
        <v>175</v>
      </c>
      <c r="H618" t="s">
        <v>212</v>
      </c>
      <c r="I618" t="s">
        <v>28</v>
      </c>
      <c r="J618" t="s">
        <v>776</v>
      </c>
      <c r="K618" s="2">
        <f>Sales_Export_2019_2020__2[[#This Row],[order_value_GBP]]-Sales_Export_2019_2020__2[[#This Row],[ cost ]]</f>
        <v>46301.760000000009</v>
      </c>
      <c r="L618" t="b">
        <f>COUNTIF(Sales_Export_2019_2020__2[order_id],Sales_Export_2019_2020__2[[#This Row],[order_id]])&gt;1</f>
        <v>0</v>
      </c>
      <c r="M618" t="str">
        <f t="shared" si="10"/>
        <v>£290,000 - £294,999</v>
      </c>
      <c r="N618" t="str" cm="1">
        <f t="array" ref="N61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618">
        <f>FLOOR(Sales_Export_2019_2020__2[[#This Row],[order_value_GBP]],5000)</f>
        <v>290000</v>
      </c>
    </row>
    <row r="619" spans="1:15" x14ac:dyDescent="0.35">
      <c r="A619" t="s">
        <v>101</v>
      </c>
      <c r="B619" s="2">
        <v>122998.65</v>
      </c>
      <c r="C619" s="2">
        <v>97476.43</v>
      </c>
      <c r="D619" s="1">
        <v>43858</v>
      </c>
      <c r="E619" t="s">
        <v>18</v>
      </c>
      <c r="F619" t="s">
        <v>97</v>
      </c>
      <c r="G619" t="s">
        <v>103</v>
      </c>
      <c r="H619" t="s">
        <v>162</v>
      </c>
      <c r="I619" t="s">
        <v>28</v>
      </c>
      <c r="J619" t="s">
        <v>777</v>
      </c>
      <c r="K619" s="2">
        <f>Sales_Export_2019_2020__2[[#This Row],[order_value_GBP]]-Sales_Export_2019_2020__2[[#This Row],[ cost ]]</f>
        <v>25522.22</v>
      </c>
      <c r="L619" t="b">
        <f>COUNTIF(Sales_Export_2019_2020__2[order_id],Sales_Export_2019_2020__2[[#This Row],[order_id]])&gt;1</f>
        <v>0</v>
      </c>
      <c r="M619" t="str">
        <f t="shared" si="10"/>
        <v>£120,000 - £124,999</v>
      </c>
      <c r="N619" t="str" cm="1">
        <f t="array" ref="N61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19">
        <f>FLOOR(Sales_Export_2019_2020__2[[#This Row],[order_value_GBP]],5000)</f>
        <v>120000</v>
      </c>
    </row>
    <row r="620" spans="1:15" x14ac:dyDescent="0.35">
      <c r="A620" t="s">
        <v>10</v>
      </c>
      <c r="B620" s="2">
        <v>50646.66</v>
      </c>
      <c r="C620" s="2">
        <v>43039.53</v>
      </c>
      <c r="D620" s="1">
        <v>43922</v>
      </c>
      <c r="E620" t="s">
        <v>24</v>
      </c>
      <c r="F620" t="s">
        <v>35</v>
      </c>
      <c r="G620" t="s">
        <v>13</v>
      </c>
      <c r="H620" t="s">
        <v>14</v>
      </c>
      <c r="I620" t="s">
        <v>28</v>
      </c>
      <c r="J620" t="s">
        <v>778</v>
      </c>
      <c r="K620" s="2">
        <f>Sales_Export_2019_2020__2[[#This Row],[order_value_GBP]]-Sales_Export_2019_2020__2[[#This Row],[ cost ]]</f>
        <v>7607.1300000000047</v>
      </c>
      <c r="L620" t="b">
        <f>COUNTIF(Sales_Export_2019_2020__2[order_id],Sales_Export_2019_2020__2[[#This Row],[order_id]])&gt;1</f>
        <v>0</v>
      </c>
      <c r="M620" t="str">
        <f t="shared" si="10"/>
        <v>£50,000 - £54,999</v>
      </c>
      <c r="N620" t="str" cm="1">
        <f t="array" ref="N62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20">
        <f>FLOOR(Sales_Export_2019_2020__2[[#This Row],[order_value_GBP]],5000)</f>
        <v>50000</v>
      </c>
    </row>
    <row r="621" spans="1:15" x14ac:dyDescent="0.35">
      <c r="A621" t="s">
        <v>10</v>
      </c>
      <c r="B621" s="2">
        <v>89639.28</v>
      </c>
      <c r="C621" s="2">
        <v>77788.97</v>
      </c>
      <c r="D621" s="1">
        <v>43490</v>
      </c>
      <c r="E621" t="s">
        <v>24</v>
      </c>
      <c r="F621" t="s">
        <v>160</v>
      </c>
      <c r="G621" t="s">
        <v>13</v>
      </c>
      <c r="H621" t="s">
        <v>14</v>
      </c>
      <c r="I621" t="s">
        <v>28</v>
      </c>
      <c r="J621" t="s">
        <v>779</v>
      </c>
      <c r="K621" s="2">
        <f>Sales_Export_2019_2020__2[[#This Row],[order_value_GBP]]-Sales_Export_2019_2020__2[[#This Row],[ cost ]]</f>
        <v>11850.309999999998</v>
      </c>
      <c r="L621" t="b">
        <f>COUNTIF(Sales_Export_2019_2020__2[order_id],Sales_Export_2019_2020__2[[#This Row],[order_id]])&gt;1</f>
        <v>0</v>
      </c>
      <c r="M621" t="str">
        <f t="shared" si="10"/>
        <v>£85,000 - £89,999</v>
      </c>
      <c r="N621" t="str" cm="1">
        <f t="array" ref="N62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21">
        <f>FLOOR(Sales_Export_2019_2020__2[[#This Row],[order_value_GBP]],5000)</f>
        <v>85000</v>
      </c>
    </row>
    <row r="622" spans="1:15" x14ac:dyDescent="0.35">
      <c r="A622" t="s">
        <v>34</v>
      </c>
      <c r="B622" s="2">
        <v>107359.01</v>
      </c>
      <c r="C622" s="2">
        <v>90868.67</v>
      </c>
      <c r="D622" s="1">
        <v>43767</v>
      </c>
      <c r="E622" t="s">
        <v>80</v>
      </c>
      <c r="F622" t="s">
        <v>112</v>
      </c>
      <c r="G622" t="s">
        <v>36</v>
      </c>
      <c r="H622" t="s">
        <v>41</v>
      </c>
      <c r="I622" t="s">
        <v>28</v>
      </c>
      <c r="J622" t="s">
        <v>780</v>
      </c>
      <c r="K622" s="2">
        <f>Sales_Export_2019_2020__2[[#This Row],[order_value_GBP]]-Sales_Export_2019_2020__2[[#This Row],[ cost ]]</f>
        <v>16490.339999999997</v>
      </c>
      <c r="L622" t="b">
        <f>COUNTIF(Sales_Export_2019_2020__2[order_id],Sales_Export_2019_2020__2[[#This Row],[order_id]])&gt;1</f>
        <v>0</v>
      </c>
      <c r="M622" t="str">
        <f t="shared" si="10"/>
        <v>£105,000 - £109,999</v>
      </c>
      <c r="N622" t="str" cm="1">
        <f t="array" ref="N62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22">
        <f>FLOOR(Sales_Export_2019_2020__2[[#This Row],[order_value_GBP]],5000)</f>
        <v>105000</v>
      </c>
    </row>
    <row r="623" spans="1:15" x14ac:dyDescent="0.35">
      <c r="A623" t="s">
        <v>106</v>
      </c>
      <c r="B623" s="2">
        <v>148359.67999999999</v>
      </c>
      <c r="C623" s="2">
        <v>118480.04</v>
      </c>
      <c r="D623" s="1">
        <v>44035</v>
      </c>
      <c r="E623" t="s">
        <v>18</v>
      </c>
      <c r="F623" t="s">
        <v>210</v>
      </c>
      <c r="G623" t="s">
        <v>107</v>
      </c>
      <c r="H623" t="s">
        <v>108</v>
      </c>
      <c r="I623" t="s">
        <v>28</v>
      </c>
      <c r="J623" t="s">
        <v>781</v>
      </c>
      <c r="K623" s="2">
        <f>Sales_Export_2019_2020__2[[#This Row],[order_value_GBP]]-Sales_Export_2019_2020__2[[#This Row],[ cost ]]</f>
        <v>29879.64</v>
      </c>
      <c r="L623" t="b">
        <f>COUNTIF(Sales_Export_2019_2020__2[order_id],Sales_Export_2019_2020__2[[#This Row],[order_id]])&gt;1</f>
        <v>0</v>
      </c>
      <c r="M623" t="str">
        <f t="shared" si="10"/>
        <v>£145,000 - £149,999</v>
      </c>
      <c r="N623" t="str" cm="1">
        <f t="array" ref="N62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23">
        <f>FLOOR(Sales_Export_2019_2020__2[[#This Row],[order_value_GBP]],5000)</f>
        <v>145000</v>
      </c>
    </row>
    <row r="624" spans="1:15" x14ac:dyDescent="0.35">
      <c r="A624" t="s">
        <v>17</v>
      </c>
      <c r="B624" s="2">
        <v>177464.83</v>
      </c>
      <c r="C624" s="2">
        <v>142717.22</v>
      </c>
      <c r="D624" s="1">
        <v>43855</v>
      </c>
      <c r="E624" t="s">
        <v>62</v>
      </c>
      <c r="F624" t="s">
        <v>54</v>
      </c>
      <c r="G624" t="s">
        <v>20</v>
      </c>
      <c r="H624" t="s">
        <v>353</v>
      </c>
      <c r="I624" t="s">
        <v>28</v>
      </c>
      <c r="J624" t="s">
        <v>782</v>
      </c>
      <c r="K624" s="2">
        <f>Sales_Export_2019_2020__2[[#This Row],[order_value_GBP]]-Sales_Export_2019_2020__2[[#This Row],[ cost ]]</f>
        <v>34747.609999999986</v>
      </c>
      <c r="L624" t="b">
        <f>COUNTIF(Sales_Export_2019_2020__2[order_id],Sales_Export_2019_2020__2[[#This Row],[order_id]])&gt;1</f>
        <v>0</v>
      </c>
      <c r="M624" t="str">
        <f t="shared" si="10"/>
        <v>£175,000 - £179,999</v>
      </c>
      <c r="N624" t="str" cm="1">
        <f t="array" ref="N62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624">
        <f>FLOOR(Sales_Export_2019_2020__2[[#This Row],[order_value_GBP]],5000)</f>
        <v>175000</v>
      </c>
    </row>
    <row r="625" spans="1:15" x14ac:dyDescent="0.35">
      <c r="A625" t="s">
        <v>23</v>
      </c>
      <c r="B625" s="2">
        <v>168757.23</v>
      </c>
      <c r="C625" s="2">
        <v>136895.85999999999</v>
      </c>
      <c r="D625" s="1">
        <v>44067</v>
      </c>
      <c r="E625" t="s">
        <v>51</v>
      </c>
      <c r="F625" t="s">
        <v>123</v>
      </c>
      <c r="G625" t="s">
        <v>26</v>
      </c>
      <c r="H625" t="s">
        <v>32</v>
      </c>
      <c r="I625" t="s">
        <v>28</v>
      </c>
      <c r="J625" t="s">
        <v>783</v>
      </c>
      <c r="K625" s="2">
        <f>Sales_Export_2019_2020__2[[#This Row],[order_value_GBP]]-Sales_Export_2019_2020__2[[#This Row],[ cost ]]</f>
        <v>31861.370000000024</v>
      </c>
      <c r="L625" t="b">
        <f>COUNTIF(Sales_Export_2019_2020__2[order_id],Sales_Export_2019_2020__2[[#This Row],[order_id]])&gt;1</f>
        <v>0</v>
      </c>
      <c r="M625" t="str">
        <f t="shared" si="10"/>
        <v>£165,000 - £169,999</v>
      </c>
      <c r="N625" t="str" cm="1">
        <f t="array" ref="N62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25">
        <f>FLOOR(Sales_Export_2019_2020__2[[#This Row],[order_value_GBP]],5000)</f>
        <v>165000</v>
      </c>
    </row>
    <row r="626" spans="1:15" x14ac:dyDescent="0.35">
      <c r="A626" t="s">
        <v>53</v>
      </c>
      <c r="B626" s="2">
        <v>19814.86</v>
      </c>
      <c r="C626" s="2">
        <v>16787.150000000001</v>
      </c>
      <c r="D626" s="1">
        <v>43910</v>
      </c>
      <c r="E626" t="s">
        <v>51</v>
      </c>
      <c r="F626" t="s">
        <v>102</v>
      </c>
      <c r="G626" t="s">
        <v>55</v>
      </c>
      <c r="H626" t="s">
        <v>144</v>
      </c>
      <c r="I626" t="s">
        <v>28</v>
      </c>
      <c r="J626" t="s">
        <v>784</v>
      </c>
      <c r="K626" s="2">
        <f>Sales_Export_2019_2020__2[[#This Row],[order_value_GBP]]-Sales_Export_2019_2020__2[[#This Row],[ cost ]]</f>
        <v>3027.7099999999991</v>
      </c>
      <c r="L626" t="b">
        <f>COUNTIF(Sales_Export_2019_2020__2[order_id],Sales_Export_2019_2020__2[[#This Row],[order_id]])&gt;1</f>
        <v>0</v>
      </c>
      <c r="M626" t="str">
        <f t="shared" si="10"/>
        <v>£15,000 - £19,999</v>
      </c>
      <c r="N626" t="str" cm="1">
        <f t="array" ref="N62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26">
        <f>FLOOR(Sales_Export_2019_2020__2[[#This Row],[order_value_GBP]],5000)</f>
        <v>15000</v>
      </c>
    </row>
    <row r="627" spans="1:15" x14ac:dyDescent="0.35">
      <c r="A627" t="s">
        <v>96</v>
      </c>
      <c r="B627" s="2">
        <v>46311.34</v>
      </c>
      <c r="C627" s="2">
        <v>40564.1</v>
      </c>
      <c r="D627" s="1">
        <v>43891</v>
      </c>
      <c r="E627" t="s">
        <v>46</v>
      </c>
      <c r="F627" t="s">
        <v>734</v>
      </c>
      <c r="G627" t="s">
        <v>98</v>
      </c>
      <c r="H627" t="s">
        <v>99</v>
      </c>
      <c r="I627" t="s">
        <v>28</v>
      </c>
      <c r="J627" t="s">
        <v>785</v>
      </c>
      <c r="K627" s="2">
        <f>Sales_Export_2019_2020__2[[#This Row],[order_value_GBP]]-Sales_Export_2019_2020__2[[#This Row],[ cost ]]</f>
        <v>5747.239999999998</v>
      </c>
      <c r="L627" t="b">
        <f>COUNTIF(Sales_Export_2019_2020__2[order_id],Sales_Export_2019_2020__2[[#This Row],[order_id]])&gt;1</f>
        <v>0</v>
      </c>
      <c r="M627" t="str">
        <f t="shared" si="10"/>
        <v>£45,000 - £49,999</v>
      </c>
      <c r="N627" t="str" cm="1">
        <f t="array" ref="N62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27">
        <f>FLOOR(Sales_Export_2019_2020__2[[#This Row],[order_value_GBP]],5000)</f>
        <v>45000</v>
      </c>
    </row>
    <row r="628" spans="1:15" x14ac:dyDescent="0.35">
      <c r="A628" t="s">
        <v>53</v>
      </c>
      <c r="B628" s="2">
        <v>144927.17000000001</v>
      </c>
      <c r="C628" s="2">
        <v>122260.56</v>
      </c>
      <c r="D628" s="1">
        <v>44081</v>
      </c>
      <c r="E628" t="s">
        <v>51</v>
      </c>
      <c r="F628" t="s">
        <v>89</v>
      </c>
      <c r="G628" t="s">
        <v>55</v>
      </c>
      <c r="H628" t="s">
        <v>128</v>
      </c>
      <c r="I628" t="s">
        <v>28</v>
      </c>
      <c r="J628" t="s">
        <v>786</v>
      </c>
      <c r="K628" s="2">
        <f>Sales_Export_2019_2020__2[[#This Row],[order_value_GBP]]-Sales_Export_2019_2020__2[[#This Row],[ cost ]]</f>
        <v>22666.610000000015</v>
      </c>
      <c r="L628" t="b">
        <f>COUNTIF(Sales_Export_2019_2020__2[order_id],Sales_Export_2019_2020__2[[#This Row],[order_id]])&gt;1</f>
        <v>0</v>
      </c>
      <c r="M628" t="str">
        <f t="shared" si="10"/>
        <v>£140,000 - £144,999</v>
      </c>
      <c r="N628" t="str" cm="1">
        <f t="array" ref="N62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28">
        <f>FLOOR(Sales_Export_2019_2020__2[[#This Row],[order_value_GBP]],5000)</f>
        <v>140000</v>
      </c>
    </row>
    <row r="629" spans="1:15" x14ac:dyDescent="0.35">
      <c r="A629" t="s">
        <v>84</v>
      </c>
      <c r="B629" s="2">
        <v>203231.73</v>
      </c>
      <c r="C629" s="2">
        <v>163052.82</v>
      </c>
      <c r="D629" s="1">
        <v>43822</v>
      </c>
      <c r="E629" t="s">
        <v>11</v>
      </c>
      <c r="F629" t="s">
        <v>707</v>
      </c>
      <c r="G629" t="s">
        <v>85</v>
      </c>
      <c r="H629" t="s">
        <v>86</v>
      </c>
      <c r="I629" t="s">
        <v>28</v>
      </c>
      <c r="J629" t="s">
        <v>787</v>
      </c>
      <c r="K629" s="2">
        <f>Sales_Export_2019_2020__2[[#This Row],[order_value_GBP]]-Sales_Export_2019_2020__2[[#This Row],[ cost ]]</f>
        <v>40178.910000000003</v>
      </c>
      <c r="L629" t="b">
        <f>COUNTIF(Sales_Export_2019_2020__2[order_id],Sales_Export_2019_2020__2[[#This Row],[order_id]])&gt;1</f>
        <v>0</v>
      </c>
      <c r="M629" t="str">
        <f t="shared" si="10"/>
        <v>£200,000 - £204,999</v>
      </c>
      <c r="N629" t="str" cm="1">
        <f t="array" ref="N62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629">
        <f>FLOOR(Sales_Export_2019_2020__2[[#This Row],[order_value_GBP]],5000)</f>
        <v>200000</v>
      </c>
    </row>
    <row r="630" spans="1:15" x14ac:dyDescent="0.35">
      <c r="A630" t="s">
        <v>23</v>
      </c>
      <c r="B630" s="2">
        <v>40467.85</v>
      </c>
      <c r="C630" s="2">
        <v>34656.67</v>
      </c>
      <c r="D630" s="1">
        <v>43889</v>
      </c>
      <c r="E630" t="s">
        <v>60</v>
      </c>
      <c r="F630" t="s">
        <v>58</v>
      </c>
      <c r="G630" t="s">
        <v>26</v>
      </c>
      <c r="H630" t="s">
        <v>76</v>
      </c>
      <c r="I630" t="s">
        <v>38</v>
      </c>
      <c r="J630" t="s">
        <v>788</v>
      </c>
      <c r="K630" s="2">
        <f>Sales_Export_2019_2020__2[[#This Row],[order_value_GBP]]-Sales_Export_2019_2020__2[[#This Row],[ cost ]]</f>
        <v>5811.18</v>
      </c>
      <c r="L630" t="b">
        <f>COUNTIF(Sales_Export_2019_2020__2[order_id],Sales_Export_2019_2020__2[[#This Row],[order_id]])&gt;1</f>
        <v>0</v>
      </c>
      <c r="M630" t="str">
        <f t="shared" si="10"/>
        <v>£40,000 - £44,999</v>
      </c>
      <c r="N630" t="str" cm="1">
        <f t="array" ref="N63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30">
        <f>FLOOR(Sales_Export_2019_2020__2[[#This Row],[order_value_GBP]],5000)</f>
        <v>40000</v>
      </c>
    </row>
    <row r="631" spans="1:15" x14ac:dyDescent="0.35">
      <c r="A631" t="s">
        <v>10</v>
      </c>
      <c r="B631" s="2">
        <v>85156.7</v>
      </c>
      <c r="C631" s="2">
        <v>69479.350000000006</v>
      </c>
      <c r="D631" s="1">
        <v>43970</v>
      </c>
      <c r="E631" t="s">
        <v>30</v>
      </c>
      <c r="F631" t="s">
        <v>203</v>
      </c>
      <c r="G631" t="s">
        <v>13</v>
      </c>
      <c r="H631" t="s">
        <v>118</v>
      </c>
      <c r="I631" t="s">
        <v>28</v>
      </c>
      <c r="J631" t="s">
        <v>789</v>
      </c>
      <c r="K631" s="2">
        <f>Sales_Export_2019_2020__2[[#This Row],[order_value_GBP]]-Sales_Export_2019_2020__2[[#This Row],[ cost ]]</f>
        <v>15677.349999999991</v>
      </c>
      <c r="L631" t="b">
        <f>COUNTIF(Sales_Export_2019_2020__2[order_id],Sales_Export_2019_2020__2[[#This Row],[order_id]])&gt;1</f>
        <v>0</v>
      </c>
      <c r="M631" t="str">
        <f t="shared" si="10"/>
        <v>£85,000 - £89,999</v>
      </c>
      <c r="N631" t="str" cm="1">
        <f t="array" ref="N63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31">
        <f>FLOOR(Sales_Export_2019_2020__2[[#This Row],[order_value_GBP]],5000)</f>
        <v>85000</v>
      </c>
    </row>
    <row r="632" spans="1:15" x14ac:dyDescent="0.35">
      <c r="A632" t="s">
        <v>23</v>
      </c>
      <c r="B632" s="2">
        <v>66146.570000000007</v>
      </c>
      <c r="C632" s="2">
        <v>56145.21</v>
      </c>
      <c r="D632" s="1">
        <v>43928</v>
      </c>
      <c r="E632" t="s">
        <v>80</v>
      </c>
      <c r="F632" t="s">
        <v>31</v>
      </c>
      <c r="G632" t="s">
        <v>26</v>
      </c>
      <c r="H632" t="s">
        <v>219</v>
      </c>
      <c r="I632" t="s">
        <v>28</v>
      </c>
      <c r="J632" t="s">
        <v>790</v>
      </c>
      <c r="K632" s="2">
        <f>Sales_Export_2019_2020__2[[#This Row],[order_value_GBP]]-Sales_Export_2019_2020__2[[#This Row],[ cost ]]</f>
        <v>10001.360000000008</v>
      </c>
      <c r="L632" t="b">
        <f>COUNTIF(Sales_Export_2019_2020__2[order_id],Sales_Export_2019_2020__2[[#This Row],[order_id]])&gt;1</f>
        <v>0</v>
      </c>
      <c r="M632" t="str">
        <f t="shared" si="10"/>
        <v>£65,000 - £69,999</v>
      </c>
      <c r="N632" t="str" cm="1">
        <f t="array" ref="N63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32">
        <f>FLOOR(Sales_Export_2019_2020__2[[#This Row],[order_value_GBP]],5000)</f>
        <v>65000</v>
      </c>
    </row>
    <row r="633" spans="1:15" x14ac:dyDescent="0.35">
      <c r="A633" t="s">
        <v>101</v>
      </c>
      <c r="B633" s="2">
        <v>230669.37</v>
      </c>
      <c r="C633" s="2">
        <v>182321.07</v>
      </c>
      <c r="D633" s="1">
        <v>43621</v>
      </c>
      <c r="E633" t="s">
        <v>11</v>
      </c>
      <c r="F633" t="s">
        <v>160</v>
      </c>
      <c r="G633" t="s">
        <v>103</v>
      </c>
      <c r="H633" t="s">
        <v>162</v>
      </c>
      <c r="I633" t="s">
        <v>28</v>
      </c>
      <c r="J633" t="s">
        <v>791</v>
      </c>
      <c r="K633" s="2">
        <f>Sales_Export_2019_2020__2[[#This Row],[order_value_GBP]]-Sales_Export_2019_2020__2[[#This Row],[ cost ]]</f>
        <v>48348.299999999988</v>
      </c>
      <c r="L633" t="b">
        <f>COUNTIF(Sales_Export_2019_2020__2[order_id],Sales_Export_2019_2020__2[[#This Row],[order_id]])&gt;1</f>
        <v>0</v>
      </c>
      <c r="M633" t="str">
        <f t="shared" si="10"/>
        <v>£230,000 - £234,999</v>
      </c>
      <c r="N633" t="str" cm="1">
        <f t="array" ref="N63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633">
        <f>FLOOR(Sales_Export_2019_2020__2[[#This Row],[order_value_GBP]],5000)</f>
        <v>230000</v>
      </c>
    </row>
    <row r="634" spans="1:15" x14ac:dyDescent="0.35">
      <c r="A634" t="s">
        <v>45</v>
      </c>
      <c r="B634" s="2">
        <v>59043.39</v>
      </c>
      <c r="C634" s="2">
        <v>48876.12</v>
      </c>
      <c r="D634" s="1">
        <v>44131</v>
      </c>
      <c r="E634" t="s">
        <v>60</v>
      </c>
      <c r="F634" t="s">
        <v>102</v>
      </c>
      <c r="G634" t="s">
        <v>48</v>
      </c>
      <c r="H634" t="s">
        <v>66</v>
      </c>
      <c r="I634" t="s">
        <v>28</v>
      </c>
      <c r="J634" t="s">
        <v>792</v>
      </c>
      <c r="K634" s="2">
        <f>Sales_Export_2019_2020__2[[#This Row],[order_value_GBP]]-Sales_Export_2019_2020__2[[#This Row],[ cost ]]</f>
        <v>10167.269999999997</v>
      </c>
      <c r="L634" t="b">
        <f>COUNTIF(Sales_Export_2019_2020__2[order_id],Sales_Export_2019_2020__2[[#This Row],[order_id]])&gt;1</f>
        <v>0</v>
      </c>
      <c r="M634" t="str">
        <f t="shared" si="10"/>
        <v>£55,000 - £59,999</v>
      </c>
      <c r="N634" t="str" cm="1">
        <f t="array" ref="N63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34">
        <f>FLOOR(Sales_Export_2019_2020__2[[#This Row],[order_value_GBP]],5000)</f>
        <v>55000</v>
      </c>
    </row>
    <row r="635" spans="1:15" x14ac:dyDescent="0.35">
      <c r="A635" t="s">
        <v>173</v>
      </c>
      <c r="B635" s="2">
        <v>99887.86</v>
      </c>
      <c r="C635" s="2">
        <v>84045.65</v>
      </c>
      <c r="D635" s="1">
        <v>43900</v>
      </c>
      <c r="E635" t="s">
        <v>80</v>
      </c>
      <c r="F635" t="s">
        <v>114</v>
      </c>
      <c r="G635" t="s">
        <v>175</v>
      </c>
      <c r="H635" t="s">
        <v>176</v>
      </c>
      <c r="I635" t="s">
        <v>28</v>
      </c>
      <c r="J635" t="s">
        <v>793</v>
      </c>
      <c r="K635" s="2">
        <f>Sales_Export_2019_2020__2[[#This Row],[order_value_GBP]]-Sales_Export_2019_2020__2[[#This Row],[ cost ]]</f>
        <v>15842.210000000006</v>
      </c>
      <c r="L635" t="b">
        <f>COUNTIF(Sales_Export_2019_2020__2[order_id],Sales_Export_2019_2020__2[[#This Row],[order_id]])&gt;1</f>
        <v>0</v>
      </c>
      <c r="M635" t="str">
        <f t="shared" si="10"/>
        <v>£95,000 - £99,999</v>
      </c>
      <c r="N635" t="str" cm="1">
        <f t="array" ref="N63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35">
        <f>FLOOR(Sales_Export_2019_2020__2[[#This Row],[order_value_GBP]],5000)</f>
        <v>95000</v>
      </c>
    </row>
    <row r="636" spans="1:15" x14ac:dyDescent="0.35">
      <c r="A636" t="s">
        <v>84</v>
      </c>
      <c r="B636" s="2">
        <v>214983.15</v>
      </c>
      <c r="C636" s="2">
        <v>180413.86</v>
      </c>
      <c r="D636" s="1">
        <v>43627</v>
      </c>
      <c r="E636" t="s">
        <v>30</v>
      </c>
      <c r="F636" t="s">
        <v>224</v>
      </c>
      <c r="G636" t="s">
        <v>85</v>
      </c>
      <c r="H636" t="s">
        <v>86</v>
      </c>
      <c r="I636" t="s">
        <v>38</v>
      </c>
      <c r="J636" t="s">
        <v>794</v>
      </c>
      <c r="K636" s="2">
        <f>Sales_Export_2019_2020__2[[#This Row],[order_value_GBP]]-Sales_Export_2019_2020__2[[#This Row],[ cost ]]</f>
        <v>34569.290000000008</v>
      </c>
      <c r="L636" t="b">
        <f>COUNTIF(Sales_Export_2019_2020__2[order_id],Sales_Export_2019_2020__2[[#This Row],[order_id]])&gt;1</f>
        <v>0</v>
      </c>
      <c r="M636" t="str">
        <f t="shared" si="10"/>
        <v>£210,000 - £214,999</v>
      </c>
      <c r="N636" t="str" cm="1">
        <f t="array" ref="N63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636">
        <f>FLOOR(Sales_Export_2019_2020__2[[#This Row],[order_value_GBP]],5000)</f>
        <v>210000</v>
      </c>
    </row>
    <row r="637" spans="1:15" x14ac:dyDescent="0.35">
      <c r="A637" t="s">
        <v>23</v>
      </c>
      <c r="B637" s="2">
        <v>52209.31</v>
      </c>
      <c r="C637" s="2">
        <v>41480.300000000003</v>
      </c>
      <c r="D637" s="1">
        <v>43550</v>
      </c>
      <c r="E637" t="s">
        <v>30</v>
      </c>
      <c r="F637" t="s">
        <v>224</v>
      </c>
      <c r="G637" t="s">
        <v>26</v>
      </c>
      <c r="H637" t="s">
        <v>76</v>
      </c>
      <c r="I637" t="s">
        <v>28</v>
      </c>
      <c r="J637" t="s">
        <v>795</v>
      </c>
      <c r="K637" s="2">
        <f>Sales_Export_2019_2020__2[[#This Row],[order_value_GBP]]-Sales_Export_2019_2020__2[[#This Row],[ cost ]]</f>
        <v>10729.009999999995</v>
      </c>
      <c r="L637" t="b">
        <f>COUNTIF(Sales_Export_2019_2020__2[order_id],Sales_Export_2019_2020__2[[#This Row],[order_id]])&gt;1</f>
        <v>0</v>
      </c>
      <c r="M637" t="str">
        <f t="shared" si="10"/>
        <v>£50,000 - £54,999</v>
      </c>
      <c r="N637" t="str" cm="1">
        <f t="array" ref="N63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37">
        <f>FLOOR(Sales_Export_2019_2020__2[[#This Row],[order_value_GBP]],5000)</f>
        <v>50000</v>
      </c>
    </row>
    <row r="638" spans="1:15" x14ac:dyDescent="0.35">
      <c r="A638" t="s">
        <v>10</v>
      </c>
      <c r="B638" s="2">
        <v>83782.11</v>
      </c>
      <c r="C638" s="2">
        <v>67310.55</v>
      </c>
      <c r="D638" s="1">
        <v>43506</v>
      </c>
      <c r="E638" t="s">
        <v>80</v>
      </c>
      <c r="F638" t="s">
        <v>158</v>
      </c>
      <c r="G638" t="s">
        <v>13</v>
      </c>
      <c r="H638" t="s">
        <v>14</v>
      </c>
      <c r="I638" t="s">
        <v>28</v>
      </c>
      <c r="J638" t="s">
        <v>796</v>
      </c>
      <c r="K638" s="2">
        <f>Sales_Export_2019_2020__2[[#This Row],[order_value_GBP]]-Sales_Export_2019_2020__2[[#This Row],[ cost ]]</f>
        <v>16471.559999999998</v>
      </c>
      <c r="L638" t="b">
        <f>COUNTIF(Sales_Export_2019_2020__2[order_id],Sales_Export_2019_2020__2[[#This Row],[order_id]])&gt;1</f>
        <v>0</v>
      </c>
      <c r="M638" t="str">
        <f t="shared" si="10"/>
        <v>£80,000 - £84,999</v>
      </c>
      <c r="N638" t="str" cm="1">
        <f t="array" ref="N63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38">
        <f>FLOOR(Sales_Export_2019_2020__2[[#This Row],[order_value_GBP]],5000)</f>
        <v>80000</v>
      </c>
    </row>
    <row r="639" spans="1:15" x14ac:dyDescent="0.35">
      <c r="A639" t="s">
        <v>23</v>
      </c>
      <c r="B639" s="2">
        <v>166367.16</v>
      </c>
      <c r="C639" s="2">
        <v>135788.88</v>
      </c>
      <c r="D639" s="1">
        <v>44137</v>
      </c>
      <c r="E639" t="s">
        <v>30</v>
      </c>
      <c r="F639" t="s">
        <v>64</v>
      </c>
      <c r="G639" t="s">
        <v>26</v>
      </c>
      <c r="H639" t="s">
        <v>27</v>
      </c>
      <c r="I639" t="s">
        <v>28</v>
      </c>
      <c r="J639" t="s">
        <v>797</v>
      </c>
      <c r="K639" s="2">
        <f>Sales_Export_2019_2020__2[[#This Row],[order_value_GBP]]-Sales_Export_2019_2020__2[[#This Row],[ cost ]]</f>
        <v>30578.28</v>
      </c>
      <c r="L639" t="b">
        <f>COUNTIF(Sales_Export_2019_2020__2[order_id],Sales_Export_2019_2020__2[[#This Row],[order_id]])&gt;1</f>
        <v>0</v>
      </c>
      <c r="M639" t="str">
        <f t="shared" si="10"/>
        <v>£165,000 - £169,999</v>
      </c>
      <c r="N639" t="str" cm="1">
        <f t="array" ref="N63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39">
        <f>FLOOR(Sales_Export_2019_2020__2[[#This Row],[order_value_GBP]],5000)</f>
        <v>165000</v>
      </c>
    </row>
    <row r="640" spans="1:15" x14ac:dyDescent="0.35">
      <c r="A640" t="s">
        <v>45</v>
      </c>
      <c r="B640" s="2">
        <v>167615.14000000001</v>
      </c>
      <c r="C640" s="2">
        <v>135567.12</v>
      </c>
      <c r="D640" s="1">
        <v>44195</v>
      </c>
      <c r="E640" t="s">
        <v>60</v>
      </c>
      <c r="F640" t="s">
        <v>35</v>
      </c>
      <c r="G640" t="s">
        <v>48</v>
      </c>
      <c r="H640" t="s">
        <v>49</v>
      </c>
      <c r="I640" t="s">
        <v>28</v>
      </c>
      <c r="J640" t="s">
        <v>798</v>
      </c>
      <c r="K640" s="2">
        <f>Sales_Export_2019_2020__2[[#This Row],[order_value_GBP]]-Sales_Export_2019_2020__2[[#This Row],[ cost ]]</f>
        <v>32048.020000000019</v>
      </c>
      <c r="L640" t="b">
        <f>COUNTIF(Sales_Export_2019_2020__2[order_id],Sales_Export_2019_2020__2[[#This Row],[order_id]])&gt;1</f>
        <v>0</v>
      </c>
      <c r="M640" t="str">
        <f t="shared" si="10"/>
        <v>£165,000 - £169,999</v>
      </c>
      <c r="N640" t="str" cm="1">
        <f t="array" ref="N64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40">
        <f>FLOOR(Sales_Export_2019_2020__2[[#This Row],[order_value_GBP]],5000)</f>
        <v>165000</v>
      </c>
    </row>
    <row r="641" spans="1:15" x14ac:dyDescent="0.35">
      <c r="A641" t="s">
        <v>10</v>
      </c>
      <c r="B641" s="2">
        <v>118030.7</v>
      </c>
      <c r="C641" s="2">
        <v>97304.51</v>
      </c>
      <c r="D641" s="1">
        <v>43712</v>
      </c>
      <c r="E641" t="s">
        <v>80</v>
      </c>
      <c r="F641" t="s">
        <v>210</v>
      </c>
      <c r="G641" t="s">
        <v>13</v>
      </c>
      <c r="H641" t="s">
        <v>14</v>
      </c>
      <c r="I641" t="s">
        <v>28</v>
      </c>
      <c r="J641" t="s">
        <v>799</v>
      </c>
      <c r="K641" s="2">
        <f>Sales_Export_2019_2020__2[[#This Row],[order_value_GBP]]-Sales_Export_2019_2020__2[[#This Row],[ cost ]]</f>
        <v>20726.190000000002</v>
      </c>
      <c r="L641" t="b">
        <f>COUNTIF(Sales_Export_2019_2020__2[order_id],Sales_Export_2019_2020__2[[#This Row],[order_id]])&gt;1</f>
        <v>0</v>
      </c>
      <c r="M641" t="str">
        <f t="shared" si="10"/>
        <v>£115,000 - £119,999</v>
      </c>
      <c r="N641" t="str" cm="1">
        <f t="array" ref="N64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41">
        <f>FLOOR(Sales_Export_2019_2020__2[[#This Row],[order_value_GBP]],5000)</f>
        <v>115000</v>
      </c>
    </row>
    <row r="642" spans="1:15" x14ac:dyDescent="0.35">
      <c r="A642" t="s">
        <v>84</v>
      </c>
      <c r="B642" s="2">
        <v>102073.04</v>
      </c>
      <c r="C642" s="2">
        <v>81770.710000000006</v>
      </c>
      <c r="D642" s="1">
        <v>43892</v>
      </c>
      <c r="E642" t="s">
        <v>62</v>
      </c>
      <c r="F642" t="s">
        <v>40</v>
      </c>
      <c r="G642" t="s">
        <v>85</v>
      </c>
      <c r="H642" t="s">
        <v>86</v>
      </c>
      <c r="I642" t="s">
        <v>15</v>
      </c>
      <c r="J642" t="s">
        <v>800</v>
      </c>
      <c r="K642" s="2">
        <f>Sales_Export_2019_2020__2[[#This Row],[order_value_GBP]]-Sales_Export_2019_2020__2[[#This Row],[ cost ]]</f>
        <v>20302.329999999987</v>
      </c>
      <c r="L642" t="b">
        <f>COUNTIF(Sales_Export_2019_2020__2[order_id],Sales_Export_2019_2020__2[[#This Row],[order_id]])&gt;1</f>
        <v>0</v>
      </c>
      <c r="M642" t="str">
        <f t="shared" si="10"/>
        <v>£100,000 - £104,999</v>
      </c>
      <c r="N642" t="str" cm="1">
        <f t="array" ref="N64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42">
        <f>FLOOR(Sales_Export_2019_2020__2[[#This Row],[order_value_GBP]],5000)</f>
        <v>100000</v>
      </c>
    </row>
    <row r="643" spans="1:15" x14ac:dyDescent="0.35">
      <c r="A643" t="s">
        <v>17</v>
      </c>
      <c r="B643" s="2">
        <v>99989.89</v>
      </c>
      <c r="C643" s="2">
        <v>81191.789999999994</v>
      </c>
      <c r="D643" s="1">
        <v>43784</v>
      </c>
      <c r="E643" t="s">
        <v>51</v>
      </c>
      <c r="F643" t="s">
        <v>254</v>
      </c>
      <c r="G643" t="s">
        <v>20</v>
      </c>
      <c r="H643" t="s">
        <v>21</v>
      </c>
      <c r="I643" t="s">
        <v>28</v>
      </c>
      <c r="J643" t="s">
        <v>801</v>
      </c>
      <c r="K643" s="2">
        <f>Sales_Export_2019_2020__2[[#This Row],[order_value_GBP]]-Sales_Export_2019_2020__2[[#This Row],[ cost ]]</f>
        <v>18798.100000000006</v>
      </c>
      <c r="L643" t="b">
        <f>COUNTIF(Sales_Export_2019_2020__2[order_id],Sales_Export_2019_2020__2[[#This Row],[order_id]])&gt;1</f>
        <v>0</v>
      </c>
      <c r="M643" t="str">
        <f t="shared" si="10"/>
        <v>£95,000 - £99,999</v>
      </c>
      <c r="N643" t="str" cm="1">
        <f t="array" ref="N64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43">
        <f>FLOOR(Sales_Export_2019_2020__2[[#This Row],[order_value_GBP]],5000)</f>
        <v>95000</v>
      </c>
    </row>
    <row r="644" spans="1:15" x14ac:dyDescent="0.35">
      <c r="A644" t="s">
        <v>10</v>
      </c>
      <c r="B644" s="2">
        <v>79407.28</v>
      </c>
      <c r="C644" s="2">
        <v>64383.42</v>
      </c>
      <c r="D644" s="1">
        <v>44033</v>
      </c>
      <c r="E644" t="s">
        <v>46</v>
      </c>
      <c r="F644" t="s">
        <v>94</v>
      </c>
      <c r="G644" t="s">
        <v>13</v>
      </c>
      <c r="H644" t="s">
        <v>82</v>
      </c>
      <c r="I644" t="s">
        <v>28</v>
      </c>
      <c r="J644" t="s">
        <v>802</v>
      </c>
      <c r="K644" s="2">
        <f>Sales_Export_2019_2020__2[[#This Row],[order_value_GBP]]-Sales_Export_2019_2020__2[[#This Row],[ cost ]]</f>
        <v>15023.86</v>
      </c>
      <c r="L644" t="b">
        <f>COUNTIF(Sales_Export_2019_2020__2[order_id],Sales_Export_2019_2020__2[[#This Row],[order_id]])&gt;1</f>
        <v>0</v>
      </c>
      <c r="M644" t="str">
        <f t="shared" si="10"/>
        <v>£75,000 - £79,999</v>
      </c>
      <c r="N644" t="str" cm="1">
        <f t="array" ref="N64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44">
        <f>FLOOR(Sales_Export_2019_2020__2[[#This Row],[order_value_GBP]],5000)</f>
        <v>75000</v>
      </c>
    </row>
    <row r="645" spans="1:15" x14ac:dyDescent="0.35">
      <c r="A645" t="s">
        <v>53</v>
      </c>
      <c r="B645" s="2">
        <v>184431.48</v>
      </c>
      <c r="C645" s="2">
        <v>153059.69</v>
      </c>
      <c r="D645" s="1">
        <v>43806</v>
      </c>
      <c r="E645" t="s">
        <v>11</v>
      </c>
      <c r="F645" t="s">
        <v>35</v>
      </c>
      <c r="G645" t="s">
        <v>55</v>
      </c>
      <c r="H645" t="s">
        <v>133</v>
      </c>
      <c r="I645" t="s">
        <v>15</v>
      </c>
      <c r="J645" t="s">
        <v>803</v>
      </c>
      <c r="K645" s="2">
        <f>Sales_Export_2019_2020__2[[#This Row],[order_value_GBP]]-Sales_Export_2019_2020__2[[#This Row],[ cost ]]</f>
        <v>31371.790000000008</v>
      </c>
      <c r="L645" t="b">
        <f>COUNTIF(Sales_Export_2019_2020__2[order_id],Sales_Export_2019_2020__2[[#This Row],[order_id]])&gt;1</f>
        <v>0</v>
      </c>
      <c r="M645" t="str">
        <f t="shared" si="10"/>
        <v>£180,000 - £184,999</v>
      </c>
      <c r="N645" t="str" cm="1">
        <f t="array" ref="N64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645">
        <f>FLOOR(Sales_Export_2019_2020__2[[#This Row],[order_value_GBP]],5000)</f>
        <v>180000</v>
      </c>
    </row>
    <row r="646" spans="1:15" x14ac:dyDescent="0.35">
      <c r="A646" t="s">
        <v>23</v>
      </c>
      <c r="B646" s="2">
        <v>144725.34</v>
      </c>
      <c r="C646" s="2">
        <v>115056.65</v>
      </c>
      <c r="D646" s="1">
        <v>43480</v>
      </c>
      <c r="E646" t="s">
        <v>60</v>
      </c>
      <c r="F646" t="s">
        <v>64</v>
      </c>
      <c r="G646" t="s">
        <v>26</v>
      </c>
      <c r="H646" t="s">
        <v>32</v>
      </c>
      <c r="I646" t="s">
        <v>28</v>
      </c>
      <c r="J646" t="s">
        <v>804</v>
      </c>
      <c r="K646" s="2">
        <f>Sales_Export_2019_2020__2[[#This Row],[order_value_GBP]]-Sales_Export_2019_2020__2[[#This Row],[ cost ]]</f>
        <v>29668.690000000002</v>
      </c>
      <c r="L646" t="b">
        <f>COUNTIF(Sales_Export_2019_2020__2[order_id],Sales_Export_2019_2020__2[[#This Row],[order_id]])&gt;1</f>
        <v>0</v>
      </c>
      <c r="M646" t="str">
        <f t="shared" si="10"/>
        <v>£140,000 - £144,999</v>
      </c>
      <c r="N646" t="str" cm="1">
        <f t="array" ref="N64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46">
        <f>FLOOR(Sales_Export_2019_2020__2[[#This Row],[order_value_GBP]],5000)</f>
        <v>140000</v>
      </c>
    </row>
    <row r="647" spans="1:15" x14ac:dyDescent="0.35">
      <c r="A647" t="s">
        <v>45</v>
      </c>
      <c r="B647" s="2">
        <v>21921.66</v>
      </c>
      <c r="C647" s="2">
        <v>18802.21</v>
      </c>
      <c r="D647" s="1">
        <v>43895</v>
      </c>
      <c r="E647" t="s">
        <v>60</v>
      </c>
      <c r="F647" t="s">
        <v>58</v>
      </c>
      <c r="G647" t="s">
        <v>48</v>
      </c>
      <c r="H647" t="s">
        <v>74</v>
      </c>
      <c r="I647" t="s">
        <v>38</v>
      </c>
      <c r="J647" t="s">
        <v>805</v>
      </c>
      <c r="K647" s="2">
        <f>Sales_Export_2019_2020__2[[#This Row],[order_value_GBP]]-Sales_Export_2019_2020__2[[#This Row],[ cost ]]</f>
        <v>3119.4500000000007</v>
      </c>
      <c r="L647" t="b">
        <f>COUNTIF(Sales_Export_2019_2020__2[order_id],Sales_Export_2019_2020__2[[#This Row],[order_id]])&gt;1</f>
        <v>0</v>
      </c>
      <c r="M647" t="str">
        <f t="shared" si="10"/>
        <v>£20,000 - £24,999</v>
      </c>
      <c r="N647" t="str" cm="1">
        <f t="array" ref="N64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47">
        <f>FLOOR(Sales_Export_2019_2020__2[[#This Row],[order_value_GBP]],5000)</f>
        <v>20000</v>
      </c>
    </row>
    <row r="648" spans="1:15" x14ac:dyDescent="0.35">
      <c r="A648" t="s">
        <v>23</v>
      </c>
      <c r="B648" s="2">
        <v>21341.66</v>
      </c>
      <c r="C648" s="2">
        <v>16930.34</v>
      </c>
      <c r="D648" s="1">
        <v>43552</v>
      </c>
      <c r="E648" t="s">
        <v>18</v>
      </c>
      <c r="F648" t="s">
        <v>302</v>
      </c>
      <c r="G648" t="s">
        <v>26</v>
      </c>
      <c r="H648" t="s">
        <v>27</v>
      </c>
      <c r="I648" t="s">
        <v>28</v>
      </c>
      <c r="J648" t="s">
        <v>806</v>
      </c>
      <c r="K648" s="2">
        <f>Sales_Export_2019_2020__2[[#This Row],[order_value_GBP]]-Sales_Export_2019_2020__2[[#This Row],[ cost ]]</f>
        <v>4411.32</v>
      </c>
      <c r="L648" t="b">
        <f>COUNTIF(Sales_Export_2019_2020__2[order_id],Sales_Export_2019_2020__2[[#This Row],[order_id]])&gt;1</f>
        <v>0</v>
      </c>
      <c r="M648" t="str">
        <f t="shared" si="10"/>
        <v>£20,000 - £24,999</v>
      </c>
      <c r="N648" t="str" cm="1">
        <f t="array" ref="N64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48">
        <f>FLOOR(Sales_Export_2019_2020__2[[#This Row],[order_value_GBP]],5000)</f>
        <v>20000</v>
      </c>
    </row>
    <row r="649" spans="1:15" x14ac:dyDescent="0.35">
      <c r="A649" t="s">
        <v>10</v>
      </c>
      <c r="B649" s="2">
        <v>84537.2</v>
      </c>
      <c r="C649" s="2">
        <v>69405.039999999994</v>
      </c>
      <c r="D649" s="1">
        <v>43849</v>
      </c>
      <c r="E649" t="s">
        <v>18</v>
      </c>
      <c r="F649" t="s">
        <v>116</v>
      </c>
      <c r="G649" t="s">
        <v>13</v>
      </c>
      <c r="H649" t="s">
        <v>170</v>
      </c>
      <c r="I649" t="s">
        <v>15</v>
      </c>
      <c r="J649" t="s">
        <v>807</v>
      </c>
      <c r="K649" s="2">
        <f>Sales_Export_2019_2020__2[[#This Row],[order_value_GBP]]-Sales_Export_2019_2020__2[[#This Row],[ cost ]]</f>
        <v>15132.160000000003</v>
      </c>
      <c r="L649" t="b">
        <f>COUNTIF(Sales_Export_2019_2020__2[order_id],Sales_Export_2019_2020__2[[#This Row],[order_id]])&gt;1</f>
        <v>0</v>
      </c>
      <c r="M649" t="str">
        <f t="shared" si="10"/>
        <v>£80,000 - £84,999</v>
      </c>
      <c r="N649" t="str" cm="1">
        <f t="array" ref="N64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49">
        <f>FLOOR(Sales_Export_2019_2020__2[[#This Row],[order_value_GBP]],5000)</f>
        <v>80000</v>
      </c>
    </row>
    <row r="650" spans="1:15" x14ac:dyDescent="0.35">
      <c r="A650" t="s">
        <v>53</v>
      </c>
      <c r="B650" s="2">
        <v>40544.43</v>
      </c>
      <c r="C650" s="2">
        <v>32666.65</v>
      </c>
      <c r="D650" s="1">
        <v>44044</v>
      </c>
      <c r="E650" t="s">
        <v>11</v>
      </c>
      <c r="F650" t="s">
        <v>35</v>
      </c>
      <c r="G650" t="s">
        <v>55</v>
      </c>
      <c r="H650" t="s">
        <v>133</v>
      </c>
      <c r="I650" t="s">
        <v>28</v>
      </c>
      <c r="J650" t="s">
        <v>808</v>
      </c>
      <c r="K650" s="2">
        <f>Sales_Export_2019_2020__2[[#This Row],[order_value_GBP]]-Sales_Export_2019_2020__2[[#This Row],[ cost ]]</f>
        <v>7877.7799999999988</v>
      </c>
      <c r="L650" t="b">
        <f>COUNTIF(Sales_Export_2019_2020__2[order_id],Sales_Export_2019_2020__2[[#This Row],[order_id]])&gt;1</f>
        <v>0</v>
      </c>
      <c r="M650" t="str">
        <f t="shared" si="10"/>
        <v>£40,000 - £44,999</v>
      </c>
      <c r="N650" t="str" cm="1">
        <f t="array" ref="N65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50">
        <f>FLOOR(Sales_Export_2019_2020__2[[#This Row],[order_value_GBP]],5000)</f>
        <v>40000</v>
      </c>
    </row>
    <row r="651" spans="1:15" x14ac:dyDescent="0.35">
      <c r="A651" t="s">
        <v>17</v>
      </c>
      <c r="B651" s="2">
        <v>178189.57</v>
      </c>
      <c r="C651" s="2">
        <v>153421.22</v>
      </c>
      <c r="D651" s="1">
        <v>43686</v>
      </c>
      <c r="E651" t="s">
        <v>18</v>
      </c>
      <c r="F651" t="s">
        <v>35</v>
      </c>
      <c r="G651" t="s">
        <v>20</v>
      </c>
      <c r="H651" t="s">
        <v>353</v>
      </c>
      <c r="I651" t="s">
        <v>28</v>
      </c>
      <c r="J651" t="s">
        <v>809</v>
      </c>
      <c r="K651" s="2">
        <f>Sales_Export_2019_2020__2[[#This Row],[order_value_GBP]]-Sales_Export_2019_2020__2[[#This Row],[ cost ]]</f>
        <v>24768.350000000006</v>
      </c>
      <c r="L651" t="b">
        <f>COUNTIF(Sales_Export_2019_2020__2[order_id],Sales_Export_2019_2020__2[[#This Row],[order_id]])&gt;1</f>
        <v>0</v>
      </c>
      <c r="M651" t="str">
        <f t="shared" si="10"/>
        <v>£175,000 - £179,999</v>
      </c>
      <c r="N651" t="str" cm="1">
        <f t="array" ref="N65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651">
        <f>FLOOR(Sales_Export_2019_2020__2[[#This Row],[order_value_GBP]],5000)</f>
        <v>175000</v>
      </c>
    </row>
    <row r="652" spans="1:15" x14ac:dyDescent="0.35">
      <c r="A652" t="s">
        <v>53</v>
      </c>
      <c r="B652" s="2">
        <v>36276.11</v>
      </c>
      <c r="C652" s="2">
        <v>28748.82</v>
      </c>
      <c r="D652" s="1">
        <v>43547</v>
      </c>
      <c r="E652" t="s">
        <v>18</v>
      </c>
      <c r="F652" t="s">
        <v>35</v>
      </c>
      <c r="G652" t="s">
        <v>55</v>
      </c>
      <c r="H652" t="s">
        <v>133</v>
      </c>
      <c r="I652" t="s">
        <v>28</v>
      </c>
      <c r="J652" t="s">
        <v>810</v>
      </c>
      <c r="K652" s="2">
        <f>Sales_Export_2019_2020__2[[#This Row],[order_value_GBP]]-Sales_Export_2019_2020__2[[#This Row],[ cost ]]</f>
        <v>7527.2900000000009</v>
      </c>
      <c r="L652" t="b">
        <f>COUNTIF(Sales_Export_2019_2020__2[order_id],Sales_Export_2019_2020__2[[#This Row],[order_id]])&gt;1</f>
        <v>0</v>
      </c>
      <c r="M652" t="str">
        <f t="shared" si="10"/>
        <v>£35,000 - £39,999</v>
      </c>
      <c r="N652" t="str" cm="1">
        <f t="array" ref="N65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52">
        <f>FLOOR(Sales_Export_2019_2020__2[[#This Row],[order_value_GBP]],5000)</f>
        <v>35000</v>
      </c>
    </row>
    <row r="653" spans="1:15" x14ac:dyDescent="0.35">
      <c r="A653" t="s">
        <v>10</v>
      </c>
      <c r="B653" s="2">
        <v>36181.81</v>
      </c>
      <c r="C653" s="2">
        <v>29698.03</v>
      </c>
      <c r="D653" s="1">
        <v>44131</v>
      </c>
      <c r="E653" t="s">
        <v>51</v>
      </c>
      <c r="F653" t="s">
        <v>160</v>
      </c>
      <c r="G653" t="s">
        <v>13</v>
      </c>
      <c r="H653" t="s">
        <v>14</v>
      </c>
      <c r="I653" t="s">
        <v>38</v>
      </c>
      <c r="J653" t="s">
        <v>811</v>
      </c>
      <c r="K653" s="2">
        <f>Sales_Export_2019_2020__2[[#This Row],[order_value_GBP]]-Sales_Export_2019_2020__2[[#This Row],[ cost ]]</f>
        <v>6483.7799999999988</v>
      </c>
      <c r="L653" t="b">
        <f>COUNTIF(Sales_Export_2019_2020__2[order_id],Sales_Export_2019_2020__2[[#This Row],[order_id]])&gt;1</f>
        <v>0</v>
      </c>
      <c r="M653" t="str">
        <f t="shared" si="10"/>
        <v>£35,000 - £39,999</v>
      </c>
      <c r="N653" t="str" cm="1">
        <f t="array" ref="N65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53">
        <f>FLOOR(Sales_Export_2019_2020__2[[#This Row],[order_value_GBP]],5000)</f>
        <v>35000</v>
      </c>
    </row>
    <row r="654" spans="1:15" x14ac:dyDescent="0.35">
      <c r="A654" t="s">
        <v>45</v>
      </c>
      <c r="B654" s="2">
        <v>66613.31</v>
      </c>
      <c r="C654" s="2">
        <v>55462.239999999998</v>
      </c>
      <c r="D654" s="1">
        <v>43733</v>
      </c>
      <c r="E654" t="s">
        <v>80</v>
      </c>
      <c r="F654" t="s">
        <v>123</v>
      </c>
      <c r="G654" t="s">
        <v>48</v>
      </c>
      <c r="H654" t="s">
        <v>66</v>
      </c>
      <c r="I654" t="s">
        <v>28</v>
      </c>
      <c r="J654" t="s">
        <v>812</v>
      </c>
      <c r="K654" s="2">
        <f>Sales_Export_2019_2020__2[[#This Row],[order_value_GBP]]-Sales_Export_2019_2020__2[[#This Row],[ cost ]]</f>
        <v>11151.07</v>
      </c>
      <c r="L654" t="b">
        <f>COUNTIF(Sales_Export_2019_2020__2[order_id],Sales_Export_2019_2020__2[[#This Row],[order_id]])&gt;1</f>
        <v>0</v>
      </c>
      <c r="M654" t="str">
        <f t="shared" si="10"/>
        <v>£65,000 - £69,999</v>
      </c>
      <c r="N654" t="str" cm="1">
        <f t="array" ref="N65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54">
        <f>FLOOR(Sales_Export_2019_2020__2[[#This Row],[order_value_GBP]],5000)</f>
        <v>65000</v>
      </c>
    </row>
    <row r="655" spans="1:15" x14ac:dyDescent="0.35">
      <c r="A655" t="s">
        <v>173</v>
      </c>
      <c r="B655" s="2">
        <v>77278.679999999993</v>
      </c>
      <c r="C655" s="2">
        <v>62951.21</v>
      </c>
      <c r="D655" s="1">
        <v>44106</v>
      </c>
      <c r="E655" t="s">
        <v>60</v>
      </c>
      <c r="F655" t="s">
        <v>121</v>
      </c>
      <c r="G655" t="s">
        <v>175</v>
      </c>
      <c r="H655" t="s">
        <v>212</v>
      </c>
      <c r="I655" t="s">
        <v>28</v>
      </c>
      <c r="J655" t="s">
        <v>813</v>
      </c>
      <c r="K655" s="2">
        <f>Sales_Export_2019_2020__2[[#This Row],[order_value_GBP]]-Sales_Export_2019_2020__2[[#This Row],[ cost ]]</f>
        <v>14327.469999999994</v>
      </c>
      <c r="L655" t="b">
        <f>COUNTIF(Sales_Export_2019_2020__2[order_id],Sales_Export_2019_2020__2[[#This Row],[order_id]])&gt;1</f>
        <v>0</v>
      </c>
      <c r="M655" t="str">
        <f t="shared" si="10"/>
        <v>£75,000 - £79,999</v>
      </c>
      <c r="N655" t="str" cm="1">
        <f t="array" ref="N65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55">
        <f>FLOOR(Sales_Export_2019_2020__2[[#This Row],[order_value_GBP]],5000)</f>
        <v>75000</v>
      </c>
    </row>
    <row r="656" spans="1:15" x14ac:dyDescent="0.35">
      <c r="A656" t="s">
        <v>45</v>
      </c>
      <c r="B656" s="2">
        <v>149938.35999999999</v>
      </c>
      <c r="C656" s="2">
        <v>123579.2</v>
      </c>
      <c r="D656" s="1">
        <v>44149</v>
      </c>
      <c r="E656" t="s">
        <v>51</v>
      </c>
      <c r="F656" t="s">
        <v>35</v>
      </c>
      <c r="G656" t="s">
        <v>48</v>
      </c>
      <c r="H656" t="s">
        <v>74</v>
      </c>
      <c r="I656" t="s">
        <v>28</v>
      </c>
      <c r="J656" t="s">
        <v>814</v>
      </c>
      <c r="K656" s="2">
        <f>Sales_Export_2019_2020__2[[#This Row],[order_value_GBP]]-Sales_Export_2019_2020__2[[#This Row],[ cost ]]</f>
        <v>26359.159999999989</v>
      </c>
      <c r="L656" t="b">
        <f>COUNTIF(Sales_Export_2019_2020__2[order_id],Sales_Export_2019_2020__2[[#This Row],[order_id]])&gt;1</f>
        <v>0</v>
      </c>
      <c r="M656" t="str">
        <f t="shared" si="10"/>
        <v>£145,000 - £149,999</v>
      </c>
      <c r="N656" t="str" cm="1">
        <f t="array" ref="N65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56">
        <f>FLOOR(Sales_Export_2019_2020__2[[#This Row],[order_value_GBP]],5000)</f>
        <v>145000</v>
      </c>
    </row>
    <row r="657" spans="1:15" x14ac:dyDescent="0.35">
      <c r="A657" t="s">
        <v>34</v>
      </c>
      <c r="B657" s="2">
        <v>123953.65</v>
      </c>
      <c r="C657" s="2">
        <v>101939.48</v>
      </c>
      <c r="D657" s="1">
        <v>43593</v>
      </c>
      <c r="E657" t="s">
        <v>30</v>
      </c>
      <c r="F657" t="s">
        <v>126</v>
      </c>
      <c r="G657" t="s">
        <v>36</v>
      </c>
      <c r="H657" t="s">
        <v>41</v>
      </c>
      <c r="I657" t="s">
        <v>28</v>
      </c>
      <c r="J657" t="s">
        <v>815</v>
      </c>
      <c r="K657" s="2">
        <f>Sales_Export_2019_2020__2[[#This Row],[order_value_GBP]]-Sales_Export_2019_2020__2[[#This Row],[ cost ]]</f>
        <v>22014.17</v>
      </c>
      <c r="L657" t="b">
        <f>COUNTIF(Sales_Export_2019_2020__2[order_id],Sales_Export_2019_2020__2[[#This Row],[order_id]])&gt;1</f>
        <v>0</v>
      </c>
      <c r="M657" t="str">
        <f t="shared" si="10"/>
        <v>£120,000 - £124,999</v>
      </c>
      <c r="N657" t="str" cm="1">
        <f t="array" ref="N65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57">
        <f>FLOOR(Sales_Export_2019_2020__2[[#This Row],[order_value_GBP]],5000)</f>
        <v>120000</v>
      </c>
    </row>
    <row r="658" spans="1:15" x14ac:dyDescent="0.35">
      <c r="A658" t="s">
        <v>10</v>
      </c>
      <c r="B658" s="2">
        <v>73773.600000000006</v>
      </c>
      <c r="C658" s="2">
        <v>58421.31</v>
      </c>
      <c r="D658" s="1">
        <v>43851</v>
      </c>
      <c r="E658" t="s">
        <v>11</v>
      </c>
      <c r="F658" t="s">
        <v>291</v>
      </c>
      <c r="G658" t="s">
        <v>13</v>
      </c>
      <c r="H658" t="s">
        <v>118</v>
      </c>
      <c r="I658" t="s">
        <v>15</v>
      </c>
      <c r="J658" t="s">
        <v>816</v>
      </c>
      <c r="K658" s="2">
        <f>Sales_Export_2019_2020__2[[#This Row],[order_value_GBP]]-Sales_Export_2019_2020__2[[#This Row],[ cost ]]</f>
        <v>15352.290000000008</v>
      </c>
      <c r="L658" t="b">
        <f>COUNTIF(Sales_Export_2019_2020__2[order_id],Sales_Export_2019_2020__2[[#This Row],[order_id]])&gt;1</f>
        <v>0</v>
      </c>
      <c r="M658" t="str">
        <f t="shared" si="10"/>
        <v>£70,000 - £74,999</v>
      </c>
      <c r="N658" t="str" cm="1">
        <f t="array" ref="N65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58">
        <f>FLOOR(Sales_Export_2019_2020__2[[#This Row],[order_value_GBP]],5000)</f>
        <v>70000</v>
      </c>
    </row>
    <row r="659" spans="1:15" x14ac:dyDescent="0.35">
      <c r="A659" t="s">
        <v>23</v>
      </c>
      <c r="B659" s="2">
        <v>206869.73</v>
      </c>
      <c r="C659" s="2">
        <v>180928.27</v>
      </c>
      <c r="D659" s="1">
        <v>44032</v>
      </c>
      <c r="E659" t="s">
        <v>80</v>
      </c>
      <c r="F659" t="s">
        <v>150</v>
      </c>
      <c r="G659" t="s">
        <v>26</v>
      </c>
      <c r="H659" t="s">
        <v>76</v>
      </c>
      <c r="I659" t="s">
        <v>28</v>
      </c>
      <c r="J659" t="s">
        <v>817</v>
      </c>
      <c r="K659" s="2">
        <f>Sales_Export_2019_2020__2[[#This Row],[order_value_GBP]]-Sales_Export_2019_2020__2[[#This Row],[ cost ]]</f>
        <v>25941.460000000021</v>
      </c>
      <c r="L659" t="b">
        <f>COUNTIF(Sales_Export_2019_2020__2[order_id],Sales_Export_2019_2020__2[[#This Row],[order_id]])&gt;1</f>
        <v>0</v>
      </c>
      <c r="M659" t="str">
        <f t="shared" si="10"/>
        <v>£205,000 - £209,999</v>
      </c>
      <c r="N659" t="str" cm="1">
        <f t="array" ref="N65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659">
        <f>FLOOR(Sales_Export_2019_2020__2[[#This Row],[order_value_GBP]],5000)</f>
        <v>205000</v>
      </c>
    </row>
    <row r="660" spans="1:15" x14ac:dyDescent="0.35">
      <c r="A660" t="s">
        <v>53</v>
      </c>
      <c r="B660" s="2">
        <v>63690.720000000001</v>
      </c>
      <c r="C660" s="2">
        <v>53455.62</v>
      </c>
      <c r="D660" s="1">
        <v>44070</v>
      </c>
      <c r="E660" t="s">
        <v>80</v>
      </c>
      <c r="F660" t="s">
        <v>166</v>
      </c>
      <c r="G660" t="s">
        <v>55</v>
      </c>
      <c r="H660" t="s">
        <v>128</v>
      </c>
      <c r="I660" t="s">
        <v>15</v>
      </c>
      <c r="J660" t="s">
        <v>818</v>
      </c>
      <c r="K660" s="2">
        <f>Sales_Export_2019_2020__2[[#This Row],[order_value_GBP]]-Sales_Export_2019_2020__2[[#This Row],[ cost ]]</f>
        <v>10235.099999999999</v>
      </c>
      <c r="L660" t="b">
        <f>COUNTIF(Sales_Export_2019_2020__2[order_id],Sales_Export_2019_2020__2[[#This Row],[order_id]])&gt;1</f>
        <v>0</v>
      </c>
      <c r="M660" t="str">
        <f t="shared" si="10"/>
        <v>£60,000 - £64,999</v>
      </c>
      <c r="N660" t="str" cm="1">
        <f t="array" ref="N66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60">
        <f>FLOOR(Sales_Export_2019_2020__2[[#This Row],[order_value_GBP]],5000)</f>
        <v>60000</v>
      </c>
    </row>
    <row r="661" spans="1:15" x14ac:dyDescent="0.35">
      <c r="A661" t="s">
        <v>45</v>
      </c>
      <c r="B661" s="2">
        <v>18897.97</v>
      </c>
      <c r="C661" s="2">
        <v>16469.580000000002</v>
      </c>
      <c r="D661" s="1">
        <v>43877</v>
      </c>
      <c r="E661" t="s">
        <v>139</v>
      </c>
      <c r="F661" t="s">
        <v>31</v>
      </c>
      <c r="G661" t="s">
        <v>48</v>
      </c>
      <c r="H661" t="s">
        <v>49</v>
      </c>
      <c r="I661" t="s">
        <v>15</v>
      </c>
      <c r="J661" t="s">
        <v>819</v>
      </c>
      <c r="K661" s="2">
        <f>Sales_Export_2019_2020__2[[#This Row],[order_value_GBP]]-Sales_Export_2019_2020__2[[#This Row],[ cost ]]</f>
        <v>2428.3899999999994</v>
      </c>
      <c r="L661" t="b">
        <f>COUNTIF(Sales_Export_2019_2020__2[order_id],Sales_Export_2019_2020__2[[#This Row],[order_id]])&gt;1</f>
        <v>0</v>
      </c>
      <c r="M661" t="str">
        <f t="shared" si="10"/>
        <v>£15,000 - £19,999</v>
      </c>
      <c r="N661" t="str" cm="1">
        <f t="array" ref="N66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61">
        <f>FLOOR(Sales_Export_2019_2020__2[[#This Row],[order_value_GBP]],5000)</f>
        <v>15000</v>
      </c>
    </row>
    <row r="662" spans="1:15" x14ac:dyDescent="0.35">
      <c r="A662" t="s">
        <v>23</v>
      </c>
      <c r="B662" s="2">
        <v>134807.18</v>
      </c>
      <c r="C662" s="2">
        <v>108047.95</v>
      </c>
      <c r="D662" s="1">
        <v>44194</v>
      </c>
      <c r="E662" t="s">
        <v>30</v>
      </c>
      <c r="F662" t="s">
        <v>178</v>
      </c>
      <c r="G662" t="s">
        <v>26</v>
      </c>
      <c r="H662" t="s">
        <v>76</v>
      </c>
      <c r="I662" t="s">
        <v>28</v>
      </c>
      <c r="J662" t="s">
        <v>820</v>
      </c>
      <c r="K662" s="2">
        <f>Sales_Export_2019_2020__2[[#This Row],[order_value_GBP]]-Sales_Export_2019_2020__2[[#This Row],[ cost ]]</f>
        <v>26759.229999999996</v>
      </c>
      <c r="L662" t="b">
        <f>COUNTIF(Sales_Export_2019_2020__2[order_id],Sales_Export_2019_2020__2[[#This Row],[order_id]])&gt;1</f>
        <v>0</v>
      </c>
      <c r="M662" t="str">
        <f t="shared" si="10"/>
        <v>£130,000 - £134,999</v>
      </c>
      <c r="N662" t="str" cm="1">
        <f t="array" ref="N66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62">
        <f>FLOOR(Sales_Export_2019_2020__2[[#This Row],[order_value_GBP]],5000)</f>
        <v>130000</v>
      </c>
    </row>
    <row r="663" spans="1:15" x14ac:dyDescent="0.35">
      <c r="A663" t="s">
        <v>45</v>
      </c>
      <c r="B663" s="2">
        <v>47082.67</v>
      </c>
      <c r="C663" s="2">
        <v>37882.720000000001</v>
      </c>
      <c r="D663" s="1">
        <v>44012</v>
      </c>
      <c r="E663" t="s">
        <v>18</v>
      </c>
      <c r="F663" t="s">
        <v>237</v>
      </c>
      <c r="G663" t="s">
        <v>48</v>
      </c>
      <c r="H663" t="s">
        <v>49</v>
      </c>
      <c r="I663" t="s">
        <v>28</v>
      </c>
      <c r="J663" t="s">
        <v>821</v>
      </c>
      <c r="K663" s="2">
        <f>Sales_Export_2019_2020__2[[#This Row],[order_value_GBP]]-Sales_Export_2019_2020__2[[#This Row],[ cost ]]</f>
        <v>9199.9499999999971</v>
      </c>
      <c r="L663" t="b">
        <f>COUNTIF(Sales_Export_2019_2020__2[order_id],Sales_Export_2019_2020__2[[#This Row],[order_id]])&gt;1</f>
        <v>0</v>
      </c>
      <c r="M663" t="str">
        <f t="shared" si="10"/>
        <v>£45,000 - £49,999</v>
      </c>
      <c r="N663" t="str" cm="1">
        <f t="array" ref="N66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63">
        <f>FLOOR(Sales_Export_2019_2020__2[[#This Row],[order_value_GBP]],5000)</f>
        <v>45000</v>
      </c>
    </row>
    <row r="664" spans="1:15" x14ac:dyDescent="0.35">
      <c r="A664" t="s">
        <v>23</v>
      </c>
      <c r="B664" s="2">
        <v>41016.31</v>
      </c>
      <c r="C664" s="2">
        <v>32985.32</v>
      </c>
      <c r="D664" s="1">
        <v>43594</v>
      </c>
      <c r="E664" t="s">
        <v>30</v>
      </c>
      <c r="F664" t="s">
        <v>341</v>
      </c>
      <c r="G664" t="s">
        <v>26</v>
      </c>
      <c r="H664" t="s">
        <v>76</v>
      </c>
      <c r="I664" t="s">
        <v>38</v>
      </c>
      <c r="J664" t="s">
        <v>822</v>
      </c>
      <c r="K664" s="2">
        <f>Sales_Export_2019_2020__2[[#This Row],[order_value_GBP]]-Sales_Export_2019_2020__2[[#This Row],[ cost ]]</f>
        <v>8030.989999999998</v>
      </c>
      <c r="L664" t="b">
        <f>COUNTIF(Sales_Export_2019_2020__2[order_id],Sales_Export_2019_2020__2[[#This Row],[order_id]])&gt;1</f>
        <v>0</v>
      </c>
      <c r="M664" t="str">
        <f t="shared" si="10"/>
        <v>£40,000 - £44,999</v>
      </c>
      <c r="N664" t="str" cm="1">
        <f t="array" ref="N66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64">
        <f>FLOOR(Sales_Export_2019_2020__2[[#This Row],[order_value_GBP]],5000)</f>
        <v>40000</v>
      </c>
    </row>
    <row r="665" spans="1:15" x14ac:dyDescent="0.35">
      <c r="A665" t="s">
        <v>10</v>
      </c>
      <c r="B665" s="2">
        <v>43243.45</v>
      </c>
      <c r="C665" s="2">
        <v>37764.5</v>
      </c>
      <c r="D665" s="1">
        <v>43601</v>
      </c>
      <c r="E665" t="s">
        <v>24</v>
      </c>
      <c r="F665" t="s">
        <v>35</v>
      </c>
      <c r="G665" t="s">
        <v>13</v>
      </c>
      <c r="H665" t="s">
        <v>82</v>
      </c>
      <c r="I665" t="s">
        <v>28</v>
      </c>
      <c r="J665" t="s">
        <v>823</v>
      </c>
      <c r="K665" s="2">
        <f>Sales_Export_2019_2020__2[[#This Row],[order_value_GBP]]-Sales_Export_2019_2020__2[[#This Row],[ cost ]]</f>
        <v>5478.9499999999971</v>
      </c>
      <c r="L665" t="b">
        <f>COUNTIF(Sales_Export_2019_2020__2[order_id],Sales_Export_2019_2020__2[[#This Row],[order_id]])&gt;1</f>
        <v>0</v>
      </c>
      <c r="M665" t="str">
        <f t="shared" si="10"/>
        <v>£40,000 - £44,999</v>
      </c>
      <c r="N665" t="str" cm="1">
        <f t="array" ref="N66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65">
        <f>FLOOR(Sales_Export_2019_2020__2[[#This Row],[order_value_GBP]],5000)</f>
        <v>40000</v>
      </c>
    </row>
    <row r="666" spans="1:15" x14ac:dyDescent="0.35">
      <c r="A666" t="s">
        <v>10</v>
      </c>
      <c r="B666" s="2">
        <v>88832.28</v>
      </c>
      <c r="C666" s="2">
        <v>71501.100000000006</v>
      </c>
      <c r="D666" s="1">
        <v>43822</v>
      </c>
      <c r="E666" t="s">
        <v>80</v>
      </c>
      <c r="F666" t="s">
        <v>102</v>
      </c>
      <c r="G666" t="s">
        <v>13</v>
      </c>
      <c r="H666" t="s">
        <v>170</v>
      </c>
      <c r="I666" t="s">
        <v>28</v>
      </c>
      <c r="J666" t="s">
        <v>824</v>
      </c>
      <c r="K666" s="2">
        <f>Sales_Export_2019_2020__2[[#This Row],[order_value_GBP]]-Sales_Export_2019_2020__2[[#This Row],[ cost ]]</f>
        <v>17331.179999999993</v>
      </c>
      <c r="L666" t="b">
        <f>COUNTIF(Sales_Export_2019_2020__2[order_id],Sales_Export_2019_2020__2[[#This Row],[order_id]])&gt;1</f>
        <v>0</v>
      </c>
      <c r="M666" t="str">
        <f t="shared" si="10"/>
        <v>£85,000 - £89,999</v>
      </c>
      <c r="N666" t="str" cm="1">
        <f t="array" ref="N66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66">
        <f>FLOOR(Sales_Export_2019_2020__2[[#This Row],[order_value_GBP]],5000)</f>
        <v>85000</v>
      </c>
    </row>
    <row r="667" spans="1:15" x14ac:dyDescent="0.35">
      <c r="A667" t="s">
        <v>53</v>
      </c>
      <c r="B667" s="2">
        <v>173456.4</v>
      </c>
      <c r="C667" s="2">
        <v>149866.32999999999</v>
      </c>
      <c r="D667" s="1">
        <v>43733</v>
      </c>
      <c r="E667" t="s">
        <v>11</v>
      </c>
      <c r="F667" t="s">
        <v>35</v>
      </c>
      <c r="G667" t="s">
        <v>55</v>
      </c>
      <c r="H667" t="s">
        <v>144</v>
      </c>
      <c r="I667" t="s">
        <v>15</v>
      </c>
      <c r="J667" t="s">
        <v>825</v>
      </c>
      <c r="K667" s="2">
        <f>Sales_Export_2019_2020__2[[#This Row],[order_value_GBP]]-Sales_Export_2019_2020__2[[#This Row],[ cost ]]</f>
        <v>23590.070000000007</v>
      </c>
      <c r="L667" t="b">
        <f>COUNTIF(Sales_Export_2019_2020__2[order_id],Sales_Export_2019_2020__2[[#This Row],[order_id]])&gt;1</f>
        <v>0</v>
      </c>
      <c r="M667" t="str">
        <f t="shared" si="10"/>
        <v>£170,000 - £174,999</v>
      </c>
      <c r="N667" t="str" cm="1">
        <f t="array" ref="N66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67">
        <f>FLOOR(Sales_Export_2019_2020__2[[#This Row],[order_value_GBP]],5000)</f>
        <v>170000</v>
      </c>
    </row>
    <row r="668" spans="1:15" x14ac:dyDescent="0.35">
      <c r="A668" t="s">
        <v>34</v>
      </c>
      <c r="B668" s="2">
        <v>90926.92</v>
      </c>
      <c r="C668" s="2">
        <v>73050.69</v>
      </c>
      <c r="D668" s="1">
        <v>43914</v>
      </c>
      <c r="E668" t="s">
        <v>60</v>
      </c>
      <c r="F668" t="s">
        <v>168</v>
      </c>
      <c r="G668" t="s">
        <v>36</v>
      </c>
      <c r="H668" t="s">
        <v>41</v>
      </c>
      <c r="I668" t="s">
        <v>28</v>
      </c>
      <c r="J668" t="s">
        <v>826</v>
      </c>
      <c r="K668" s="2">
        <f>Sales_Export_2019_2020__2[[#This Row],[order_value_GBP]]-Sales_Export_2019_2020__2[[#This Row],[ cost ]]</f>
        <v>17876.229999999996</v>
      </c>
      <c r="L668" t="b">
        <f>COUNTIF(Sales_Export_2019_2020__2[order_id],Sales_Export_2019_2020__2[[#This Row],[order_id]])&gt;1</f>
        <v>0</v>
      </c>
      <c r="M668" t="str">
        <f t="shared" si="10"/>
        <v>£90,000 - £94,999</v>
      </c>
      <c r="N668" t="str" cm="1">
        <f t="array" ref="N66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68">
        <f>FLOOR(Sales_Export_2019_2020__2[[#This Row],[order_value_GBP]],5000)</f>
        <v>90000</v>
      </c>
    </row>
    <row r="669" spans="1:15" x14ac:dyDescent="0.35">
      <c r="A669" t="s">
        <v>10</v>
      </c>
      <c r="B669" s="2">
        <v>72757.009999999995</v>
      </c>
      <c r="C669" s="2">
        <v>63378.63</v>
      </c>
      <c r="D669" s="1">
        <v>43895</v>
      </c>
      <c r="E669" t="s">
        <v>139</v>
      </c>
      <c r="F669" t="s">
        <v>31</v>
      </c>
      <c r="G669" t="s">
        <v>13</v>
      </c>
      <c r="H669" t="s">
        <v>82</v>
      </c>
      <c r="I669" t="s">
        <v>28</v>
      </c>
      <c r="J669" t="s">
        <v>827</v>
      </c>
      <c r="K669" s="2">
        <f>Sales_Export_2019_2020__2[[#This Row],[order_value_GBP]]-Sales_Export_2019_2020__2[[#This Row],[ cost ]]</f>
        <v>9378.3799999999974</v>
      </c>
      <c r="L669" t="b">
        <f>COUNTIF(Sales_Export_2019_2020__2[order_id],Sales_Export_2019_2020__2[[#This Row],[order_id]])&gt;1</f>
        <v>0</v>
      </c>
      <c r="M669" t="str">
        <f t="shared" si="10"/>
        <v>£70,000 - £74,999</v>
      </c>
      <c r="N669" t="str" cm="1">
        <f t="array" ref="N66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69">
        <f>FLOOR(Sales_Export_2019_2020__2[[#This Row],[order_value_GBP]],5000)</f>
        <v>70000</v>
      </c>
    </row>
    <row r="670" spans="1:15" x14ac:dyDescent="0.35">
      <c r="A670" t="s">
        <v>53</v>
      </c>
      <c r="B670" s="2">
        <v>60068.71</v>
      </c>
      <c r="C670" s="2">
        <v>47688.55</v>
      </c>
      <c r="D670" s="1">
        <v>43960</v>
      </c>
      <c r="E670" t="s">
        <v>139</v>
      </c>
      <c r="F670" t="s">
        <v>114</v>
      </c>
      <c r="G670" t="s">
        <v>55</v>
      </c>
      <c r="H670" t="s">
        <v>128</v>
      </c>
      <c r="I670" t="s">
        <v>28</v>
      </c>
      <c r="J670" t="s">
        <v>828</v>
      </c>
      <c r="K670" s="2">
        <f>Sales_Export_2019_2020__2[[#This Row],[order_value_GBP]]-Sales_Export_2019_2020__2[[#This Row],[ cost ]]</f>
        <v>12380.159999999996</v>
      </c>
      <c r="L670" t="b">
        <f>COUNTIF(Sales_Export_2019_2020__2[order_id],Sales_Export_2019_2020__2[[#This Row],[order_id]])&gt;1</f>
        <v>0</v>
      </c>
      <c r="M670" t="str">
        <f t="shared" si="10"/>
        <v>£60,000 - £64,999</v>
      </c>
      <c r="N670" t="str" cm="1">
        <f t="array" ref="N67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70">
        <f>FLOOR(Sales_Export_2019_2020__2[[#This Row],[order_value_GBP]],5000)</f>
        <v>60000</v>
      </c>
    </row>
    <row r="671" spans="1:15" x14ac:dyDescent="0.35">
      <c r="A671" t="s">
        <v>53</v>
      </c>
      <c r="B671" s="2">
        <v>105522.72</v>
      </c>
      <c r="C671" s="2">
        <v>86581.39</v>
      </c>
      <c r="D671" s="1">
        <v>43512</v>
      </c>
      <c r="E671" t="s">
        <v>24</v>
      </c>
      <c r="F671" t="s">
        <v>54</v>
      </c>
      <c r="G671" t="s">
        <v>55</v>
      </c>
      <c r="H671" t="s">
        <v>72</v>
      </c>
      <c r="I671" t="s">
        <v>28</v>
      </c>
      <c r="J671" t="s">
        <v>829</v>
      </c>
      <c r="K671" s="2">
        <f>Sales_Export_2019_2020__2[[#This Row],[order_value_GBP]]-Sales_Export_2019_2020__2[[#This Row],[ cost ]]</f>
        <v>18941.330000000002</v>
      </c>
      <c r="L671" t="b">
        <f>COUNTIF(Sales_Export_2019_2020__2[order_id],Sales_Export_2019_2020__2[[#This Row],[order_id]])&gt;1</f>
        <v>0</v>
      </c>
      <c r="M671" t="str">
        <f t="shared" si="10"/>
        <v>£105,000 - £109,999</v>
      </c>
      <c r="N671" t="str" cm="1">
        <f t="array" ref="N67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71">
        <f>FLOOR(Sales_Export_2019_2020__2[[#This Row],[order_value_GBP]],5000)</f>
        <v>105000</v>
      </c>
    </row>
    <row r="672" spans="1:15" x14ac:dyDescent="0.35">
      <c r="A672" t="s">
        <v>106</v>
      </c>
      <c r="B672" s="2">
        <v>61374.06</v>
      </c>
      <c r="C672" s="2">
        <v>49099.25</v>
      </c>
      <c r="D672" s="1">
        <v>43881</v>
      </c>
      <c r="E672" t="s">
        <v>18</v>
      </c>
      <c r="F672" t="s">
        <v>102</v>
      </c>
      <c r="G672" t="s">
        <v>107</v>
      </c>
      <c r="H672" t="s">
        <v>108</v>
      </c>
      <c r="I672" t="s">
        <v>28</v>
      </c>
      <c r="J672" t="s">
        <v>830</v>
      </c>
      <c r="K672" s="2">
        <f>Sales_Export_2019_2020__2[[#This Row],[order_value_GBP]]-Sales_Export_2019_2020__2[[#This Row],[ cost ]]</f>
        <v>12274.809999999998</v>
      </c>
      <c r="L672" t="b">
        <f>COUNTIF(Sales_Export_2019_2020__2[order_id],Sales_Export_2019_2020__2[[#This Row],[order_id]])&gt;1</f>
        <v>0</v>
      </c>
      <c r="M672" t="str">
        <f t="shared" si="10"/>
        <v>£60,000 - £64,999</v>
      </c>
      <c r="N672" t="str" cm="1">
        <f t="array" ref="N67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72">
        <f>FLOOR(Sales_Export_2019_2020__2[[#This Row],[order_value_GBP]],5000)</f>
        <v>60000</v>
      </c>
    </row>
    <row r="673" spans="1:15" x14ac:dyDescent="0.35">
      <c r="A673" t="s">
        <v>23</v>
      </c>
      <c r="B673" s="2">
        <v>76856.570000000007</v>
      </c>
      <c r="C673" s="2">
        <v>65535.6</v>
      </c>
      <c r="D673" s="1">
        <v>43616</v>
      </c>
      <c r="E673" t="s">
        <v>24</v>
      </c>
      <c r="F673" t="s">
        <v>237</v>
      </c>
      <c r="G673" t="s">
        <v>26</v>
      </c>
      <c r="H673" t="s">
        <v>90</v>
      </c>
      <c r="I673" t="s">
        <v>28</v>
      </c>
      <c r="J673" t="s">
        <v>831</v>
      </c>
      <c r="K673" s="2">
        <f>Sales_Export_2019_2020__2[[#This Row],[order_value_GBP]]-Sales_Export_2019_2020__2[[#This Row],[ cost ]]</f>
        <v>11320.970000000008</v>
      </c>
      <c r="L673" t="b">
        <f>COUNTIF(Sales_Export_2019_2020__2[order_id],Sales_Export_2019_2020__2[[#This Row],[order_id]])&gt;1</f>
        <v>0</v>
      </c>
      <c r="M673" t="str">
        <f t="shared" si="10"/>
        <v>£75,000 - £79,999</v>
      </c>
      <c r="N673" t="str" cm="1">
        <f t="array" ref="N67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73">
        <f>FLOOR(Sales_Export_2019_2020__2[[#This Row],[order_value_GBP]],5000)</f>
        <v>75000</v>
      </c>
    </row>
    <row r="674" spans="1:15" x14ac:dyDescent="0.35">
      <c r="A674" t="s">
        <v>34</v>
      </c>
      <c r="B674" s="2">
        <v>174262.11</v>
      </c>
      <c r="C674" s="2">
        <v>143278.31</v>
      </c>
      <c r="D674" s="1">
        <v>43560</v>
      </c>
      <c r="E674" t="s">
        <v>18</v>
      </c>
      <c r="F674" t="s">
        <v>31</v>
      </c>
      <c r="G674" t="s">
        <v>36</v>
      </c>
      <c r="H674" t="s">
        <v>41</v>
      </c>
      <c r="I674" t="s">
        <v>28</v>
      </c>
      <c r="J674" t="s">
        <v>832</v>
      </c>
      <c r="K674" s="2">
        <f>Sales_Export_2019_2020__2[[#This Row],[order_value_GBP]]-Sales_Export_2019_2020__2[[#This Row],[ cost ]]</f>
        <v>30983.799999999988</v>
      </c>
      <c r="L674" t="b">
        <f>COUNTIF(Sales_Export_2019_2020__2[order_id],Sales_Export_2019_2020__2[[#This Row],[order_id]])&gt;1</f>
        <v>0</v>
      </c>
      <c r="M674" t="str">
        <f t="shared" ref="M674:M737" si="11">TEXT(FLOOR(B674,5000),"£#,##0")&amp;" - "&amp;TEXT(FLOOR(B674,5000)+4999,"£#,##0")</f>
        <v>£170,000 - £174,999</v>
      </c>
      <c r="N674" t="str" cm="1">
        <f t="array" ref="N67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74">
        <f>FLOOR(Sales_Export_2019_2020__2[[#This Row],[order_value_GBP]],5000)</f>
        <v>170000</v>
      </c>
    </row>
    <row r="675" spans="1:15" x14ac:dyDescent="0.35">
      <c r="A675" t="s">
        <v>10</v>
      </c>
      <c r="B675" s="2">
        <v>151315.26</v>
      </c>
      <c r="C675" s="2">
        <v>121173.26</v>
      </c>
      <c r="D675" s="1">
        <v>43608</v>
      </c>
      <c r="E675" t="s">
        <v>30</v>
      </c>
      <c r="F675" t="s">
        <v>126</v>
      </c>
      <c r="G675" t="s">
        <v>13</v>
      </c>
      <c r="H675" t="s">
        <v>118</v>
      </c>
      <c r="I675" t="s">
        <v>28</v>
      </c>
      <c r="J675" t="s">
        <v>833</v>
      </c>
      <c r="K675" s="2">
        <f>Sales_Export_2019_2020__2[[#This Row],[order_value_GBP]]-Sales_Export_2019_2020__2[[#This Row],[ cost ]]</f>
        <v>30142.000000000015</v>
      </c>
      <c r="L675" t="b">
        <f>COUNTIF(Sales_Export_2019_2020__2[order_id],Sales_Export_2019_2020__2[[#This Row],[order_id]])&gt;1</f>
        <v>0</v>
      </c>
      <c r="M675" t="str">
        <f t="shared" si="11"/>
        <v>£150,000 - £154,999</v>
      </c>
      <c r="N675" t="str" cm="1">
        <f t="array" ref="N67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75">
        <f>FLOOR(Sales_Export_2019_2020__2[[#This Row],[order_value_GBP]],5000)</f>
        <v>150000</v>
      </c>
    </row>
    <row r="676" spans="1:15" x14ac:dyDescent="0.35">
      <c r="A676" t="s">
        <v>173</v>
      </c>
      <c r="B676" s="2">
        <v>50495.53</v>
      </c>
      <c r="C676" s="2">
        <v>40749.89</v>
      </c>
      <c r="D676" s="1">
        <v>44074</v>
      </c>
      <c r="E676" t="s">
        <v>60</v>
      </c>
      <c r="F676" t="s">
        <v>734</v>
      </c>
      <c r="G676" t="s">
        <v>175</v>
      </c>
      <c r="H676" t="s">
        <v>212</v>
      </c>
      <c r="I676" t="s">
        <v>15</v>
      </c>
      <c r="J676" t="s">
        <v>834</v>
      </c>
      <c r="K676" s="2">
        <f>Sales_Export_2019_2020__2[[#This Row],[order_value_GBP]]-Sales_Export_2019_2020__2[[#This Row],[ cost ]]</f>
        <v>9745.64</v>
      </c>
      <c r="L676" t="b">
        <f>COUNTIF(Sales_Export_2019_2020__2[order_id],Sales_Export_2019_2020__2[[#This Row],[order_id]])&gt;1</f>
        <v>0</v>
      </c>
      <c r="M676" t="str">
        <f t="shared" si="11"/>
        <v>£50,000 - £54,999</v>
      </c>
      <c r="N676" t="str" cm="1">
        <f t="array" ref="N67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76">
        <f>FLOOR(Sales_Export_2019_2020__2[[#This Row],[order_value_GBP]],5000)</f>
        <v>50000</v>
      </c>
    </row>
    <row r="677" spans="1:15" x14ac:dyDescent="0.35">
      <c r="A677" t="s">
        <v>45</v>
      </c>
      <c r="B677" s="2">
        <v>36534.089999999997</v>
      </c>
      <c r="C677" s="2">
        <v>31138</v>
      </c>
      <c r="D677" s="1">
        <v>44029</v>
      </c>
      <c r="E677" t="s">
        <v>51</v>
      </c>
      <c r="F677" t="s">
        <v>153</v>
      </c>
      <c r="G677" t="s">
        <v>48</v>
      </c>
      <c r="H677" t="s">
        <v>49</v>
      </c>
      <c r="I677" t="s">
        <v>28</v>
      </c>
      <c r="J677" t="s">
        <v>835</v>
      </c>
      <c r="K677" s="2">
        <f>Sales_Export_2019_2020__2[[#This Row],[order_value_GBP]]-Sales_Export_2019_2020__2[[#This Row],[ cost ]]</f>
        <v>5396.0899999999965</v>
      </c>
      <c r="L677" t="b">
        <f>COUNTIF(Sales_Export_2019_2020__2[order_id],Sales_Export_2019_2020__2[[#This Row],[order_id]])&gt;1</f>
        <v>0</v>
      </c>
      <c r="M677" t="str">
        <f t="shared" si="11"/>
        <v>£35,000 - £39,999</v>
      </c>
      <c r="N677" t="str" cm="1">
        <f t="array" ref="N67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77">
        <f>FLOOR(Sales_Export_2019_2020__2[[#This Row],[order_value_GBP]],5000)</f>
        <v>35000</v>
      </c>
    </row>
    <row r="678" spans="1:15" x14ac:dyDescent="0.35">
      <c r="A678" t="s">
        <v>53</v>
      </c>
      <c r="B678" s="2">
        <v>134243.39000000001</v>
      </c>
      <c r="C678" s="2">
        <v>113019.51</v>
      </c>
      <c r="D678" s="1">
        <v>43486</v>
      </c>
      <c r="E678" t="s">
        <v>30</v>
      </c>
      <c r="F678" t="s">
        <v>234</v>
      </c>
      <c r="G678" t="s">
        <v>55</v>
      </c>
      <c r="H678" t="s">
        <v>56</v>
      </c>
      <c r="I678" t="s">
        <v>28</v>
      </c>
      <c r="J678" t="s">
        <v>836</v>
      </c>
      <c r="K678" s="2">
        <f>Sales_Export_2019_2020__2[[#This Row],[order_value_GBP]]-Sales_Export_2019_2020__2[[#This Row],[ cost ]]</f>
        <v>21223.880000000019</v>
      </c>
      <c r="L678" t="b">
        <f>COUNTIF(Sales_Export_2019_2020__2[order_id],Sales_Export_2019_2020__2[[#This Row],[order_id]])&gt;1</f>
        <v>0</v>
      </c>
      <c r="M678" t="str">
        <f t="shared" si="11"/>
        <v>£130,000 - £134,999</v>
      </c>
      <c r="N678" t="str" cm="1">
        <f t="array" ref="N67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78">
        <f>FLOOR(Sales_Export_2019_2020__2[[#This Row],[order_value_GBP]],5000)</f>
        <v>130000</v>
      </c>
    </row>
    <row r="679" spans="1:15" x14ac:dyDescent="0.35">
      <c r="A679" t="s">
        <v>53</v>
      </c>
      <c r="B679" s="2">
        <v>56068.7</v>
      </c>
      <c r="C679" s="2">
        <v>47378.05</v>
      </c>
      <c r="D679" s="1">
        <v>43502</v>
      </c>
      <c r="E679" t="s">
        <v>18</v>
      </c>
      <c r="F679" t="s">
        <v>210</v>
      </c>
      <c r="G679" t="s">
        <v>55</v>
      </c>
      <c r="H679" t="s">
        <v>133</v>
      </c>
      <c r="I679" t="s">
        <v>28</v>
      </c>
      <c r="J679" t="s">
        <v>837</v>
      </c>
      <c r="K679" s="2">
        <f>Sales_Export_2019_2020__2[[#This Row],[order_value_GBP]]-Sales_Export_2019_2020__2[[#This Row],[ cost ]]</f>
        <v>8690.6499999999942</v>
      </c>
      <c r="L679" t="b">
        <f>COUNTIF(Sales_Export_2019_2020__2[order_id],Sales_Export_2019_2020__2[[#This Row],[order_id]])&gt;1</f>
        <v>0</v>
      </c>
      <c r="M679" t="str">
        <f t="shared" si="11"/>
        <v>£55,000 - £59,999</v>
      </c>
      <c r="N679" t="str" cm="1">
        <f t="array" ref="N67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79">
        <f>FLOOR(Sales_Export_2019_2020__2[[#This Row],[order_value_GBP]],5000)</f>
        <v>55000</v>
      </c>
    </row>
    <row r="680" spans="1:15" x14ac:dyDescent="0.35">
      <c r="A680" t="s">
        <v>53</v>
      </c>
      <c r="B680" s="2">
        <v>31161.759999999998</v>
      </c>
      <c r="C680" s="2">
        <v>27300.82</v>
      </c>
      <c r="D680" s="1">
        <v>43960</v>
      </c>
      <c r="E680" t="s">
        <v>30</v>
      </c>
      <c r="F680" t="s">
        <v>47</v>
      </c>
      <c r="G680" t="s">
        <v>55</v>
      </c>
      <c r="H680" t="s">
        <v>56</v>
      </c>
      <c r="I680" t="s">
        <v>15</v>
      </c>
      <c r="J680" t="s">
        <v>838</v>
      </c>
      <c r="K680" s="2">
        <f>Sales_Export_2019_2020__2[[#This Row],[order_value_GBP]]-Sales_Export_2019_2020__2[[#This Row],[ cost ]]</f>
        <v>3860.9399999999987</v>
      </c>
      <c r="L680" t="b">
        <f>COUNTIF(Sales_Export_2019_2020__2[order_id],Sales_Export_2019_2020__2[[#This Row],[order_id]])&gt;1</f>
        <v>0</v>
      </c>
      <c r="M680" t="str">
        <f t="shared" si="11"/>
        <v>£30,000 - £34,999</v>
      </c>
      <c r="N680" t="str" cm="1">
        <f t="array" ref="N68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80">
        <f>FLOOR(Sales_Export_2019_2020__2[[#This Row],[order_value_GBP]],5000)</f>
        <v>30000</v>
      </c>
    </row>
    <row r="681" spans="1:15" x14ac:dyDescent="0.35">
      <c r="A681" t="s">
        <v>53</v>
      </c>
      <c r="B681" s="2">
        <v>98915.41</v>
      </c>
      <c r="C681" s="2">
        <v>85176.06</v>
      </c>
      <c r="D681" s="1">
        <v>43923</v>
      </c>
      <c r="E681" t="s">
        <v>80</v>
      </c>
      <c r="F681" t="s">
        <v>43</v>
      </c>
      <c r="G681" t="s">
        <v>55</v>
      </c>
      <c r="H681" t="s">
        <v>133</v>
      </c>
      <c r="I681" t="s">
        <v>15</v>
      </c>
      <c r="J681" t="s">
        <v>839</v>
      </c>
      <c r="K681" s="2">
        <f>Sales_Export_2019_2020__2[[#This Row],[order_value_GBP]]-Sales_Export_2019_2020__2[[#This Row],[ cost ]]</f>
        <v>13739.350000000006</v>
      </c>
      <c r="L681" t="b">
        <f>COUNTIF(Sales_Export_2019_2020__2[order_id],Sales_Export_2019_2020__2[[#This Row],[order_id]])&gt;1</f>
        <v>0</v>
      </c>
      <c r="M681" t="str">
        <f t="shared" si="11"/>
        <v>£95,000 - £99,999</v>
      </c>
      <c r="N681" t="str" cm="1">
        <f t="array" ref="N68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81">
        <f>FLOOR(Sales_Export_2019_2020__2[[#This Row],[order_value_GBP]],5000)</f>
        <v>95000</v>
      </c>
    </row>
    <row r="682" spans="1:15" x14ac:dyDescent="0.35">
      <c r="A682" t="s">
        <v>173</v>
      </c>
      <c r="B682" s="2">
        <v>114232.68</v>
      </c>
      <c r="C682" s="2">
        <v>95795.520000000004</v>
      </c>
      <c r="D682" s="1">
        <v>43547</v>
      </c>
      <c r="E682" t="s">
        <v>24</v>
      </c>
      <c r="F682" t="s">
        <v>35</v>
      </c>
      <c r="G682" t="s">
        <v>175</v>
      </c>
      <c r="H682" t="s">
        <v>176</v>
      </c>
      <c r="I682" t="s">
        <v>38</v>
      </c>
      <c r="J682" t="s">
        <v>840</v>
      </c>
      <c r="K682" s="2">
        <f>Sales_Export_2019_2020__2[[#This Row],[order_value_GBP]]-Sales_Export_2019_2020__2[[#This Row],[ cost ]]</f>
        <v>18437.159999999989</v>
      </c>
      <c r="L682" t="b">
        <f>COUNTIF(Sales_Export_2019_2020__2[order_id],Sales_Export_2019_2020__2[[#This Row],[order_id]])&gt;1</f>
        <v>0</v>
      </c>
      <c r="M682" t="str">
        <f t="shared" si="11"/>
        <v>£110,000 - £114,999</v>
      </c>
      <c r="N682" t="str" cm="1">
        <f t="array" ref="N68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82">
        <f>FLOOR(Sales_Export_2019_2020__2[[#This Row],[order_value_GBP]],5000)</f>
        <v>110000</v>
      </c>
    </row>
    <row r="683" spans="1:15" x14ac:dyDescent="0.35">
      <c r="A683" t="s">
        <v>106</v>
      </c>
      <c r="B683" s="2">
        <v>71360.36</v>
      </c>
      <c r="C683" s="2">
        <v>59750.03</v>
      </c>
      <c r="D683" s="1">
        <v>43467</v>
      </c>
      <c r="E683" t="s">
        <v>80</v>
      </c>
      <c r="F683" t="s">
        <v>68</v>
      </c>
      <c r="G683" t="s">
        <v>107</v>
      </c>
      <c r="H683" t="s">
        <v>108</v>
      </c>
      <c r="I683" t="s">
        <v>28</v>
      </c>
      <c r="J683" t="s">
        <v>841</v>
      </c>
      <c r="K683" s="2">
        <f>Sales_Export_2019_2020__2[[#This Row],[order_value_GBP]]-Sales_Export_2019_2020__2[[#This Row],[ cost ]]</f>
        <v>11610.330000000002</v>
      </c>
      <c r="L683" t="b">
        <f>COUNTIF(Sales_Export_2019_2020__2[order_id],Sales_Export_2019_2020__2[[#This Row],[order_id]])&gt;1</f>
        <v>0</v>
      </c>
      <c r="M683" t="str">
        <f t="shared" si="11"/>
        <v>£70,000 - £74,999</v>
      </c>
      <c r="N683" t="str" cm="1">
        <f t="array" ref="N68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83">
        <f>FLOOR(Sales_Export_2019_2020__2[[#This Row],[order_value_GBP]],5000)</f>
        <v>70000</v>
      </c>
    </row>
    <row r="684" spans="1:15" x14ac:dyDescent="0.35">
      <c r="A684" t="s">
        <v>23</v>
      </c>
      <c r="B684" s="2">
        <v>87459.79</v>
      </c>
      <c r="C684" s="2">
        <v>69967.83</v>
      </c>
      <c r="D684" s="1">
        <v>44151</v>
      </c>
      <c r="E684" t="s">
        <v>30</v>
      </c>
      <c r="F684" t="s">
        <v>302</v>
      </c>
      <c r="G684" t="s">
        <v>26</v>
      </c>
      <c r="H684" t="s">
        <v>219</v>
      </c>
      <c r="I684" t="s">
        <v>15</v>
      </c>
      <c r="J684" t="s">
        <v>842</v>
      </c>
      <c r="K684" s="2">
        <f>Sales_Export_2019_2020__2[[#This Row],[order_value_GBP]]-Sales_Export_2019_2020__2[[#This Row],[ cost ]]</f>
        <v>17491.959999999992</v>
      </c>
      <c r="L684" t="b">
        <f>COUNTIF(Sales_Export_2019_2020__2[order_id],Sales_Export_2019_2020__2[[#This Row],[order_id]])&gt;1</f>
        <v>0</v>
      </c>
      <c r="M684" t="str">
        <f t="shared" si="11"/>
        <v>£85,000 - £89,999</v>
      </c>
      <c r="N684" t="str" cm="1">
        <f t="array" ref="N68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84">
        <f>FLOOR(Sales_Export_2019_2020__2[[#This Row],[order_value_GBP]],5000)</f>
        <v>85000</v>
      </c>
    </row>
    <row r="685" spans="1:15" x14ac:dyDescent="0.35">
      <c r="A685" t="s">
        <v>17</v>
      </c>
      <c r="B685" s="2">
        <v>52388.85</v>
      </c>
      <c r="C685" s="2">
        <v>45641.17</v>
      </c>
      <c r="D685" s="1">
        <v>44043</v>
      </c>
      <c r="E685" t="s">
        <v>80</v>
      </c>
      <c r="F685" t="s">
        <v>35</v>
      </c>
      <c r="G685" t="s">
        <v>20</v>
      </c>
      <c r="H685" t="s">
        <v>353</v>
      </c>
      <c r="I685" t="s">
        <v>28</v>
      </c>
      <c r="J685" t="s">
        <v>843</v>
      </c>
      <c r="K685" s="2">
        <f>Sales_Export_2019_2020__2[[#This Row],[order_value_GBP]]-Sales_Export_2019_2020__2[[#This Row],[ cost ]]</f>
        <v>6747.68</v>
      </c>
      <c r="L685" t="b">
        <f>COUNTIF(Sales_Export_2019_2020__2[order_id],Sales_Export_2019_2020__2[[#This Row],[order_id]])&gt;1</f>
        <v>0</v>
      </c>
      <c r="M685" t="str">
        <f t="shared" si="11"/>
        <v>£50,000 - £54,999</v>
      </c>
      <c r="N685" t="str" cm="1">
        <f t="array" ref="N68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85">
        <f>FLOOR(Sales_Export_2019_2020__2[[#This Row],[order_value_GBP]],5000)</f>
        <v>50000</v>
      </c>
    </row>
    <row r="686" spans="1:15" x14ac:dyDescent="0.35">
      <c r="A686" t="s">
        <v>10</v>
      </c>
      <c r="B686" s="2">
        <v>178304.35</v>
      </c>
      <c r="C686" s="2">
        <v>153573.54</v>
      </c>
      <c r="D686" s="1">
        <v>44174</v>
      </c>
      <c r="E686" t="s">
        <v>80</v>
      </c>
      <c r="F686" t="s">
        <v>121</v>
      </c>
      <c r="G686" t="s">
        <v>13</v>
      </c>
      <c r="H686" t="s">
        <v>170</v>
      </c>
      <c r="I686" t="s">
        <v>28</v>
      </c>
      <c r="J686" t="s">
        <v>844</v>
      </c>
      <c r="K686" s="2">
        <f>Sales_Export_2019_2020__2[[#This Row],[order_value_GBP]]-Sales_Export_2019_2020__2[[#This Row],[ cost ]]</f>
        <v>24730.809999999998</v>
      </c>
      <c r="L686" t="b">
        <f>COUNTIF(Sales_Export_2019_2020__2[order_id],Sales_Export_2019_2020__2[[#This Row],[order_id]])&gt;1</f>
        <v>0</v>
      </c>
      <c r="M686" t="str">
        <f t="shared" si="11"/>
        <v>£175,000 - £179,999</v>
      </c>
      <c r="N686" t="str" cm="1">
        <f t="array" ref="N68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686">
        <f>FLOOR(Sales_Export_2019_2020__2[[#This Row],[order_value_GBP]],5000)</f>
        <v>175000</v>
      </c>
    </row>
    <row r="687" spans="1:15" x14ac:dyDescent="0.35">
      <c r="A687" t="s">
        <v>45</v>
      </c>
      <c r="B687" s="2">
        <v>80013.81</v>
      </c>
      <c r="C687" s="2">
        <v>65587.320000000007</v>
      </c>
      <c r="D687" s="1">
        <v>43857</v>
      </c>
      <c r="E687" t="s">
        <v>80</v>
      </c>
      <c r="F687" t="s">
        <v>89</v>
      </c>
      <c r="G687" t="s">
        <v>48</v>
      </c>
      <c r="H687" t="s">
        <v>49</v>
      </c>
      <c r="I687" t="s">
        <v>28</v>
      </c>
      <c r="J687" t="s">
        <v>845</v>
      </c>
      <c r="K687" s="2">
        <f>Sales_Export_2019_2020__2[[#This Row],[order_value_GBP]]-Sales_Export_2019_2020__2[[#This Row],[ cost ]]</f>
        <v>14426.489999999991</v>
      </c>
      <c r="L687" t="b">
        <f>COUNTIF(Sales_Export_2019_2020__2[order_id],Sales_Export_2019_2020__2[[#This Row],[order_id]])&gt;1</f>
        <v>0</v>
      </c>
      <c r="M687" t="str">
        <f t="shared" si="11"/>
        <v>£80,000 - £84,999</v>
      </c>
      <c r="N687" t="str" cm="1">
        <f t="array" ref="N68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87">
        <f>FLOOR(Sales_Export_2019_2020__2[[#This Row],[order_value_GBP]],5000)</f>
        <v>80000</v>
      </c>
    </row>
    <row r="688" spans="1:15" x14ac:dyDescent="0.35">
      <c r="A688" t="s">
        <v>173</v>
      </c>
      <c r="B688" s="2">
        <v>88684.7</v>
      </c>
      <c r="C688" s="2">
        <v>75337.649999999994</v>
      </c>
      <c r="D688" s="1">
        <v>43853</v>
      </c>
      <c r="E688" t="s">
        <v>139</v>
      </c>
      <c r="F688" t="s">
        <v>168</v>
      </c>
      <c r="G688" t="s">
        <v>175</v>
      </c>
      <c r="H688" t="s">
        <v>212</v>
      </c>
      <c r="I688" t="s">
        <v>28</v>
      </c>
      <c r="J688" t="s">
        <v>846</v>
      </c>
      <c r="K688" s="2">
        <f>Sales_Export_2019_2020__2[[#This Row],[order_value_GBP]]-Sales_Export_2019_2020__2[[#This Row],[ cost ]]</f>
        <v>13347.050000000003</v>
      </c>
      <c r="L688" t="b">
        <f>COUNTIF(Sales_Export_2019_2020__2[order_id],Sales_Export_2019_2020__2[[#This Row],[order_id]])&gt;1</f>
        <v>0</v>
      </c>
      <c r="M688" t="str">
        <f t="shared" si="11"/>
        <v>£85,000 - £89,999</v>
      </c>
      <c r="N688" t="str" cm="1">
        <f t="array" ref="N68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88">
        <f>FLOOR(Sales_Export_2019_2020__2[[#This Row],[order_value_GBP]],5000)</f>
        <v>85000</v>
      </c>
    </row>
    <row r="689" spans="1:15" x14ac:dyDescent="0.35">
      <c r="A689" t="s">
        <v>45</v>
      </c>
      <c r="B689" s="2">
        <v>161773.31</v>
      </c>
      <c r="C689" s="2">
        <v>138283.82999999999</v>
      </c>
      <c r="D689" s="1">
        <v>43585</v>
      </c>
      <c r="E689" t="s">
        <v>11</v>
      </c>
      <c r="F689" t="s">
        <v>35</v>
      </c>
      <c r="G689" t="s">
        <v>48</v>
      </c>
      <c r="H689" t="s">
        <v>74</v>
      </c>
      <c r="I689" t="s">
        <v>28</v>
      </c>
      <c r="J689" t="s">
        <v>847</v>
      </c>
      <c r="K689" s="2">
        <f>Sales_Export_2019_2020__2[[#This Row],[order_value_GBP]]-Sales_Export_2019_2020__2[[#This Row],[ cost ]]</f>
        <v>23489.48000000001</v>
      </c>
      <c r="L689" t="b">
        <f>COUNTIF(Sales_Export_2019_2020__2[order_id],Sales_Export_2019_2020__2[[#This Row],[order_id]])&gt;1</f>
        <v>0</v>
      </c>
      <c r="M689" t="str">
        <f t="shared" si="11"/>
        <v>£160,000 - £164,999</v>
      </c>
      <c r="N689" t="str" cm="1">
        <f t="array" ref="N68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89">
        <f>FLOOR(Sales_Export_2019_2020__2[[#This Row],[order_value_GBP]],5000)</f>
        <v>160000</v>
      </c>
    </row>
    <row r="690" spans="1:15" x14ac:dyDescent="0.35">
      <c r="A690" t="s">
        <v>53</v>
      </c>
      <c r="B690" s="2">
        <v>108968.67</v>
      </c>
      <c r="C690" s="2">
        <v>88395.39</v>
      </c>
      <c r="D690" s="1">
        <v>43755</v>
      </c>
      <c r="E690" t="s">
        <v>11</v>
      </c>
      <c r="F690" t="s">
        <v>35</v>
      </c>
      <c r="G690" t="s">
        <v>55</v>
      </c>
      <c r="H690" t="s">
        <v>133</v>
      </c>
      <c r="I690" t="s">
        <v>28</v>
      </c>
      <c r="J690" t="s">
        <v>848</v>
      </c>
      <c r="K690" s="2">
        <f>Sales_Export_2019_2020__2[[#This Row],[order_value_GBP]]-Sales_Export_2019_2020__2[[#This Row],[ cost ]]</f>
        <v>20573.28</v>
      </c>
      <c r="L690" t="b">
        <f>COUNTIF(Sales_Export_2019_2020__2[order_id],Sales_Export_2019_2020__2[[#This Row],[order_id]])&gt;1</f>
        <v>0</v>
      </c>
      <c r="M690" t="str">
        <f t="shared" si="11"/>
        <v>£105,000 - £109,999</v>
      </c>
      <c r="N690" t="str" cm="1">
        <f t="array" ref="N69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90">
        <f>FLOOR(Sales_Export_2019_2020__2[[#This Row],[order_value_GBP]],5000)</f>
        <v>105000</v>
      </c>
    </row>
    <row r="691" spans="1:15" x14ac:dyDescent="0.35">
      <c r="A691" t="s">
        <v>45</v>
      </c>
      <c r="B691" s="2">
        <v>50374.22</v>
      </c>
      <c r="C691" s="2">
        <v>44047.22</v>
      </c>
      <c r="D691" s="1">
        <v>43745</v>
      </c>
      <c r="E691" t="s">
        <v>18</v>
      </c>
      <c r="F691" t="s">
        <v>97</v>
      </c>
      <c r="G691" t="s">
        <v>48</v>
      </c>
      <c r="H691" t="s">
        <v>66</v>
      </c>
      <c r="I691" t="s">
        <v>28</v>
      </c>
      <c r="J691" t="s">
        <v>849</v>
      </c>
      <c r="K691" s="2">
        <f>Sales_Export_2019_2020__2[[#This Row],[order_value_GBP]]-Sales_Export_2019_2020__2[[#This Row],[ cost ]]</f>
        <v>6327</v>
      </c>
      <c r="L691" t="b">
        <f>COUNTIF(Sales_Export_2019_2020__2[order_id],Sales_Export_2019_2020__2[[#This Row],[order_id]])&gt;1</f>
        <v>0</v>
      </c>
      <c r="M691" t="str">
        <f t="shared" si="11"/>
        <v>£50,000 - £54,999</v>
      </c>
      <c r="N691" t="str" cm="1">
        <f t="array" ref="N69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91">
        <f>FLOOR(Sales_Export_2019_2020__2[[#This Row],[order_value_GBP]],5000)</f>
        <v>50000</v>
      </c>
    </row>
    <row r="692" spans="1:15" x14ac:dyDescent="0.35">
      <c r="A692" t="s">
        <v>10</v>
      </c>
      <c r="B692" s="2">
        <v>174380.2</v>
      </c>
      <c r="C692" s="2">
        <v>151518.96</v>
      </c>
      <c r="D692" s="1">
        <v>43467</v>
      </c>
      <c r="E692" t="s">
        <v>51</v>
      </c>
      <c r="F692" t="s">
        <v>25</v>
      </c>
      <c r="G692" t="s">
        <v>13</v>
      </c>
      <c r="H692" t="s">
        <v>170</v>
      </c>
      <c r="I692" t="s">
        <v>28</v>
      </c>
      <c r="J692" t="s">
        <v>850</v>
      </c>
      <c r="K692" s="2">
        <f>Sales_Export_2019_2020__2[[#This Row],[order_value_GBP]]-Sales_Export_2019_2020__2[[#This Row],[ cost ]]</f>
        <v>22861.24000000002</v>
      </c>
      <c r="L692" t="b">
        <f>COUNTIF(Sales_Export_2019_2020__2[order_id],Sales_Export_2019_2020__2[[#This Row],[order_id]])&gt;1</f>
        <v>0</v>
      </c>
      <c r="M692" t="str">
        <f t="shared" si="11"/>
        <v>£170,000 - £174,999</v>
      </c>
      <c r="N692" t="str" cm="1">
        <f t="array" ref="N69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92">
        <f>FLOOR(Sales_Export_2019_2020__2[[#This Row],[order_value_GBP]],5000)</f>
        <v>170000</v>
      </c>
    </row>
    <row r="693" spans="1:15" x14ac:dyDescent="0.35">
      <c r="A693" t="s">
        <v>101</v>
      </c>
      <c r="B693" s="2">
        <v>81482.69</v>
      </c>
      <c r="C693" s="2">
        <v>64721.7</v>
      </c>
      <c r="D693" s="1">
        <v>43505</v>
      </c>
      <c r="E693" t="s">
        <v>80</v>
      </c>
      <c r="F693" t="s">
        <v>35</v>
      </c>
      <c r="G693" t="s">
        <v>103</v>
      </c>
      <c r="H693" t="s">
        <v>104</v>
      </c>
      <c r="I693" t="s">
        <v>28</v>
      </c>
      <c r="J693" t="s">
        <v>851</v>
      </c>
      <c r="K693" s="2">
        <f>Sales_Export_2019_2020__2[[#This Row],[order_value_GBP]]-Sales_Export_2019_2020__2[[#This Row],[ cost ]]</f>
        <v>16760.990000000005</v>
      </c>
      <c r="L693" t="b">
        <f>COUNTIF(Sales_Export_2019_2020__2[order_id],Sales_Export_2019_2020__2[[#This Row],[order_id]])&gt;1</f>
        <v>0</v>
      </c>
      <c r="M693" t="str">
        <f t="shared" si="11"/>
        <v>£80,000 - £84,999</v>
      </c>
      <c r="N693" t="str" cm="1">
        <f t="array" ref="N69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93">
        <f>FLOOR(Sales_Export_2019_2020__2[[#This Row],[order_value_GBP]],5000)</f>
        <v>80000</v>
      </c>
    </row>
    <row r="694" spans="1:15" x14ac:dyDescent="0.35">
      <c r="A694" t="s">
        <v>53</v>
      </c>
      <c r="B694" s="2">
        <v>108158.8</v>
      </c>
      <c r="C694" s="2">
        <v>89328.35</v>
      </c>
      <c r="D694" s="1">
        <v>44113</v>
      </c>
      <c r="E694" t="s">
        <v>51</v>
      </c>
      <c r="F694" t="s">
        <v>160</v>
      </c>
      <c r="G694" t="s">
        <v>55</v>
      </c>
      <c r="H694" t="s">
        <v>128</v>
      </c>
      <c r="I694" t="s">
        <v>28</v>
      </c>
      <c r="J694" t="s">
        <v>852</v>
      </c>
      <c r="K694" s="2">
        <f>Sales_Export_2019_2020__2[[#This Row],[order_value_GBP]]-Sales_Export_2019_2020__2[[#This Row],[ cost ]]</f>
        <v>18830.449999999997</v>
      </c>
      <c r="L694" t="b">
        <f>COUNTIF(Sales_Export_2019_2020__2[order_id],Sales_Export_2019_2020__2[[#This Row],[order_id]])&gt;1</f>
        <v>0</v>
      </c>
      <c r="M694" t="str">
        <f t="shared" si="11"/>
        <v>£105,000 - £109,999</v>
      </c>
      <c r="N694" t="str" cm="1">
        <f t="array" ref="N69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94">
        <f>FLOOR(Sales_Export_2019_2020__2[[#This Row],[order_value_GBP]],5000)</f>
        <v>105000</v>
      </c>
    </row>
    <row r="695" spans="1:15" x14ac:dyDescent="0.35">
      <c r="A695" t="s">
        <v>23</v>
      </c>
      <c r="B695" s="2">
        <v>76943.740000000005</v>
      </c>
      <c r="C695" s="2">
        <v>62870.73</v>
      </c>
      <c r="D695" s="1">
        <v>43617</v>
      </c>
      <c r="E695" t="s">
        <v>80</v>
      </c>
      <c r="F695" t="s">
        <v>35</v>
      </c>
      <c r="G695" t="s">
        <v>26</v>
      </c>
      <c r="H695" t="s">
        <v>27</v>
      </c>
      <c r="I695" t="s">
        <v>28</v>
      </c>
      <c r="J695" t="s">
        <v>853</v>
      </c>
      <c r="K695" s="2">
        <f>Sales_Export_2019_2020__2[[#This Row],[order_value_GBP]]-Sales_Export_2019_2020__2[[#This Row],[ cost ]]</f>
        <v>14073.010000000002</v>
      </c>
      <c r="L695" t="b">
        <f>COUNTIF(Sales_Export_2019_2020__2[order_id],Sales_Export_2019_2020__2[[#This Row],[order_id]])&gt;1</f>
        <v>0</v>
      </c>
      <c r="M695" t="str">
        <f t="shared" si="11"/>
        <v>£75,000 - £79,999</v>
      </c>
      <c r="N695" t="str" cm="1">
        <f t="array" ref="N69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95">
        <f>FLOOR(Sales_Export_2019_2020__2[[#This Row],[order_value_GBP]],5000)</f>
        <v>75000</v>
      </c>
    </row>
    <row r="696" spans="1:15" x14ac:dyDescent="0.35">
      <c r="A696" t="s">
        <v>23</v>
      </c>
      <c r="B696" s="2">
        <v>57345.79</v>
      </c>
      <c r="C696" s="2">
        <v>45716.06</v>
      </c>
      <c r="D696" s="1">
        <v>44144</v>
      </c>
      <c r="E696" t="s">
        <v>24</v>
      </c>
      <c r="F696" t="s">
        <v>155</v>
      </c>
      <c r="G696" t="s">
        <v>26</v>
      </c>
      <c r="H696" t="s">
        <v>90</v>
      </c>
      <c r="I696" t="s">
        <v>28</v>
      </c>
      <c r="J696" t="s">
        <v>854</v>
      </c>
      <c r="K696" s="2">
        <f>Sales_Export_2019_2020__2[[#This Row],[order_value_GBP]]-Sales_Export_2019_2020__2[[#This Row],[ cost ]]</f>
        <v>11629.730000000003</v>
      </c>
      <c r="L696" t="b">
        <f>COUNTIF(Sales_Export_2019_2020__2[order_id],Sales_Export_2019_2020__2[[#This Row],[order_id]])&gt;1</f>
        <v>0</v>
      </c>
      <c r="M696" t="str">
        <f t="shared" si="11"/>
        <v>£55,000 - £59,999</v>
      </c>
      <c r="N696" t="str" cm="1">
        <f t="array" ref="N69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96">
        <f>FLOOR(Sales_Export_2019_2020__2[[#This Row],[order_value_GBP]],5000)</f>
        <v>55000</v>
      </c>
    </row>
    <row r="697" spans="1:15" x14ac:dyDescent="0.35">
      <c r="A697" t="s">
        <v>10</v>
      </c>
      <c r="B697" s="2">
        <v>71049.09</v>
      </c>
      <c r="C697" s="2">
        <v>58842.86</v>
      </c>
      <c r="D697" s="1">
        <v>43692</v>
      </c>
      <c r="E697" t="s">
        <v>62</v>
      </c>
      <c r="F697" t="s">
        <v>254</v>
      </c>
      <c r="G697" t="s">
        <v>13</v>
      </c>
      <c r="H697" t="s">
        <v>14</v>
      </c>
      <c r="I697" t="s">
        <v>28</v>
      </c>
      <c r="J697" t="s">
        <v>855</v>
      </c>
      <c r="K697" s="2">
        <f>Sales_Export_2019_2020__2[[#This Row],[order_value_GBP]]-Sales_Export_2019_2020__2[[#This Row],[ cost ]]</f>
        <v>12206.229999999996</v>
      </c>
      <c r="L697" t="b">
        <f>COUNTIF(Sales_Export_2019_2020__2[order_id],Sales_Export_2019_2020__2[[#This Row],[order_id]])&gt;1</f>
        <v>0</v>
      </c>
      <c r="M697" t="str">
        <f t="shared" si="11"/>
        <v>£70,000 - £74,999</v>
      </c>
      <c r="N697" t="str" cm="1">
        <f t="array" ref="N69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97">
        <f>FLOOR(Sales_Export_2019_2020__2[[#This Row],[order_value_GBP]],5000)</f>
        <v>70000</v>
      </c>
    </row>
    <row r="698" spans="1:15" x14ac:dyDescent="0.35">
      <c r="A698" t="s">
        <v>53</v>
      </c>
      <c r="B698" s="2">
        <v>79205.19</v>
      </c>
      <c r="C698" s="2">
        <v>65423.49</v>
      </c>
      <c r="D698" s="1">
        <v>43592</v>
      </c>
      <c r="E698" t="s">
        <v>18</v>
      </c>
      <c r="F698" t="s">
        <v>158</v>
      </c>
      <c r="G698" t="s">
        <v>55</v>
      </c>
      <c r="H698" t="s">
        <v>144</v>
      </c>
      <c r="I698" t="s">
        <v>38</v>
      </c>
      <c r="J698" t="s">
        <v>856</v>
      </c>
      <c r="K698" s="2">
        <f>Sales_Export_2019_2020__2[[#This Row],[order_value_GBP]]-Sales_Export_2019_2020__2[[#This Row],[ cost ]]</f>
        <v>13781.700000000004</v>
      </c>
      <c r="L698" t="b">
        <f>COUNTIF(Sales_Export_2019_2020__2[order_id],Sales_Export_2019_2020__2[[#This Row],[order_id]])&gt;1</f>
        <v>0</v>
      </c>
      <c r="M698" t="str">
        <f t="shared" si="11"/>
        <v>£75,000 - £79,999</v>
      </c>
      <c r="N698" t="str" cm="1">
        <f t="array" ref="N69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698">
        <f>FLOOR(Sales_Export_2019_2020__2[[#This Row],[order_value_GBP]],5000)</f>
        <v>75000</v>
      </c>
    </row>
    <row r="699" spans="1:15" x14ac:dyDescent="0.35">
      <c r="A699" t="s">
        <v>53</v>
      </c>
      <c r="B699" s="2">
        <v>42290.45</v>
      </c>
      <c r="C699" s="2">
        <v>34255.26</v>
      </c>
      <c r="D699" s="1">
        <v>43779</v>
      </c>
      <c r="E699" t="s">
        <v>24</v>
      </c>
      <c r="F699" t="s">
        <v>155</v>
      </c>
      <c r="G699" t="s">
        <v>55</v>
      </c>
      <c r="H699" t="s">
        <v>144</v>
      </c>
      <c r="I699" t="s">
        <v>38</v>
      </c>
      <c r="J699" t="s">
        <v>857</v>
      </c>
      <c r="K699" s="2">
        <f>Sales_Export_2019_2020__2[[#This Row],[order_value_GBP]]-Sales_Export_2019_2020__2[[#This Row],[ cost ]]</f>
        <v>8035.1899999999951</v>
      </c>
      <c r="L699" t="b">
        <f>COUNTIF(Sales_Export_2019_2020__2[order_id],Sales_Export_2019_2020__2[[#This Row],[order_id]])&gt;1</f>
        <v>0</v>
      </c>
      <c r="M699" t="str">
        <f t="shared" si="11"/>
        <v>£40,000 - £44,999</v>
      </c>
      <c r="N699" t="str" cm="1">
        <f t="array" ref="N69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699">
        <f>FLOOR(Sales_Export_2019_2020__2[[#This Row],[order_value_GBP]],5000)</f>
        <v>40000</v>
      </c>
    </row>
    <row r="700" spans="1:15" x14ac:dyDescent="0.35">
      <c r="A700" t="s">
        <v>53</v>
      </c>
      <c r="B700" s="2">
        <v>110090.36</v>
      </c>
      <c r="C700" s="2">
        <v>93433.69</v>
      </c>
      <c r="D700" s="1">
        <v>43497</v>
      </c>
      <c r="E700" t="s">
        <v>24</v>
      </c>
      <c r="F700" t="s">
        <v>168</v>
      </c>
      <c r="G700" t="s">
        <v>55</v>
      </c>
      <c r="H700" t="s">
        <v>56</v>
      </c>
      <c r="I700" t="s">
        <v>28</v>
      </c>
      <c r="J700" t="s">
        <v>858</v>
      </c>
      <c r="K700" s="2">
        <f>Sales_Export_2019_2020__2[[#This Row],[order_value_GBP]]-Sales_Export_2019_2020__2[[#This Row],[ cost ]]</f>
        <v>16656.669999999998</v>
      </c>
      <c r="L700" t="b">
        <f>COUNTIF(Sales_Export_2019_2020__2[order_id],Sales_Export_2019_2020__2[[#This Row],[order_id]])&gt;1</f>
        <v>0</v>
      </c>
      <c r="M700" t="str">
        <f t="shared" si="11"/>
        <v>£110,000 - £114,999</v>
      </c>
      <c r="N700" t="str" cm="1">
        <f t="array" ref="N70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00">
        <f>FLOOR(Sales_Export_2019_2020__2[[#This Row],[order_value_GBP]],5000)</f>
        <v>110000</v>
      </c>
    </row>
    <row r="701" spans="1:15" x14ac:dyDescent="0.35">
      <c r="A701" t="s">
        <v>53</v>
      </c>
      <c r="B701" s="2">
        <v>121043.69</v>
      </c>
      <c r="C701" s="2">
        <v>96750.22</v>
      </c>
      <c r="D701" s="1">
        <v>44102</v>
      </c>
      <c r="E701" t="s">
        <v>11</v>
      </c>
      <c r="F701" t="s">
        <v>31</v>
      </c>
      <c r="G701" t="s">
        <v>55</v>
      </c>
      <c r="H701" t="s">
        <v>128</v>
      </c>
      <c r="I701" t="s">
        <v>28</v>
      </c>
      <c r="J701" t="s">
        <v>859</v>
      </c>
      <c r="K701" s="2">
        <f>Sales_Export_2019_2020__2[[#This Row],[order_value_GBP]]-Sales_Export_2019_2020__2[[#This Row],[ cost ]]</f>
        <v>24293.47</v>
      </c>
      <c r="L701" t="b">
        <f>COUNTIF(Sales_Export_2019_2020__2[order_id],Sales_Export_2019_2020__2[[#This Row],[order_id]])&gt;1</f>
        <v>0</v>
      </c>
      <c r="M701" t="str">
        <f t="shared" si="11"/>
        <v>£120,000 - £124,999</v>
      </c>
      <c r="N701" t="str" cm="1">
        <f t="array" ref="N70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01">
        <f>FLOOR(Sales_Export_2019_2020__2[[#This Row],[order_value_GBP]],5000)</f>
        <v>120000</v>
      </c>
    </row>
    <row r="702" spans="1:15" x14ac:dyDescent="0.35">
      <c r="A702" t="s">
        <v>17</v>
      </c>
      <c r="B702" s="2">
        <v>130251.55</v>
      </c>
      <c r="C702" s="2">
        <v>105386.53</v>
      </c>
      <c r="D702" s="1">
        <v>43682</v>
      </c>
      <c r="E702" t="s">
        <v>30</v>
      </c>
      <c r="F702" t="s">
        <v>35</v>
      </c>
      <c r="G702" t="s">
        <v>20</v>
      </c>
      <c r="H702" t="s">
        <v>353</v>
      </c>
      <c r="I702" t="s">
        <v>28</v>
      </c>
      <c r="J702" t="s">
        <v>860</v>
      </c>
      <c r="K702" s="2">
        <f>Sales_Export_2019_2020__2[[#This Row],[order_value_GBP]]-Sales_Export_2019_2020__2[[#This Row],[ cost ]]</f>
        <v>24865.020000000004</v>
      </c>
      <c r="L702" t="b">
        <f>COUNTIF(Sales_Export_2019_2020__2[order_id],Sales_Export_2019_2020__2[[#This Row],[order_id]])&gt;1</f>
        <v>0</v>
      </c>
      <c r="M702" t="str">
        <f t="shared" si="11"/>
        <v>£130,000 - £134,999</v>
      </c>
      <c r="N702" t="str" cm="1">
        <f t="array" ref="N70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02">
        <f>FLOOR(Sales_Export_2019_2020__2[[#This Row],[order_value_GBP]],5000)</f>
        <v>130000</v>
      </c>
    </row>
    <row r="703" spans="1:15" x14ac:dyDescent="0.35">
      <c r="A703" t="s">
        <v>53</v>
      </c>
      <c r="B703" s="2">
        <v>156110.39999999999</v>
      </c>
      <c r="C703" s="2">
        <v>132584.56</v>
      </c>
      <c r="D703" s="1">
        <v>43668</v>
      </c>
      <c r="E703" t="s">
        <v>30</v>
      </c>
      <c r="F703" t="s">
        <v>327</v>
      </c>
      <c r="G703" t="s">
        <v>55</v>
      </c>
      <c r="H703" t="s">
        <v>56</v>
      </c>
      <c r="I703" t="s">
        <v>28</v>
      </c>
      <c r="J703" t="s">
        <v>861</v>
      </c>
      <c r="K703" s="2">
        <f>Sales_Export_2019_2020__2[[#This Row],[order_value_GBP]]-Sales_Export_2019_2020__2[[#This Row],[ cost ]]</f>
        <v>23525.839999999997</v>
      </c>
      <c r="L703" t="b">
        <f>COUNTIF(Sales_Export_2019_2020__2[order_id],Sales_Export_2019_2020__2[[#This Row],[order_id]])&gt;1</f>
        <v>0</v>
      </c>
      <c r="M703" t="str">
        <f t="shared" si="11"/>
        <v>£155,000 - £159,999</v>
      </c>
      <c r="N703" t="str" cm="1">
        <f t="array" ref="N70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03">
        <f>FLOOR(Sales_Export_2019_2020__2[[#This Row],[order_value_GBP]],5000)</f>
        <v>155000</v>
      </c>
    </row>
    <row r="704" spans="1:15" x14ac:dyDescent="0.35">
      <c r="A704" t="s">
        <v>10</v>
      </c>
      <c r="B704" s="2">
        <v>122273</v>
      </c>
      <c r="C704" s="2">
        <v>104531.19</v>
      </c>
      <c r="D704" s="1">
        <v>43837</v>
      </c>
      <c r="E704" t="s">
        <v>51</v>
      </c>
      <c r="F704" t="s">
        <v>302</v>
      </c>
      <c r="G704" t="s">
        <v>13</v>
      </c>
      <c r="H704" t="s">
        <v>118</v>
      </c>
      <c r="I704" t="s">
        <v>28</v>
      </c>
      <c r="J704" t="s">
        <v>862</v>
      </c>
      <c r="K704" s="2">
        <f>Sales_Export_2019_2020__2[[#This Row],[order_value_GBP]]-Sales_Export_2019_2020__2[[#This Row],[ cost ]]</f>
        <v>17741.809999999998</v>
      </c>
      <c r="L704" t="b">
        <f>COUNTIF(Sales_Export_2019_2020__2[order_id],Sales_Export_2019_2020__2[[#This Row],[order_id]])&gt;1</f>
        <v>0</v>
      </c>
      <c r="M704" t="str">
        <f t="shared" si="11"/>
        <v>£120,000 - £124,999</v>
      </c>
      <c r="N704" t="str" cm="1">
        <f t="array" ref="N70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04">
        <f>FLOOR(Sales_Export_2019_2020__2[[#This Row],[order_value_GBP]],5000)</f>
        <v>120000</v>
      </c>
    </row>
    <row r="705" spans="1:15" x14ac:dyDescent="0.35">
      <c r="A705" t="s">
        <v>23</v>
      </c>
      <c r="B705" s="2">
        <v>126021.1</v>
      </c>
      <c r="C705" s="2">
        <v>101762.04</v>
      </c>
      <c r="D705" s="1">
        <v>43995</v>
      </c>
      <c r="E705" t="s">
        <v>30</v>
      </c>
      <c r="F705" t="s">
        <v>35</v>
      </c>
      <c r="G705" t="s">
        <v>26</v>
      </c>
      <c r="H705" t="s">
        <v>90</v>
      </c>
      <c r="I705" t="s">
        <v>15</v>
      </c>
      <c r="J705" t="s">
        <v>863</v>
      </c>
      <c r="K705" s="2">
        <f>Sales_Export_2019_2020__2[[#This Row],[order_value_GBP]]-Sales_Export_2019_2020__2[[#This Row],[ cost ]]</f>
        <v>24259.060000000012</v>
      </c>
      <c r="L705" t="b">
        <f>COUNTIF(Sales_Export_2019_2020__2[order_id],Sales_Export_2019_2020__2[[#This Row],[order_id]])&gt;1</f>
        <v>0</v>
      </c>
      <c r="M705" t="str">
        <f t="shared" si="11"/>
        <v>£125,000 - £129,999</v>
      </c>
      <c r="N705" t="str" cm="1">
        <f t="array" ref="N70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05">
        <f>FLOOR(Sales_Export_2019_2020__2[[#This Row],[order_value_GBP]],5000)</f>
        <v>125000</v>
      </c>
    </row>
    <row r="706" spans="1:15" x14ac:dyDescent="0.35">
      <c r="A706" t="s">
        <v>10</v>
      </c>
      <c r="B706" s="2">
        <v>69565.47</v>
      </c>
      <c r="C706" s="2">
        <v>57808.91</v>
      </c>
      <c r="D706" s="1">
        <v>43974</v>
      </c>
      <c r="E706" t="s">
        <v>30</v>
      </c>
      <c r="F706" t="s">
        <v>35</v>
      </c>
      <c r="G706" t="s">
        <v>13</v>
      </c>
      <c r="H706" t="s">
        <v>69</v>
      </c>
      <c r="I706" t="s">
        <v>28</v>
      </c>
      <c r="J706" t="s">
        <v>864</v>
      </c>
      <c r="K706" s="2">
        <f>Sales_Export_2019_2020__2[[#This Row],[order_value_GBP]]-Sales_Export_2019_2020__2[[#This Row],[ cost ]]</f>
        <v>11756.559999999998</v>
      </c>
      <c r="L706" t="b">
        <f>COUNTIF(Sales_Export_2019_2020__2[order_id],Sales_Export_2019_2020__2[[#This Row],[order_id]])&gt;1</f>
        <v>0</v>
      </c>
      <c r="M706" t="str">
        <f t="shared" si="11"/>
        <v>£65,000 - £69,999</v>
      </c>
      <c r="N706" t="str" cm="1">
        <f t="array" ref="N70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06">
        <f>FLOOR(Sales_Export_2019_2020__2[[#This Row],[order_value_GBP]],5000)</f>
        <v>65000</v>
      </c>
    </row>
    <row r="707" spans="1:15" x14ac:dyDescent="0.35">
      <c r="A707" t="s">
        <v>101</v>
      </c>
      <c r="B707" s="2">
        <v>174271.91</v>
      </c>
      <c r="C707" s="2">
        <v>142083.89000000001</v>
      </c>
      <c r="D707" s="1">
        <v>43605</v>
      </c>
      <c r="E707" t="s">
        <v>24</v>
      </c>
      <c r="F707" t="s">
        <v>31</v>
      </c>
      <c r="G707" t="s">
        <v>103</v>
      </c>
      <c r="H707" t="s">
        <v>104</v>
      </c>
      <c r="I707" t="s">
        <v>28</v>
      </c>
      <c r="J707" t="s">
        <v>865</v>
      </c>
      <c r="K707" s="2">
        <f>Sales_Export_2019_2020__2[[#This Row],[order_value_GBP]]-Sales_Export_2019_2020__2[[#This Row],[ cost ]]</f>
        <v>32188.01999999999</v>
      </c>
      <c r="L707" t="b">
        <f>COUNTIF(Sales_Export_2019_2020__2[order_id],Sales_Export_2019_2020__2[[#This Row],[order_id]])&gt;1</f>
        <v>0</v>
      </c>
      <c r="M707" t="str">
        <f t="shared" si="11"/>
        <v>£170,000 - £174,999</v>
      </c>
      <c r="N707" t="str" cm="1">
        <f t="array" ref="N70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07">
        <f>FLOOR(Sales_Export_2019_2020__2[[#This Row],[order_value_GBP]],5000)</f>
        <v>170000</v>
      </c>
    </row>
    <row r="708" spans="1:15" x14ac:dyDescent="0.35">
      <c r="A708" t="s">
        <v>23</v>
      </c>
      <c r="B708" s="2">
        <v>61994.02</v>
      </c>
      <c r="C708" s="2">
        <v>54250.97</v>
      </c>
      <c r="D708" s="1">
        <v>43515</v>
      </c>
      <c r="E708" t="s">
        <v>11</v>
      </c>
      <c r="F708" t="s">
        <v>114</v>
      </c>
      <c r="G708" t="s">
        <v>26</v>
      </c>
      <c r="H708" t="s">
        <v>76</v>
      </c>
      <c r="I708" t="s">
        <v>28</v>
      </c>
      <c r="J708" t="s">
        <v>866</v>
      </c>
      <c r="K708" s="2">
        <f>Sales_Export_2019_2020__2[[#This Row],[order_value_GBP]]-Sales_Export_2019_2020__2[[#This Row],[ cost ]]</f>
        <v>7743.0499999999956</v>
      </c>
      <c r="L708" t="b">
        <f>COUNTIF(Sales_Export_2019_2020__2[order_id],Sales_Export_2019_2020__2[[#This Row],[order_id]])&gt;1</f>
        <v>0</v>
      </c>
      <c r="M708" t="str">
        <f t="shared" si="11"/>
        <v>£60,000 - £64,999</v>
      </c>
      <c r="N708" t="str" cm="1">
        <f t="array" ref="N70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08">
        <f>FLOOR(Sales_Export_2019_2020__2[[#This Row],[order_value_GBP]],5000)</f>
        <v>60000</v>
      </c>
    </row>
    <row r="709" spans="1:15" x14ac:dyDescent="0.35">
      <c r="A709" t="s">
        <v>10</v>
      </c>
      <c r="B709" s="2">
        <v>207379.28</v>
      </c>
      <c r="C709" s="2">
        <v>166442.60999999999</v>
      </c>
      <c r="D709" s="1">
        <v>43817</v>
      </c>
      <c r="E709" t="s">
        <v>46</v>
      </c>
      <c r="F709" t="s">
        <v>92</v>
      </c>
      <c r="G709" t="s">
        <v>13</v>
      </c>
      <c r="H709" t="s">
        <v>69</v>
      </c>
      <c r="I709" t="s">
        <v>28</v>
      </c>
      <c r="J709" t="s">
        <v>867</v>
      </c>
      <c r="K709" s="2">
        <f>Sales_Export_2019_2020__2[[#This Row],[order_value_GBP]]-Sales_Export_2019_2020__2[[#This Row],[ cost ]]</f>
        <v>40936.670000000013</v>
      </c>
      <c r="L709" t="b">
        <f>COUNTIF(Sales_Export_2019_2020__2[order_id],Sales_Export_2019_2020__2[[#This Row],[order_id]])&gt;1</f>
        <v>0</v>
      </c>
      <c r="M709" t="str">
        <f t="shared" si="11"/>
        <v>£205,000 - £209,999</v>
      </c>
      <c r="N709" t="str" cm="1">
        <f t="array" ref="N70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09">
        <f>FLOOR(Sales_Export_2019_2020__2[[#This Row],[order_value_GBP]],5000)</f>
        <v>205000</v>
      </c>
    </row>
    <row r="710" spans="1:15" x14ac:dyDescent="0.35">
      <c r="A710" t="s">
        <v>10</v>
      </c>
      <c r="B710" s="2">
        <v>153823.74</v>
      </c>
      <c r="C710" s="2">
        <v>129258.09</v>
      </c>
      <c r="D710" s="1">
        <v>44165</v>
      </c>
      <c r="E710" t="s">
        <v>80</v>
      </c>
      <c r="F710" t="s">
        <v>188</v>
      </c>
      <c r="G710" t="s">
        <v>13</v>
      </c>
      <c r="H710" t="s">
        <v>69</v>
      </c>
      <c r="I710" t="s">
        <v>15</v>
      </c>
      <c r="J710" t="s">
        <v>868</v>
      </c>
      <c r="K710" s="2">
        <f>Sales_Export_2019_2020__2[[#This Row],[order_value_GBP]]-Sales_Export_2019_2020__2[[#This Row],[ cost ]]</f>
        <v>24565.649999999994</v>
      </c>
      <c r="L710" t="b">
        <f>COUNTIF(Sales_Export_2019_2020__2[order_id],Sales_Export_2019_2020__2[[#This Row],[order_id]])&gt;1</f>
        <v>0</v>
      </c>
      <c r="M710" t="str">
        <f t="shared" si="11"/>
        <v>£150,000 - £154,999</v>
      </c>
      <c r="N710" t="str" cm="1">
        <f t="array" ref="N71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10">
        <f>FLOOR(Sales_Export_2019_2020__2[[#This Row],[order_value_GBP]],5000)</f>
        <v>150000</v>
      </c>
    </row>
    <row r="711" spans="1:15" x14ac:dyDescent="0.35">
      <c r="A711" t="s">
        <v>23</v>
      </c>
      <c r="B711" s="2">
        <v>251003.51</v>
      </c>
      <c r="C711" s="2">
        <v>214105.99</v>
      </c>
      <c r="D711" s="1">
        <v>43676</v>
      </c>
      <c r="E711" t="s">
        <v>24</v>
      </c>
      <c r="F711" t="s">
        <v>19</v>
      </c>
      <c r="G711" t="s">
        <v>26</v>
      </c>
      <c r="H711" t="s">
        <v>90</v>
      </c>
      <c r="I711" t="s">
        <v>28</v>
      </c>
      <c r="J711" t="s">
        <v>869</v>
      </c>
      <c r="K711" s="2">
        <f>Sales_Export_2019_2020__2[[#This Row],[order_value_GBP]]-Sales_Export_2019_2020__2[[#This Row],[ cost ]]</f>
        <v>36897.520000000019</v>
      </c>
      <c r="L711" t="b">
        <f>COUNTIF(Sales_Export_2019_2020__2[order_id],Sales_Export_2019_2020__2[[#This Row],[order_id]])&gt;1</f>
        <v>0</v>
      </c>
      <c r="M711" t="str">
        <f t="shared" si="11"/>
        <v>£250,000 - £254,999</v>
      </c>
      <c r="N711" t="str" cm="1">
        <f t="array" ref="N71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11">
        <f>FLOOR(Sales_Export_2019_2020__2[[#This Row],[order_value_GBP]],5000)</f>
        <v>250000</v>
      </c>
    </row>
    <row r="712" spans="1:15" x14ac:dyDescent="0.35">
      <c r="A712" t="s">
        <v>45</v>
      </c>
      <c r="B712" s="2">
        <v>78013.63</v>
      </c>
      <c r="C712" s="2">
        <v>64509.47</v>
      </c>
      <c r="D712" s="1">
        <v>43925</v>
      </c>
      <c r="E712" t="s">
        <v>24</v>
      </c>
      <c r="F712" t="s">
        <v>116</v>
      </c>
      <c r="G712" t="s">
        <v>48</v>
      </c>
      <c r="H712" t="s">
        <v>66</v>
      </c>
      <c r="I712" t="s">
        <v>28</v>
      </c>
      <c r="J712" t="s">
        <v>870</v>
      </c>
      <c r="K712" s="2">
        <f>Sales_Export_2019_2020__2[[#This Row],[order_value_GBP]]-Sales_Export_2019_2020__2[[#This Row],[ cost ]]</f>
        <v>13504.160000000003</v>
      </c>
      <c r="L712" t="b">
        <f>COUNTIF(Sales_Export_2019_2020__2[order_id],Sales_Export_2019_2020__2[[#This Row],[order_id]])&gt;1</f>
        <v>0</v>
      </c>
      <c r="M712" t="str">
        <f t="shared" si="11"/>
        <v>£75,000 - £79,999</v>
      </c>
      <c r="N712" t="str" cm="1">
        <f t="array" ref="N71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12">
        <f>FLOOR(Sales_Export_2019_2020__2[[#This Row],[order_value_GBP]],5000)</f>
        <v>75000</v>
      </c>
    </row>
    <row r="713" spans="1:15" x14ac:dyDescent="0.35">
      <c r="A713" t="s">
        <v>17</v>
      </c>
      <c r="B713" s="2">
        <v>204138.34</v>
      </c>
      <c r="C713" s="2">
        <v>165617.44</v>
      </c>
      <c r="D713" s="1">
        <v>43636</v>
      </c>
      <c r="E713" t="s">
        <v>24</v>
      </c>
      <c r="F713" t="s">
        <v>434</v>
      </c>
      <c r="G713" t="s">
        <v>20</v>
      </c>
      <c r="H713" t="s">
        <v>21</v>
      </c>
      <c r="I713" t="s">
        <v>38</v>
      </c>
      <c r="J713" t="s">
        <v>871</v>
      </c>
      <c r="K713" s="2">
        <f>Sales_Export_2019_2020__2[[#This Row],[order_value_GBP]]-Sales_Export_2019_2020__2[[#This Row],[ cost ]]</f>
        <v>38520.899999999994</v>
      </c>
      <c r="L713" t="b">
        <f>COUNTIF(Sales_Export_2019_2020__2[order_id],Sales_Export_2019_2020__2[[#This Row],[order_id]])&gt;1</f>
        <v>0</v>
      </c>
      <c r="M713" t="str">
        <f t="shared" si="11"/>
        <v>£200,000 - £204,999</v>
      </c>
      <c r="N713" t="str" cm="1">
        <f t="array" ref="N71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13">
        <f>FLOOR(Sales_Export_2019_2020__2[[#This Row],[order_value_GBP]],5000)</f>
        <v>200000</v>
      </c>
    </row>
    <row r="714" spans="1:15" x14ac:dyDescent="0.35">
      <c r="A714" t="s">
        <v>173</v>
      </c>
      <c r="B714" s="2">
        <v>81358.58</v>
      </c>
      <c r="C714" s="2">
        <v>68918.850000000006</v>
      </c>
      <c r="D714" s="1">
        <v>44064</v>
      </c>
      <c r="E714" t="s">
        <v>11</v>
      </c>
      <c r="F714" t="s">
        <v>68</v>
      </c>
      <c r="G714" t="s">
        <v>175</v>
      </c>
      <c r="H714" t="s">
        <v>212</v>
      </c>
      <c r="I714" t="s">
        <v>15</v>
      </c>
      <c r="J714" t="s">
        <v>872</v>
      </c>
      <c r="K714" s="2">
        <f>Sales_Export_2019_2020__2[[#This Row],[order_value_GBP]]-Sales_Export_2019_2020__2[[#This Row],[ cost ]]</f>
        <v>12439.729999999996</v>
      </c>
      <c r="L714" t="b">
        <f>COUNTIF(Sales_Export_2019_2020__2[order_id],Sales_Export_2019_2020__2[[#This Row],[order_id]])&gt;1</f>
        <v>0</v>
      </c>
      <c r="M714" t="str">
        <f t="shared" si="11"/>
        <v>£80,000 - £84,999</v>
      </c>
      <c r="N714" t="str" cm="1">
        <f t="array" ref="N71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14">
        <f>FLOOR(Sales_Export_2019_2020__2[[#This Row],[order_value_GBP]],5000)</f>
        <v>80000</v>
      </c>
    </row>
    <row r="715" spans="1:15" x14ac:dyDescent="0.35">
      <c r="A715" t="s">
        <v>23</v>
      </c>
      <c r="B715" s="2">
        <v>81458.94</v>
      </c>
      <c r="C715" s="2">
        <v>64434.02</v>
      </c>
      <c r="D715" s="1">
        <v>43783</v>
      </c>
      <c r="E715" t="s">
        <v>11</v>
      </c>
      <c r="F715" t="s">
        <v>35</v>
      </c>
      <c r="G715" t="s">
        <v>26</v>
      </c>
      <c r="H715" t="s">
        <v>32</v>
      </c>
      <c r="I715" t="s">
        <v>28</v>
      </c>
      <c r="J715" t="s">
        <v>873</v>
      </c>
      <c r="K715" s="2">
        <f>Sales_Export_2019_2020__2[[#This Row],[order_value_GBP]]-Sales_Export_2019_2020__2[[#This Row],[ cost ]]</f>
        <v>17024.920000000006</v>
      </c>
      <c r="L715" t="b">
        <f>COUNTIF(Sales_Export_2019_2020__2[order_id],Sales_Export_2019_2020__2[[#This Row],[order_id]])&gt;1</f>
        <v>0</v>
      </c>
      <c r="M715" t="str">
        <f t="shared" si="11"/>
        <v>£80,000 - £84,999</v>
      </c>
      <c r="N715" t="str" cm="1">
        <f t="array" ref="N71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15">
        <f>FLOOR(Sales_Export_2019_2020__2[[#This Row],[order_value_GBP]],5000)</f>
        <v>80000</v>
      </c>
    </row>
    <row r="716" spans="1:15" x14ac:dyDescent="0.35">
      <c r="A716" t="s">
        <v>10</v>
      </c>
      <c r="B716" s="2">
        <v>79313.86</v>
      </c>
      <c r="C716" s="2">
        <v>63316.25</v>
      </c>
      <c r="D716" s="1">
        <v>43891</v>
      </c>
      <c r="E716" t="s">
        <v>51</v>
      </c>
      <c r="F716" t="s">
        <v>210</v>
      </c>
      <c r="G716" t="s">
        <v>13</v>
      </c>
      <c r="H716" t="s">
        <v>14</v>
      </c>
      <c r="I716" t="s">
        <v>28</v>
      </c>
      <c r="J716" t="s">
        <v>874</v>
      </c>
      <c r="K716" s="2">
        <f>Sales_Export_2019_2020__2[[#This Row],[order_value_GBP]]-Sales_Export_2019_2020__2[[#This Row],[ cost ]]</f>
        <v>15997.61</v>
      </c>
      <c r="L716" t="b">
        <f>COUNTIF(Sales_Export_2019_2020__2[order_id],Sales_Export_2019_2020__2[[#This Row],[order_id]])&gt;1</f>
        <v>0</v>
      </c>
      <c r="M716" t="str">
        <f t="shared" si="11"/>
        <v>£75,000 - £79,999</v>
      </c>
      <c r="N716" t="str" cm="1">
        <f t="array" ref="N71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16">
        <f>FLOOR(Sales_Export_2019_2020__2[[#This Row],[order_value_GBP]],5000)</f>
        <v>75000</v>
      </c>
    </row>
    <row r="717" spans="1:15" x14ac:dyDescent="0.35">
      <c r="A717" t="s">
        <v>17</v>
      </c>
      <c r="B717" s="2">
        <v>100978.49</v>
      </c>
      <c r="C717" s="2">
        <v>86568.86</v>
      </c>
      <c r="D717" s="1">
        <v>43686</v>
      </c>
      <c r="E717" t="s">
        <v>51</v>
      </c>
      <c r="F717" t="s">
        <v>35</v>
      </c>
      <c r="G717" t="s">
        <v>20</v>
      </c>
      <c r="H717" t="s">
        <v>21</v>
      </c>
      <c r="I717" t="s">
        <v>28</v>
      </c>
      <c r="J717" t="s">
        <v>875</v>
      </c>
      <c r="K717" s="2">
        <f>Sales_Export_2019_2020__2[[#This Row],[order_value_GBP]]-Sales_Export_2019_2020__2[[#This Row],[ cost ]]</f>
        <v>14409.630000000005</v>
      </c>
      <c r="L717" t="b">
        <f>COUNTIF(Sales_Export_2019_2020__2[order_id],Sales_Export_2019_2020__2[[#This Row],[order_id]])&gt;1</f>
        <v>0</v>
      </c>
      <c r="M717" t="str">
        <f t="shared" si="11"/>
        <v>£100,000 - £104,999</v>
      </c>
      <c r="N717" t="str" cm="1">
        <f t="array" ref="N71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17">
        <f>FLOOR(Sales_Export_2019_2020__2[[#This Row],[order_value_GBP]],5000)</f>
        <v>100000</v>
      </c>
    </row>
    <row r="718" spans="1:15" x14ac:dyDescent="0.35">
      <c r="A718" t="s">
        <v>23</v>
      </c>
      <c r="B718" s="2">
        <v>172444.09</v>
      </c>
      <c r="C718" s="2">
        <v>149681.47</v>
      </c>
      <c r="D718" s="1">
        <v>43470</v>
      </c>
      <c r="E718" t="s">
        <v>60</v>
      </c>
      <c r="F718" t="s">
        <v>25</v>
      </c>
      <c r="G718" t="s">
        <v>26</v>
      </c>
      <c r="H718" t="s">
        <v>90</v>
      </c>
      <c r="I718" t="s">
        <v>28</v>
      </c>
      <c r="J718" t="s">
        <v>876</v>
      </c>
      <c r="K718" s="2">
        <f>Sales_Export_2019_2020__2[[#This Row],[order_value_GBP]]-Sales_Export_2019_2020__2[[#This Row],[ cost ]]</f>
        <v>22762.619999999995</v>
      </c>
      <c r="L718" t="b">
        <f>COUNTIF(Sales_Export_2019_2020__2[order_id],Sales_Export_2019_2020__2[[#This Row],[order_id]])&gt;1</f>
        <v>0</v>
      </c>
      <c r="M718" t="str">
        <f t="shared" si="11"/>
        <v>£170,000 - £174,999</v>
      </c>
      <c r="N718" t="str" cm="1">
        <f t="array" ref="N71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18">
        <f>FLOOR(Sales_Export_2019_2020__2[[#This Row],[order_value_GBP]],5000)</f>
        <v>170000</v>
      </c>
    </row>
    <row r="719" spans="1:15" x14ac:dyDescent="0.35">
      <c r="A719" t="s">
        <v>45</v>
      </c>
      <c r="B719" s="2">
        <v>111523.01</v>
      </c>
      <c r="C719" s="2">
        <v>98017.57</v>
      </c>
      <c r="D719" s="1">
        <v>43892</v>
      </c>
      <c r="E719" t="s">
        <v>62</v>
      </c>
      <c r="F719" t="s">
        <v>234</v>
      </c>
      <c r="G719" t="s">
        <v>48</v>
      </c>
      <c r="H719" t="s">
        <v>49</v>
      </c>
      <c r="I719" t="s">
        <v>28</v>
      </c>
      <c r="J719" t="s">
        <v>877</v>
      </c>
      <c r="K719" s="2">
        <f>Sales_Export_2019_2020__2[[#This Row],[order_value_GBP]]-Sales_Export_2019_2020__2[[#This Row],[ cost ]]</f>
        <v>13505.439999999988</v>
      </c>
      <c r="L719" t="b">
        <f>COUNTIF(Sales_Export_2019_2020__2[order_id],Sales_Export_2019_2020__2[[#This Row],[order_id]])&gt;1</f>
        <v>0</v>
      </c>
      <c r="M719" t="str">
        <f t="shared" si="11"/>
        <v>£110,000 - £114,999</v>
      </c>
      <c r="N719" t="str" cm="1">
        <f t="array" ref="N71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19">
        <f>FLOOR(Sales_Export_2019_2020__2[[#This Row],[order_value_GBP]],5000)</f>
        <v>110000</v>
      </c>
    </row>
    <row r="720" spans="1:15" x14ac:dyDescent="0.35">
      <c r="A720" t="s">
        <v>45</v>
      </c>
      <c r="B720" s="2">
        <v>62947.82</v>
      </c>
      <c r="C720" s="2">
        <v>49967.98</v>
      </c>
      <c r="D720" s="1">
        <v>43754</v>
      </c>
      <c r="E720" t="s">
        <v>46</v>
      </c>
      <c r="F720" t="s">
        <v>237</v>
      </c>
      <c r="G720" t="s">
        <v>48</v>
      </c>
      <c r="H720" t="s">
        <v>66</v>
      </c>
      <c r="I720" t="s">
        <v>28</v>
      </c>
      <c r="J720" t="s">
        <v>878</v>
      </c>
      <c r="K720" s="2">
        <f>Sales_Export_2019_2020__2[[#This Row],[order_value_GBP]]-Sales_Export_2019_2020__2[[#This Row],[ cost ]]</f>
        <v>12979.839999999997</v>
      </c>
      <c r="L720" t="b">
        <f>COUNTIF(Sales_Export_2019_2020__2[order_id],Sales_Export_2019_2020__2[[#This Row],[order_id]])&gt;1</f>
        <v>0</v>
      </c>
      <c r="M720" t="str">
        <f t="shared" si="11"/>
        <v>£60,000 - £64,999</v>
      </c>
      <c r="N720" t="str" cm="1">
        <f t="array" ref="N72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20">
        <f>FLOOR(Sales_Export_2019_2020__2[[#This Row],[order_value_GBP]],5000)</f>
        <v>60000</v>
      </c>
    </row>
    <row r="721" spans="1:15" x14ac:dyDescent="0.35">
      <c r="A721" t="s">
        <v>53</v>
      </c>
      <c r="B721" s="2">
        <v>80294.559999999998</v>
      </c>
      <c r="C721" s="2">
        <v>65295.54</v>
      </c>
      <c r="D721" s="1">
        <v>43742</v>
      </c>
      <c r="E721" t="s">
        <v>11</v>
      </c>
      <c r="F721" t="s">
        <v>110</v>
      </c>
      <c r="G721" t="s">
        <v>55</v>
      </c>
      <c r="H721" t="s">
        <v>144</v>
      </c>
      <c r="I721" t="s">
        <v>28</v>
      </c>
      <c r="J721" t="s">
        <v>879</v>
      </c>
      <c r="K721" s="2">
        <f>Sales_Export_2019_2020__2[[#This Row],[order_value_GBP]]-Sales_Export_2019_2020__2[[#This Row],[ cost ]]</f>
        <v>14999.019999999997</v>
      </c>
      <c r="L721" t="b">
        <f>COUNTIF(Sales_Export_2019_2020__2[order_id],Sales_Export_2019_2020__2[[#This Row],[order_id]])&gt;1</f>
        <v>0</v>
      </c>
      <c r="M721" t="str">
        <f t="shared" si="11"/>
        <v>£80,000 - £84,999</v>
      </c>
      <c r="N721" t="str" cm="1">
        <f t="array" ref="N72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21">
        <f>FLOOR(Sales_Export_2019_2020__2[[#This Row],[order_value_GBP]],5000)</f>
        <v>80000</v>
      </c>
    </row>
    <row r="722" spans="1:15" x14ac:dyDescent="0.35">
      <c r="A722" t="s">
        <v>53</v>
      </c>
      <c r="B722" s="2">
        <v>234961.46</v>
      </c>
      <c r="C722" s="2">
        <v>199388.3</v>
      </c>
      <c r="D722" s="1">
        <v>43618</v>
      </c>
      <c r="E722" t="s">
        <v>46</v>
      </c>
      <c r="F722" t="s">
        <v>734</v>
      </c>
      <c r="G722" t="s">
        <v>55</v>
      </c>
      <c r="H722" t="s">
        <v>56</v>
      </c>
      <c r="I722" t="s">
        <v>15</v>
      </c>
      <c r="J722" t="s">
        <v>880</v>
      </c>
      <c r="K722" s="2">
        <f>Sales_Export_2019_2020__2[[#This Row],[order_value_GBP]]-Sales_Export_2019_2020__2[[#This Row],[ cost ]]</f>
        <v>35573.160000000003</v>
      </c>
      <c r="L722" t="b">
        <f>COUNTIF(Sales_Export_2019_2020__2[order_id],Sales_Export_2019_2020__2[[#This Row],[order_id]])&gt;1</f>
        <v>0</v>
      </c>
      <c r="M722" t="str">
        <f t="shared" si="11"/>
        <v>£230,000 - £234,999</v>
      </c>
      <c r="N722" t="str" cm="1">
        <f t="array" ref="N72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22">
        <f>FLOOR(Sales_Export_2019_2020__2[[#This Row],[order_value_GBP]],5000)</f>
        <v>230000</v>
      </c>
    </row>
    <row r="723" spans="1:15" x14ac:dyDescent="0.35">
      <c r="A723" t="s">
        <v>53</v>
      </c>
      <c r="B723" s="2">
        <v>214615.79</v>
      </c>
      <c r="C723" s="2">
        <v>177637.49</v>
      </c>
      <c r="D723" s="1">
        <v>43646</v>
      </c>
      <c r="E723" t="s">
        <v>18</v>
      </c>
      <c r="F723" t="s">
        <v>180</v>
      </c>
      <c r="G723" t="s">
        <v>55</v>
      </c>
      <c r="H723" t="s">
        <v>72</v>
      </c>
      <c r="I723" t="s">
        <v>28</v>
      </c>
      <c r="J723" t="s">
        <v>881</v>
      </c>
      <c r="K723" s="2">
        <f>Sales_Export_2019_2020__2[[#This Row],[order_value_GBP]]-Sales_Export_2019_2020__2[[#This Row],[ cost ]]</f>
        <v>36978.300000000017</v>
      </c>
      <c r="L723" t="b">
        <f>COUNTIF(Sales_Export_2019_2020__2[order_id],Sales_Export_2019_2020__2[[#This Row],[order_id]])&gt;1</f>
        <v>0</v>
      </c>
      <c r="M723" t="str">
        <f t="shared" si="11"/>
        <v>£210,000 - £214,999</v>
      </c>
      <c r="N723" t="str" cm="1">
        <f t="array" ref="N72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23">
        <f>FLOOR(Sales_Export_2019_2020__2[[#This Row],[order_value_GBP]],5000)</f>
        <v>210000</v>
      </c>
    </row>
    <row r="724" spans="1:15" x14ac:dyDescent="0.35">
      <c r="A724" t="s">
        <v>53</v>
      </c>
      <c r="B724" s="2">
        <v>173418.59</v>
      </c>
      <c r="C724" s="2">
        <v>140746.53</v>
      </c>
      <c r="D724" s="1">
        <v>43604</v>
      </c>
      <c r="E724" t="s">
        <v>80</v>
      </c>
      <c r="F724" t="s">
        <v>31</v>
      </c>
      <c r="G724" t="s">
        <v>55</v>
      </c>
      <c r="H724" t="s">
        <v>56</v>
      </c>
      <c r="I724" t="s">
        <v>28</v>
      </c>
      <c r="J724" t="s">
        <v>882</v>
      </c>
      <c r="K724" s="2">
        <f>Sales_Export_2019_2020__2[[#This Row],[order_value_GBP]]-Sales_Export_2019_2020__2[[#This Row],[ cost ]]</f>
        <v>32672.059999999998</v>
      </c>
      <c r="L724" t="b">
        <f>COUNTIF(Sales_Export_2019_2020__2[order_id],Sales_Export_2019_2020__2[[#This Row],[order_id]])&gt;1</f>
        <v>0</v>
      </c>
      <c r="M724" t="str">
        <f t="shared" si="11"/>
        <v>£170,000 - £174,999</v>
      </c>
      <c r="N724" t="str" cm="1">
        <f t="array" ref="N72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24">
        <f>FLOOR(Sales_Export_2019_2020__2[[#This Row],[order_value_GBP]],5000)</f>
        <v>170000</v>
      </c>
    </row>
    <row r="725" spans="1:15" x14ac:dyDescent="0.35">
      <c r="A725" t="s">
        <v>53</v>
      </c>
      <c r="B725" s="2">
        <v>27400.69</v>
      </c>
      <c r="C725" s="2">
        <v>22832.99</v>
      </c>
      <c r="D725" s="1">
        <v>43726</v>
      </c>
      <c r="E725" t="s">
        <v>80</v>
      </c>
      <c r="F725" t="s">
        <v>368</v>
      </c>
      <c r="G725" t="s">
        <v>55</v>
      </c>
      <c r="H725" t="s">
        <v>56</v>
      </c>
      <c r="I725" t="s">
        <v>28</v>
      </c>
      <c r="J725" t="s">
        <v>883</v>
      </c>
      <c r="K725" s="2">
        <f>Sales_Export_2019_2020__2[[#This Row],[order_value_GBP]]-Sales_Export_2019_2020__2[[#This Row],[ cost ]]</f>
        <v>4567.6999999999971</v>
      </c>
      <c r="L725" t="b">
        <f>COUNTIF(Sales_Export_2019_2020__2[order_id],Sales_Export_2019_2020__2[[#This Row],[order_id]])&gt;1</f>
        <v>0</v>
      </c>
      <c r="M725" t="str">
        <f t="shared" si="11"/>
        <v>£25,000 - £29,999</v>
      </c>
      <c r="N725" t="str" cm="1">
        <f t="array" ref="N72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725">
        <f>FLOOR(Sales_Export_2019_2020__2[[#This Row],[order_value_GBP]],5000)</f>
        <v>25000</v>
      </c>
    </row>
    <row r="726" spans="1:15" x14ac:dyDescent="0.35">
      <c r="A726" t="s">
        <v>23</v>
      </c>
      <c r="B726" s="2">
        <v>179323.22</v>
      </c>
      <c r="C726" s="2">
        <v>150739.1</v>
      </c>
      <c r="D726" s="1">
        <v>44051</v>
      </c>
      <c r="E726" t="s">
        <v>60</v>
      </c>
      <c r="F726" t="s">
        <v>341</v>
      </c>
      <c r="G726" t="s">
        <v>26</v>
      </c>
      <c r="H726" t="s">
        <v>219</v>
      </c>
      <c r="I726" t="s">
        <v>38</v>
      </c>
      <c r="J726" t="s">
        <v>884</v>
      </c>
      <c r="K726" s="2">
        <f>Sales_Export_2019_2020__2[[#This Row],[order_value_GBP]]-Sales_Export_2019_2020__2[[#This Row],[ cost ]]</f>
        <v>28584.119999999995</v>
      </c>
      <c r="L726" t="b">
        <f>COUNTIF(Sales_Export_2019_2020__2[order_id],Sales_Export_2019_2020__2[[#This Row],[order_id]])&gt;1</f>
        <v>0</v>
      </c>
      <c r="M726" t="str">
        <f t="shared" si="11"/>
        <v>£175,000 - £179,999</v>
      </c>
      <c r="N726" t="str" cm="1">
        <f t="array" ref="N72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26">
        <f>FLOOR(Sales_Export_2019_2020__2[[#This Row],[order_value_GBP]],5000)</f>
        <v>175000</v>
      </c>
    </row>
    <row r="727" spans="1:15" x14ac:dyDescent="0.35">
      <c r="A727" t="s">
        <v>23</v>
      </c>
      <c r="B727" s="2">
        <v>135211.42000000001</v>
      </c>
      <c r="C727" s="2">
        <v>108534.21</v>
      </c>
      <c r="D727" s="1">
        <v>43689</v>
      </c>
      <c r="E727" t="s">
        <v>24</v>
      </c>
      <c r="F727" t="s">
        <v>25</v>
      </c>
      <c r="G727" t="s">
        <v>26</v>
      </c>
      <c r="H727" t="s">
        <v>76</v>
      </c>
      <c r="I727" t="s">
        <v>28</v>
      </c>
      <c r="J727" t="s">
        <v>885</v>
      </c>
      <c r="K727" s="2">
        <f>Sales_Export_2019_2020__2[[#This Row],[order_value_GBP]]-Sales_Export_2019_2020__2[[#This Row],[ cost ]]</f>
        <v>26677.210000000006</v>
      </c>
      <c r="L727" t="b">
        <f>COUNTIF(Sales_Export_2019_2020__2[order_id],Sales_Export_2019_2020__2[[#This Row],[order_id]])&gt;1</f>
        <v>0</v>
      </c>
      <c r="M727" t="str">
        <f t="shared" si="11"/>
        <v>£135,000 - £139,999</v>
      </c>
      <c r="N727" t="str" cm="1">
        <f t="array" ref="N72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27">
        <f>FLOOR(Sales_Export_2019_2020__2[[#This Row],[order_value_GBP]],5000)</f>
        <v>135000</v>
      </c>
    </row>
    <row r="728" spans="1:15" x14ac:dyDescent="0.35">
      <c r="A728" t="s">
        <v>53</v>
      </c>
      <c r="B728" s="2">
        <v>186209.44</v>
      </c>
      <c r="C728" s="2">
        <v>148818.57999999999</v>
      </c>
      <c r="D728" s="1">
        <v>43640</v>
      </c>
      <c r="E728" t="s">
        <v>24</v>
      </c>
      <c r="F728" t="s">
        <v>114</v>
      </c>
      <c r="G728" t="s">
        <v>55</v>
      </c>
      <c r="H728" t="s">
        <v>144</v>
      </c>
      <c r="I728" t="s">
        <v>15</v>
      </c>
      <c r="J728" t="s">
        <v>886</v>
      </c>
      <c r="K728" s="2">
        <f>Sales_Export_2019_2020__2[[#This Row],[order_value_GBP]]-Sales_Export_2019_2020__2[[#This Row],[ cost ]]</f>
        <v>37390.860000000015</v>
      </c>
      <c r="L728" t="b">
        <f>COUNTIF(Sales_Export_2019_2020__2[order_id],Sales_Export_2019_2020__2[[#This Row],[order_id]])&gt;1</f>
        <v>0</v>
      </c>
      <c r="M728" t="str">
        <f t="shared" si="11"/>
        <v>£185,000 - £189,999</v>
      </c>
      <c r="N728" t="str" cm="1">
        <f t="array" ref="N72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28">
        <f>FLOOR(Sales_Export_2019_2020__2[[#This Row],[order_value_GBP]],5000)</f>
        <v>185000</v>
      </c>
    </row>
    <row r="729" spans="1:15" x14ac:dyDescent="0.35">
      <c r="A729" t="s">
        <v>173</v>
      </c>
      <c r="B729" s="2">
        <v>127591.73</v>
      </c>
      <c r="C729" s="2">
        <v>108988.86</v>
      </c>
      <c r="D729" s="1">
        <v>43951</v>
      </c>
      <c r="E729" t="s">
        <v>18</v>
      </c>
      <c r="F729" t="s">
        <v>58</v>
      </c>
      <c r="G729" t="s">
        <v>175</v>
      </c>
      <c r="H729" t="s">
        <v>212</v>
      </c>
      <c r="I729" t="s">
        <v>15</v>
      </c>
      <c r="J729" t="s">
        <v>887</v>
      </c>
      <c r="K729" s="2">
        <f>Sales_Export_2019_2020__2[[#This Row],[order_value_GBP]]-Sales_Export_2019_2020__2[[#This Row],[ cost ]]</f>
        <v>18602.869999999995</v>
      </c>
      <c r="L729" t="b">
        <f>COUNTIF(Sales_Export_2019_2020__2[order_id],Sales_Export_2019_2020__2[[#This Row],[order_id]])&gt;1</f>
        <v>0</v>
      </c>
      <c r="M729" t="str">
        <f t="shared" si="11"/>
        <v>£125,000 - £129,999</v>
      </c>
      <c r="N729" t="str" cm="1">
        <f t="array" ref="N72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29">
        <f>FLOOR(Sales_Export_2019_2020__2[[#This Row],[order_value_GBP]],5000)</f>
        <v>125000</v>
      </c>
    </row>
    <row r="730" spans="1:15" x14ac:dyDescent="0.35">
      <c r="A730" t="s">
        <v>10</v>
      </c>
      <c r="B730" s="2">
        <v>53093.47</v>
      </c>
      <c r="C730" s="2">
        <v>42533.18</v>
      </c>
      <c r="D730" s="1">
        <v>44129</v>
      </c>
      <c r="E730" t="s">
        <v>24</v>
      </c>
      <c r="F730" t="s">
        <v>302</v>
      </c>
      <c r="G730" t="s">
        <v>13</v>
      </c>
      <c r="H730" t="s">
        <v>69</v>
      </c>
      <c r="I730" t="s">
        <v>28</v>
      </c>
      <c r="J730" t="s">
        <v>888</v>
      </c>
      <c r="K730" s="2">
        <f>Sales_Export_2019_2020__2[[#This Row],[order_value_GBP]]-Sales_Export_2019_2020__2[[#This Row],[ cost ]]</f>
        <v>10560.29</v>
      </c>
      <c r="L730" t="b">
        <f>COUNTIF(Sales_Export_2019_2020__2[order_id],Sales_Export_2019_2020__2[[#This Row],[order_id]])&gt;1</f>
        <v>0</v>
      </c>
      <c r="M730" t="str">
        <f t="shared" si="11"/>
        <v>£50,000 - £54,999</v>
      </c>
      <c r="N730" t="str" cm="1">
        <f t="array" ref="N73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30">
        <f>FLOOR(Sales_Export_2019_2020__2[[#This Row],[order_value_GBP]],5000)</f>
        <v>50000</v>
      </c>
    </row>
    <row r="731" spans="1:15" x14ac:dyDescent="0.35">
      <c r="A731" t="s">
        <v>84</v>
      </c>
      <c r="B731" s="2">
        <v>28787.17</v>
      </c>
      <c r="C731" s="2">
        <v>24610.15</v>
      </c>
      <c r="D731" s="1">
        <v>43683</v>
      </c>
      <c r="E731" t="s">
        <v>18</v>
      </c>
      <c r="F731" t="s">
        <v>182</v>
      </c>
      <c r="G731" t="s">
        <v>85</v>
      </c>
      <c r="H731" t="s">
        <v>86</v>
      </c>
      <c r="I731" t="s">
        <v>28</v>
      </c>
      <c r="J731" t="s">
        <v>889</v>
      </c>
      <c r="K731" s="2">
        <f>Sales_Export_2019_2020__2[[#This Row],[order_value_GBP]]-Sales_Export_2019_2020__2[[#This Row],[ cost ]]</f>
        <v>4177.0199999999968</v>
      </c>
      <c r="L731" t="b">
        <f>COUNTIF(Sales_Export_2019_2020__2[order_id],Sales_Export_2019_2020__2[[#This Row],[order_id]])&gt;1</f>
        <v>0</v>
      </c>
      <c r="M731" t="str">
        <f t="shared" si="11"/>
        <v>£25,000 - £29,999</v>
      </c>
      <c r="N731" t="str" cm="1">
        <f t="array" ref="N73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731">
        <f>FLOOR(Sales_Export_2019_2020__2[[#This Row],[order_value_GBP]],5000)</f>
        <v>25000</v>
      </c>
    </row>
    <row r="732" spans="1:15" x14ac:dyDescent="0.35">
      <c r="A732" t="s">
        <v>45</v>
      </c>
      <c r="B732" s="2">
        <v>49930.87</v>
      </c>
      <c r="C732" s="2">
        <v>40174.379999999997</v>
      </c>
      <c r="D732" s="1">
        <v>43882</v>
      </c>
      <c r="E732" t="s">
        <v>62</v>
      </c>
      <c r="F732" t="s">
        <v>123</v>
      </c>
      <c r="G732" t="s">
        <v>48</v>
      </c>
      <c r="H732" t="s">
        <v>66</v>
      </c>
      <c r="I732" t="s">
        <v>28</v>
      </c>
      <c r="J732" t="s">
        <v>890</v>
      </c>
      <c r="K732" s="2">
        <f>Sales_Export_2019_2020__2[[#This Row],[order_value_GBP]]-Sales_Export_2019_2020__2[[#This Row],[ cost ]]</f>
        <v>9756.4900000000052</v>
      </c>
      <c r="L732" t="b">
        <f>COUNTIF(Sales_Export_2019_2020__2[order_id],Sales_Export_2019_2020__2[[#This Row],[order_id]])&gt;1</f>
        <v>0</v>
      </c>
      <c r="M732" t="str">
        <f t="shared" si="11"/>
        <v>£45,000 - £49,999</v>
      </c>
      <c r="N732" t="str" cm="1">
        <f t="array" ref="N73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732">
        <f>FLOOR(Sales_Export_2019_2020__2[[#This Row],[order_value_GBP]],5000)</f>
        <v>45000</v>
      </c>
    </row>
    <row r="733" spans="1:15" x14ac:dyDescent="0.35">
      <c r="A733" t="s">
        <v>23</v>
      </c>
      <c r="B733" s="2">
        <v>48763.58</v>
      </c>
      <c r="C733" s="2">
        <v>39435.11</v>
      </c>
      <c r="D733" s="1">
        <v>44026</v>
      </c>
      <c r="E733" t="s">
        <v>60</v>
      </c>
      <c r="F733" t="s">
        <v>123</v>
      </c>
      <c r="G733" t="s">
        <v>26</v>
      </c>
      <c r="H733" t="s">
        <v>27</v>
      </c>
      <c r="I733" t="s">
        <v>28</v>
      </c>
      <c r="J733" t="s">
        <v>891</v>
      </c>
      <c r="K733" s="2">
        <f>Sales_Export_2019_2020__2[[#This Row],[order_value_GBP]]-Sales_Export_2019_2020__2[[#This Row],[ cost ]]</f>
        <v>9328.4700000000012</v>
      </c>
      <c r="L733" t="b">
        <f>COUNTIF(Sales_Export_2019_2020__2[order_id],Sales_Export_2019_2020__2[[#This Row],[order_id]])&gt;1</f>
        <v>0</v>
      </c>
      <c r="M733" t="str">
        <f t="shared" si="11"/>
        <v>£45,000 - £49,999</v>
      </c>
      <c r="N733" t="str" cm="1">
        <f t="array" ref="N73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733">
        <f>FLOOR(Sales_Export_2019_2020__2[[#This Row],[order_value_GBP]],5000)</f>
        <v>45000</v>
      </c>
    </row>
    <row r="734" spans="1:15" x14ac:dyDescent="0.35">
      <c r="A734" t="s">
        <v>53</v>
      </c>
      <c r="B734" s="2">
        <v>71079.8</v>
      </c>
      <c r="C734" s="2">
        <v>56778.54</v>
      </c>
      <c r="D734" s="1">
        <v>43784</v>
      </c>
      <c r="E734" t="s">
        <v>80</v>
      </c>
      <c r="F734" t="s">
        <v>58</v>
      </c>
      <c r="G734" t="s">
        <v>55</v>
      </c>
      <c r="H734" t="s">
        <v>144</v>
      </c>
      <c r="I734" t="s">
        <v>28</v>
      </c>
      <c r="J734" t="s">
        <v>892</v>
      </c>
      <c r="K734" s="2">
        <f>Sales_Export_2019_2020__2[[#This Row],[order_value_GBP]]-Sales_Export_2019_2020__2[[#This Row],[ cost ]]</f>
        <v>14301.260000000002</v>
      </c>
      <c r="L734" t="b">
        <f>COUNTIF(Sales_Export_2019_2020__2[order_id],Sales_Export_2019_2020__2[[#This Row],[order_id]])&gt;1</f>
        <v>0</v>
      </c>
      <c r="M734" t="str">
        <f t="shared" si="11"/>
        <v>£70,000 - £74,999</v>
      </c>
      <c r="N734" t="str" cm="1">
        <f t="array" ref="N73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34">
        <f>FLOOR(Sales_Export_2019_2020__2[[#This Row],[order_value_GBP]],5000)</f>
        <v>70000</v>
      </c>
    </row>
    <row r="735" spans="1:15" x14ac:dyDescent="0.35">
      <c r="A735" t="s">
        <v>10</v>
      </c>
      <c r="B735" s="2">
        <v>43158.94</v>
      </c>
      <c r="C735" s="2">
        <v>36244.879999999997</v>
      </c>
      <c r="D735" s="1">
        <v>43598</v>
      </c>
      <c r="E735" t="s">
        <v>80</v>
      </c>
      <c r="F735" t="s">
        <v>188</v>
      </c>
      <c r="G735" t="s">
        <v>13</v>
      </c>
      <c r="H735" t="s">
        <v>69</v>
      </c>
      <c r="I735" t="s">
        <v>28</v>
      </c>
      <c r="J735" t="s">
        <v>893</v>
      </c>
      <c r="K735" s="2">
        <f>Sales_Export_2019_2020__2[[#This Row],[order_value_GBP]]-Sales_Export_2019_2020__2[[#This Row],[ cost ]]</f>
        <v>6914.0600000000049</v>
      </c>
      <c r="L735" t="b">
        <f>COUNTIF(Sales_Export_2019_2020__2[order_id],Sales_Export_2019_2020__2[[#This Row],[order_id]])&gt;1</f>
        <v>0</v>
      </c>
      <c r="M735" t="str">
        <f t="shared" si="11"/>
        <v>£40,000 - £44,999</v>
      </c>
      <c r="N735" t="str" cm="1">
        <f t="array" ref="N73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735">
        <f>FLOOR(Sales_Export_2019_2020__2[[#This Row],[order_value_GBP]],5000)</f>
        <v>40000</v>
      </c>
    </row>
    <row r="736" spans="1:15" x14ac:dyDescent="0.35">
      <c r="A736" t="s">
        <v>53</v>
      </c>
      <c r="B736" s="2">
        <v>117538.82</v>
      </c>
      <c r="C736" s="2">
        <v>100719.02</v>
      </c>
      <c r="D736" s="1">
        <v>43649</v>
      </c>
      <c r="E736" t="s">
        <v>30</v>
      </c>
      <c r="F736" t="s">
        <v>64</v>
      </c>
      <c r="G736" t="s">
        <v>55</v>
      </c>
      <c r="H736" t="s">
        <v>144</v>
      </c>
      <c r="I736" t="s">
        <v>28</v>
      </c>
      <c r="J736" t="s">
        <v>894</v>
      </c>
      <c r="K736" s="2">
        <f>Sales_Export_2019_2020__2[[#This Row],[order_value_GBP]]-Sales_Export_2019_2020__2[[#This Row],[ cost ]]</f>
        <v>16819.800000000003</v>
      </c>
      <c r="L736" t="b">
        <f>COUNTIF(Sales_Export_2019_2020__2[order_id],Sales_Export_2019_2020__2[[#This Row],[order_id]])&gt;1</f>
        <v>0</v>
      </c>
      <c r="M736" t="str">
        <f t="shared" si="11"/>
        <v>£115,000 - £119,999</v>
      </c>
      <c r="N736" t="str" cm="1">
        <f t="array" ref="N73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36">
        <f>FLOOR(Sales_Export_2019_2020__2[[#This Row],[order_value_GBP]],5000)</f>
        <v>115000</v>
      </c>
    </row>
    <row r="737" spans="1:15" x14ac:dyDescent="0.35">
      <c r="A737" t="s">
        <v>23</v>
      </c>
      <c r="B737" s="2">
        <v>45725.53</v>
      </c>
      <c r="C737" s="2">
        <v>36571.279999999999</v>
      </c>
      <c r="D737" s="1">
        <v>44019</v>
      </c>
      <c r="E737" t="s">
        <v>139</v>
      </c>
      <c r="F737" t="s">
        <v>43</v>
      </c>
      <c r="G737" t="s">
        <v>26</v>
      </c>
      <c r="H737" t="s">
        <v>32</v>
      </c>
      <c r="I737" t="s">
        <v>15</v>
      </c>
      <c r="J737" t="s">
        <v>895</v>
      </c>
      <c r="K737" s="2">
        <f>Sales_Export_2019_2020__2[[#This Row],[order_value_GBP]]-Sales_Export_2019_2020__2[[#This Row],[ cost ]]</f>
        <v>9154.25</v>
      </c>
      <c r="L737" t="b">
        <f>COUNTIF(Sales_Export_2019_2020__2[order_id],Sales_Export_2019_2020__2[[#This Row],[order_id]])&gt;1</f>
        <v>0</v>
      </c>
      <c r="M737" t="str">
        <f t="shared" si="11"/>
        <v>£45,000 - £49,999</v>
      </c>
      <c r="N737" t="str" cm="1">
        <f t="array" ref="N73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737">
        <f>FLOOR(Sales_Export_2019_2020__2[[#This Row],[order_value_GBP]],5000)</f>
        <v>45000</v>
      </c>
    </row>
    <row r="738" spans="1:15" x14ac:dyDescent="0.35">
      <c r="A738" t="s">
        <v>23</v>
      </c>
      <c r="B738" s="2">
        <v>77522.570000000007</v>
      </c>
      <c r="C738" s="2">
        <v>64227.45</v>
      </c>
      <c r="D738" s="1">
        <v>43677</v>
      </c>
      <c r="E738" t="s">
        <v>62</v>
      </c>
      <c r="F738" t="s">
        <v>180</v>
      </c>
      <c r="G738" t="s">
        <v>26</v>
      </c>
      <c r="H738" t="s">
        <v>32</v>
      </c>
      <c r="I738" t="s">
        <v>15</v>
      </c>
      <c r="J738" t="s">
        <v>896</v>
      </c>
      <c r="K738" s="2">
        <f>Sales_Export_2019_2020__2[[#This Row],[order_value_GBP]]-Sales_Export_2019_2020__2[[#This Row],[ cost ]]</f>
        <v>13295.12000000001</v>
      </c>
      <c r="L738" t="b">
        <f>COUNTIF(Sales_Export_2019_2020__2[order_id],Sales_Export_2019_2020__2[[#This Row],[order_id]])&gt;1</f>
        <v>0</v>
      </c>
      <c r="M738" t="str">
        <f t="shared" ref="M738:M801" si="12">TEXT(FLOOR(B738,5000),"£#,##0")&amp;" - "&amp;TEXT(FLOOR(B738,5000)+4999,"£#,##0")</f>
        <v>£75,000 - £79,999</v>
      </c>
      <c r="N738" t="str" cm="1">
        <f t="array" ref="N73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38">
        <f>FLOOR(Sales_Export_2019_2020__2[[#This Row],[order_value_GBP]],5000)</f>
        <v>75000</v>
      </c>
    </row>
    <row r="739" spans="1:15" x14ac:dyDescent="0.35">
      <c r="A739" t="s">
        <v>215</v>
      </c>
      <c r="B739" s="2">
        <v>44118.5</v>
      </c>
      <c r="C739" s="2">
        <v>38250.74</v>
      </c>
      <c r="D739" s="1">
        <v>43894</v>
      </c>
      <c r="E739" t="s">
        <v>80</v>
      </c>
      <c r="F739" t="s">
        <v>89</v>
      </c>
      <c r="G739" t="s">
        <v>216</v>
      </c>
      <c r="H739" t="s">
        <v>217</v>
      </c>
      <c r="I739" t="s">
        <v>15</v>
      </c>
      <c r="J739" t="s">
        <v>897</v>
      </c>
      <c r="K739" s="2">
        <f>Sales_Export_2019_2020__2[[#This Row],[order_value_GBP]]-Sales_Export_2019_2020__2[[#This Row],[ cost ]]</f>
        <v>5867.760000000002</v>
      </c>
      <c r="L739" t="b">
        <f>COUNTIF(Sales_Export_2019_2020__2[order_id],Sales_Export_2019_2020__2[[#This Row],[order_id]])&gt;1</f>
        <v>0</v>
      </c>
      <c r="M739" t="str">
        <f t="shared" si="12"/>
        <v>£40,000 - £44,999</v>
      </c>
      <c r="N739" t="str" cm="1">
        <f t="array" ref="N73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739">
        <f>FLOOR(Sales_Export_2019_2020__2[[#This Row],[order_value_GBP]],5000)</f>
        <v>40000</v>
      </c>
    </row>
    <row r="740" spans="1:15" x14ac:dyDescent="0.35">
      <c r="A740" t="s">
        <v>45</v>
      </c>
      <c r="B740" s="2">
        <v>242526</v>
      </c>
      <c r="C740" s="2">
        <v>212113.24</v>
      </c>
      <c r="D740" s="1">
        <v>43619</v>
      </c>
      <c r="E740" t="s">
        <v>24</v>
      </c>
      <c r="F740" t="s">
        <v>166</v>
      </c>
      <c r="G740" t="s">
        <v>48</v>
      </c>
      <c r="H740" t="s">
        <v>49</v>
      </c>
      <c r="I740" t="s">
        <v>28</v>
      </c>
      <c r="J740" t="s">
        <v>898</v>
      </c>
      <c r="K740" s="2">
        <f>Sales_Export_2019_2020__2[[#This Row],[order_value_GBP]]-Sales_Export_2019_2020__2[[#This Row],[ cost ]]</f>
        <v>30412.760000000009</v>
      </c>
      <c r="L740" t="b">
        <f>COUNTIF(Sales_Export_2019_2020__2[order_id],Sales_Export_2019_2020__2[[#This Row],[order_id]])&gt;1</f>
        <v>0</v>
      </c>
      <c r="M740" t="str">
        <f t="shared" si="12"/>
        <v>£240,000 - £244,999</v>
      </c>
      <c r="N740" t="str" cm="1">
        <f t="array" ref="N74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40">
        <f>FLOOR(Sales_Export_2019_2020__2[[#This Row],[order_value_GBP]],5000)</f>
        <v>240000</v>
      </c>
    </row>
    <row r="741" spans="1:15" x14ac:dyDescent="0.35">
      <c r="A741" t="s">
        <v>53</v>
      </c>
      <c r="B741" s="2">
        <v>140635.94</v>
      </c>
      <c r="C741" s="2">
        <v>115194.9</v>
      </c>
      <c r="D741" s="1">
        <v>44173</v>
      </c>
      <c r="E741" t="s">
        <v>60</v>
      </c>
      <c r="F741" t="s">
        <v>35</v>
      </c>
      <c r="G741" t="s">
        <v>55</v>
      </c>
      <c r="H741" t="s">
        <v>72</v>
      </c>
      <c r="I741" t="s">
        <v>28</v>
      </c>
      <c r="J741" t="s">
        <v>899</v>
      </c>
      <c r="K741" s="2">
        <f>Sales_Export_2019_2020__2[[#This Row],[order_value_GBP]]-Sales_Export_2019_2020__2[[#This Row],[ cost ]]</f>
        <v>25441.040000000008</v>
      </c>
      <c r="L741" t="b">
        <f>COUNTIF(Sales_Export_2019_2020__2[order_id],Sales_Export_2019_2020__2[[#This Row],[order_id]])&gt;1</f>
        <v>0</v>
      </c>
      <c r="M741" t="str">
        <f t="shared" si="12"/>
        <v>£140,000 - £144,999</v>
      </c>
      <c r="N741" t="str" cm="1">
        <f t="array" ref="N74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41">
        <f>FLOOR(Sales_Export_2019_2020__2[[#This Row],[order_value_GBP]],5000)</f>
        <v>140000</v>
      </c>
    </row>
    <row r="742" spans="1:15" x14ac:dyDescent="0.35">
      <c r="A742" t="s">
        <v>23</v>
      </c>
      <c r="B742" s="2">
        <v>157754.35999999999</v>
      </c>
      <c r="C742" s="2">
        <v>132166.6</v>
      </c>
      <c r="D742" s="1">
        <v>43686</v>
      </c>
      <c r="E742" t="s">
        <v>11</v>
      </c>
      <c r="F742" t="s">
        <v>180</v>
      </c>
      <c r="G742" t="s">
        <v>26</v>
      </c>
      <c r="H742" t="s">
        <v>32</v>
      </c>
      <c r="I742" t="s">
        <v>15</v>
      </c>
      <c r="J742" t="s">
        <v>900</v>
      </c>
      <c r="K742" s="2">
        <f>Sales_Export_2019_2020__2[[#This Row],[order_value_GBP]]-Sales_Export_2019_2020__2[[#This Row],[ cost ]]</f>
        <v>25587.75999999998</v>
      </c>
      <c r="L742" t="b">
        <f>COUNTIF(Sales_Export_2019_2020__2[order_id],Sales_Export_2019_2020__2[[#This Row],[order_id]])&gt;1</f>
        <v>0</v>
      </c>
      <c r="M742" t="str">
        <f t="shared" si="12"/>
        <v>£155,000 - £159,999</v>
      </c>
      <c r="N742" t="str" cm="1">
        <f t="array" ref="N74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42">
        <f>FLOOR(Sales_Export_2019_2020__2[[#This Row],[order_value_GBP]],5000)</f>
        <v>155000</v>
      </c>
    </row>
    <row r="743" spans="1:15" x14ac:dyDescent="0.35">
      <c r="A743" t="s">
        <v>53</v>
      </c>
      <c r="B743" s="2">
        <v>88977.22</v>
      </c>
      <c r="C743" s="2">
        <v>72534.23</v>
      </c>
      <c r="D743" s="1">
        <v>44107</v>
      </c>
      <c r="E743" t="s">
        <v>11</v>
      </c>
      <c r="F743" t="s">
        <v>92</v>
      </c>
      <c r="G743" t="s">
        <v>55</v>
      </c>
      <c r="H743" t="s">
        <v>133</v>
      </c>
      <c r="I743" t="s">
        <v>28</v>
      </c>
      <c r="J743" t="s">
        <v>901</v>
      </c>
      <c r="K743" s="2">
        <f>Sales_Export_2019_2020__2[[#This Row],[order_value_GBP]]-Sales_Export_2019_2020__2[[#This Row],[ cost ]]</f>
        <v>16442.990000000005</v>
      </c>
      <c r="L743" t="b">
        <f>COUNTIF(Sales_Export_2019_2020__2[order_id],Sales_Export_2019_2020__2[[#This Row],[order_id]])&gt;1</f>
        <v>0</v>
      </c>
      <c r="M743" t="str">
        <f t="shared" si="12"/>
        <v>£85,000 - £89,999</v>
      </c>
      <c r="N743" t="str" cm="1">
        <f t="array" ref="N74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43">
        <f>FLOOR(Sales_Export_2019_2020__2[[#This Row],[order_value_GBP]],5000)</f>
        <v>85000</v>
      </c>
    </row>
    <row r="744" spans="1:15" x14ac:dyDescent="0.35">
      <c r="A744" t="s">
        <v>23</v>
      </c>
      <c r="B744" s="2">
        <v>74231.25</v>
      </c>
      <c r="C744" s="2">
        <v>61604.51</v>
      </c>
      <c r="D744" s="1">
        <v>43780</v>
      </c>
      <c r="E744" t="s">
        <v>30</v>
      </c>
      <c r="F744" t="s">
        <v>54</v>
      </c>
      <c r="G744" t="s">
        <v>26</v>
      </c>
      <c r="H744" t="s">
        <v>219</v>
      </c>
      <c r="I744" t="s">
        <v>15</v>
      </c>
      <c r="J744" t="s">
        <v>902</v>
      </c>
      <c r="K744" s="2">
        <f>Sales_Export_2019_2020__2[[#This Row],[order_value_GBP]]-Sales_Export_2019_2020__2[[#This Row],[ cost ]]</f>
        <v>12626.739999999998</v>
      </c>
      <c r="L744" t="b">
        <f>COUNTIF(Sales_Export_2019_2020__2[order_id],Sales_Export_2019_2020__2[[#This Row],[order_id]])&gt;1</f>
        <v>0</v>
      </c>
      <c r="M744" t="str">
        <f t="shared" si="12"/>
        <v>£70,000 - £74,999</v>
      </c>
      <c r="N744" t="str" cm="1">
        <f t="array" ref="N74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44">
        <f>FLOOR(Sales_Export_2019_2020__2[[#This Row],[order_value_GBP]],5000)</f>
        <v>70000</v>
      </c>
    </row>
    <row r="745" spans="1:15" x14ac:dyDescent="0.35">
      <c r="A745" t="s">
        <v>10</v>
      </c>
      <c r="B745" s="2">
        <v>131402.37</v>
      </c>
      <c r="C745" s="2">
        <v>106383.36</v>
      </c>
      <c r="D745" s="1">
        <v>43741</v>
      </c>
      <c r="E745" t="s">
        <v>30</v>
      </c>
      <c r="F745" t="s">
        <v>35</v>
      </c>
      <c r="G745" t="s">
        <v>13</v>
      </c>
      <c r="H745" t="s">
        <v>69</v>
      </c>
      <c r="I745" t="s">
        <v>28</v>
      </c>
      <c r="J745" t="s">
        <v>903</v>
      </c>
      <c r="K745" s="2">
        <f>Sales_Export_2019_2020__2[[#This Row],[order_value_GBP]]-Sales_Export_2019_2020__2[[#This Row],[ cost ]]</f>
        <v>25019.009999999995</v>
      </c>
      <c r="L745" t="b">
        <f>COUNTIF(Sales_Export_2019_2020__2[order_id],Sales_Export_2019_2020__2[[#This Row],[order_id]])&gt;1</f>
        <v>0</v>
      </c>
      <c r="M745" t="str">
        <f t="shared" si="12"/>
        <v>£130,000 - £134,999</v>
      </c>
      <c r="N745" t="str" cm="1">
        <f t="array" ref="N74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45">
        <f>FLOOR(Sales_Export_2019_2020__2[[#This Row],[order_value_GBP]],5000)</f>
        <v>130000</v>
      </c>
    </row>
    <row r="746" spans="1:15" x14ac:dyDescent="0.35">
      <c r="A746" t="s">
        <v>10</v>
      </c>
      <c r="B746" s="2">
        <v>156505.37</v>
      </c>
      <c r="C746" s="2">
        <v>128647.41</v>
      </c>
      <c r="D746" s="1">
        <v>43589</v>
      </c>
      <c r="E746" t="s">
        <v>80</v>
      </c>
      <c r="F746" t="s">
        <v>132</v>
      </c>
      <c r="G746" t="s">
        <v>13</v>
      </c>
      <c r="H746" t="s">
        <v>82</v>
      </c>
      <c r="I746" t="s">
        <v>28</v>
      </c>
      <c r="J746" t="s">
        <v>904</v>
      </c>
      <c r="K746" s="2">
        <f>Sales_Export_2019_2020__2[[#This Row],[order_value_GBP]]-Sales_Export_2019_2020__2[[#This Row],[ cost ]]</f>
        <v>27857.959999999992</v>
      </c>
      <c r="L746" t="b">
        <f>COUNTIF(Sales_Export_2019_2020__2[order_id],Sales_Export_2019_2020__2[[#This Row],[order_id]])&gt;1</f>
        <v>0</v>
      </c>
      <c r="M746" t="str">
        <f t="shared" si="12"/>
        <v>£155,000 - £159,999</v>
      </c>
      <c r="N746" t="str" cm="1">
        <f t="array" ref="N74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46">
        <f>FLOOR(Sales_Export_2019_2020__2[[#This Row],[order_value_GBP]],5000)</f>
        <v>155000</v>
      </c>
    </row>
    <row r="747" spans="1:15" x14ac:dyDescent="0.35">
      <c r="A747" t="s">
        <v>23</v>
      </c>
      <c r="B747" s="2">
        <v>139200.81</v>
      </c>
      <c r="C747" s="2">
        <v>120172.06</v>
      </c>
      <c r="D747" s="1">
        <v>43700</v>
      </c>
      <c r="E747" t="s">
        <v>18</v>
      </c>
      <c r="F747" t="s">
        <v>35</v>
      </c>
      <c r="G747" t="s">
        <v>26</v>
      </c>
      <c r="H747" t="s">
        <v>219</v>
      </c>
      <c r="I747" t="s">
        <v>28</v>
      </c>
      <c r="J747" t="s">
        <v>905</v>
      </c>
      <c r="K747" s="2">
        <f>Sales_Export_2019_2020__2[[#This Row],[order_value_GBP]]-Sales_Export_2019_2020__2[[#This Row],[ cost ]]</f>
        <v>19028.75</v>
      </c>
      <c r="L747" t="b">
        <f>COUNTIF(Sales_Export_2019_2020__2[order_id],Sales_Export_2019_2020__2[[#This Row],[order_id]])&gt;1</f>
        <v>0</v>
      </c>
      <c r="M747" t="str">
        <f t="shared" si="12"/>
        <v>£135,000 - £139,999</v>
      </c>
      <c r="N747" t="str" cm="1">
        <f t="array" ref="N74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47">
        <f>FLOOR(Sales_Export_2019_2020__2[[#This Row],[order_value_GBP]],5000)</f>
        <v>135000</v>
      </c>
    </row>
    <row r="748" spans="1:15" x14ac:dyDescent="0.35">
      <c r="A748" t="s">
        <v>10</v>
      </c>
      <c r="B748" s="2">
        <v>121292.94</v>
      </c>
      <c r="C748" s="2">
        <v>104384.7</v>
      </c>
      <c r="D748" s="1">
        <v>43547</v>
      </c>
      <c r="E748" t="s">
        <v>30</v>
      </c>
      <c r="F748" t="s">
        <v>43</v>
      </c>
      <c r="G748" t="s">
        <v>13</v>
      </c>
      <c r="H748" t="s">
        <v>170</v>
      </c>
      <c r="I748" t="s">
        <v>28</v>
      </c>
      <c r="J748" t="s">
        <v>906</v>
      </c>
      <c r="K748" s="2">
        <f>Sales_Export_2019_2020__2[[#This Row],[order_value_GBP]]-Sales_Export_2019_2020__2[[#This Row],[ cost ]]</f>
        <v>16908.240000000005</v>
      </c>
      <c r="L748" t="b">
        <f>COUNTIF(Sales_Export_2019_2020__2[order_id],Sales_Export_2019_2020__2[[#This Row],[order_id]])&gt;1</f>
        <v>0</v>
      </c>
      <c r="M748" t="str">
        <f t="shared" si="12"/>
        <v>£120,000 - £124,999</v>
      </c>
      <c r="N748" t="str" cm="1">
        <f t="array" ref="N74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48">
        <f>FLOOR(Sales_Export_2019_2020__2[[#This Row],[order_value_GBP]],5000)</f>
        <v>120000</v>
      </c>
    </row>
    <row r="749" spans="1:15" x14ac:dyDescent="0.35">
      <c r="A749" t="s">
        <v>53</v>
      </c>
      <c r="B749" s="2">
        <v>84712.13</v>
      </c>
      <c r="C749" s="2">
        <v>73004.91</v>
      </c>
      <c r="D749" s="1">
        <v>44023</v>
      </c>
      <c r="E749" t="s">
        <v>11</v>
      </c>
      <c r="F749" t="s">
        <v>160</v>
      </c>
      <c r="G749" t="s">
        <v>55</v>
      </c>
      <c r="H749" t="s">
        <v>133</v>
      </c>
      <c r="I749" t="s">
        <v>28</v>
      </c>
      <c r="J749" t="s">
        <v>907</v>
      </c>
      <c r="K749" s="2">
        <f>Sales_Export_2019_2020__2[[#This Row],[order_value_GBP]]-Sales_Export_2019_2020__2[[#This Row],[ cost ]]</f>
        <v>11707.220000000001</v>
      </c>
      <c r="L749" t="b">
        <f>COUNTIF(Sales_Export_2019_2020__2[order_id],Sales_Export_2019_2020__2[[#This Row],[order_id]])&gt;1</f>
        <v>0</v>
      </c>
      <c r="M749" t="str">
        <f t="shared" si="12"/>
        <v>£80,000 - £84,999</v>
      </c>
      <c r="N749" t="str" cm="1">
        <f t="array" ref="N74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49">
        <f>FLOOR(Sales_Export_2019_2020__2[[#This Row],[order_value_GBP]],5000)</f>
        <v>80000</v>
      </c>
    </row>
    <row r="750" spans="1:15" x14ac:dyDescent="0.35">
      <c r="A750" t="s">
        <v>23</v>
      </c>
      <c r="B750" s="2">
        <v>172202.38</v>
      </c>
      <c r="C750" s="2">
        <v>149816.07</v>
      </c>
      <c r="D750" s="1">
        <v>43564</v>
      </c>
      <c r="E750" t="s">
        <v>51</v>
      </c>
      <c r="F750" t="s">
        <v>282</v>
      </c>
      <c r="G750" t="s">
        <v>26</v>
      </c>
      <c r="H750" t="s">
        <v>90</v>
      </c>
      <c r="I750" t="s">
        <v>38</v>
      </c>
      <c r="J750" t="s">
        <v>908</v>
      </c>
      <c r="K750" s="2">
        <f>Sales_Export_2019_2020__2[[#This Row],[order_value_GBP]]-Sales_Export_2019_2020__2[[#This Row],[ cost ]]</f>
        <v>22386.309999999998</v>
      </c>
      <c r="L750" t="b">
        <f>COUNTIF(Sales_Export_2019_2020__2[order_id],Sales_Export_2019_2020__2[[#This Row],[order_id]])&gt;1</f>
        <v>0</v>
      </c>
      <c r="M750" t="str">
        <f t="shared" si="12"/>
        <v>£170,000 - £174,999</v>
      </c>
      <c r="N750" t="str" cm="1">
        <f t="array" ref="N75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50">
        <f>FLOOR(Sales_Export_2019_2020__2[[#This Row],[order_value_GBP]],5000)</f>
        <v>170000</v>
      </c>
    </row>
    <row r="751" spans="1:15" x14ac:dyDescent="0.35">
      <c r="A751" t="s">
        <v>10</v>
      </c>
      <c r="B751" s="2">
        <v>108978.79</v>
      </c>
      <c r="C751" s="2">
        <v>95432.73</v>
      </c>
      <c r="D751" s="1">
        <v>43797</v>
      </c>
      <c r="E751" t="s">
        <v>18</v>
      </c>
      <c r="F751" t="s">
        <v>180</v>
      </c>
      <c r="G751" t="s">
        <v>13</v>
      </c>
      <c r="H751" t="s">
        <v>14</v>
      </c>
      <c r="I751" t="s">
        <v>28</v>
      </c>
      <c r="J751" t="s">
        <v>909</v>
      </c>
      <c r="K751" s="2">
        <f>Sales_Export_2019_2020__2[[#This Row],[order_value_GBP]]-Sales_Export_2019_2020__2[[#This Row],[ cost ]]</f>
        <v>13546.059999999998</v>
      </c>
      <c r="L751" t="b">
        <f>COUNTIF(Sales_Export_2019_2020__2[order_id],Sales_Export_2019_2020__2[[#This Row],[order_id]])&gt;1</f>
        <v>0</v>
      </c>
      <c r="M751" t="str">
        <f t="shared" si="12"/>
        <v>£105,000 - £109,999</v>
      </c>
      <c r="N751" t="str" cm="1">
        <f t="array" ref="N75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51">
        <f>FLOOR(Sales_Export_2019_2020__2[[#This Row],[order_value_GBP]],5000)</f>
        <v>105000</v>
      </c>
    </row>
    <row r="752" spans="1:15" x14ac:dyDescent="0.35">
      <c r="A752" t="s">
        <v>23</v>
      </c>
      <c r="B752" s="2">
        <v>69871.92</v>
      </c>
      <c r="C752" s="2">
        <v>58014.66</v>
      </c>
      <c r="D752" s="1">
        <v>44080</v>
      </c>
      <c r="E752" t="s">
        <v>18</v>
      </c>
      <c r="F752" t="s">
        <v>35</v>
      </c>
      <c r="G752" t="s">
        <v>26</v>
      </c>
      <c r="H752" t="s">
        <v>27</v>
      </c>
      <c r="I752" t="s">
        <v>28</v>
      </c>
      <c r="J752" t="s">
        <v>910</v>
      </c>
      <c r="K752" s="2">
        <f>Sales_Export_2019_2020__2[[#This Row],[order_value_GBP]]-Sales_Export_2019_2020__2[[#This Row],[ cost ]]</f>
        <v>11857.259999999995</v>
      </c>
      <c r="L752" t="b">
        <f>COUNTIF(Sales_Export_2019_2020__2[order_id],Sales_Export_2019_2020__2[[#This Row],[order_id]])&gt;1</f>
        <v>0</v>
      </c>
      <c r="M752" t="str">
        <f t="shared" si="12"/>
        <v>£65,000 - £69,999</v>
      </c>
      <c r="N752" t="str" cm="1">
        <f t="array" ref="N75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52">
        <f>FLOOR(Sales_Export_2019_2020__2[[#This Row],[order_value_GBP]],5000)</f>
        <v>65000</v>
      </c>
    </row>
    <row r="753" spans="1:15" x14ac:dyDescent="0.35">
      <c r="A753" t="s">
        <v>53</v>
      </c>
      <c r="B753" s="2">
        <v>184221.2</v>
      </c>
      <c r="C753" s="2">
        <v>150324.5</v>
      </c>
      <c r="D753" s="1">
        <v>43631</v>
      </c>
      <c r="E753" t="s">
        <v>80</v>
      </c>
      <c r="F753" t="s">
        <v>31</v>
      </c>
      <c r="G753" t="s">
        <v>55</v>
      </c>
      <c r="H753" t="s">
        <v>72</v>
      </c>
      <c r="I753" t="s">
        <v>28</v>
      </c>
      <c r="J753" t="s">
        <v>911</v>
      </c>
      <c r="K753" s="2">
        <f>Sales_Export_2019_2020__2[[#This Row],[order_value_GBP]]-Sales_Export_2019_2020__2[[#This Row],[ cost ]]</f>
        <v>33896.700000000012</v>
      </c>
      <c r="L753" t="b">
        <f>COUNTIF(Sales_Export_2019_2020__2[order_id],Sales_Export_2019_2020__2[[#This Row],[order_id]])&gt;1</f>
        <v>0</v>
      </c>
      <c r="M753" t="str">
        <f t="shared" si="12"/>
        <v>£180,000 - £184,999</v>
      </c>
      <c r="N753" t="str" cm="1">
        <f t="array" ref="N75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53">
        <f>FLOOR(Sales_Export_2019_2020__2[[#This Row],[order_value_GBP]],5000)</f>
        <v>180000</v>
      </c>
    </row>
    <row r="754" spans="1:15" x14ac:dyDescent="0.35">
      <c r="A754" t="s">
        <v>53</v>
      </c>
      <c r="B754" s="2">
        <v>57348.43</v>
      </c>
      <c r="C754" s="2">
        <v>47587.73</v>
      </c>
      <c r="D754" s="1">
        <v>43477</v>
      </c>
      <c r="E754" t="s">
        <v>24</v>
      </c>
      <c r="F754" t="s">
        <v>31</v>
      </c>
      <c r="G754" t="s">
        <v>55</v>
      </c>
      <c r="H754" t="s">
        <v>128</v>
      </c>
      <c r="I754" t="s">
        <v>28</v>
      </c>
      <c r="J754" t="s">
        <v>912</v>
      </c>
      <c r="K754" s="2">
        <f>Sales_Export_2019_2020__2[[#This Row],[order_value_GBP]]-Sales_Export_2019_2020__2[[#This Row],[ cost ]]</f>
        <v>9760.6999999999971</v>
      </c>
      <c r="L754" t="b">
        <f>COUNTIF(Sales_Export_2019_2020__2[order_id],Sales_Export_2019_2020__2[[#This Row],[order_id]])&gt;1</f>
        <v>0</v>
      </c>
      <c r="M754" t="str">
        <f t="shared" si="12"/>
        <v>£55,000 - £59,999</v>
      </c>
      <c r="N754" t="str" cm="1">
        <f t="array" ref="N75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54">
        <f>FLOOR(Sales_Export_2019_2020__2[[#This Row],[order_value_GBP]],5000)</f>
        <v>55000</v>
      </c>
    </row>
    <row r="755" spans="1:15" x14ac:dyDescent="0.35">
      <c r="A755" t="s">
        <v>53</v>
      </c>
      <c r="B755" s="2">
        <v>197581.29</v>
      </c>
      <c r="C755" s="2">
        <v>169485.23</v>
      </c>
      <c r="D755" s="1">
        <v>43812</v>
      </c>
      <c r="E755" t="s">
        <v>80</v>
      </c>
      <c r="F755" t="s">
        <v>158</v>
      </c>
      <c r="G755" t="s">
        <v>55</v>
      </c>
      <c r="H755" t="s">
        <v>133</v>
      </c>
      <c r="I755" t="s">
        <v>28</v>
      </c>
      <c r="J755" t="s">
        <v>913</v>
      </c>
      <c r="K755" s="2">
        <f>Sales_Export_2019_2020__2[[#This Row],[order_value_GBP]]-Sales_Export_2019_2020__2[[#This Row],[ cost ]]</f>
        <v>28096.059999999998</v>
      </c>
      <c r="L755" t="b">
        <f>COUNTIF(Sales_Export_2019_2020__2[order_id],Sales_Export_2019_2020__2[[#This Row],[order_id]])&gt;1</f>
        <v>0</v>
      </c>
      <c r="M755" t="str">
        <f t="shared" si="12"/>
        <v>£195,000 - £199,999</v>
      </c>
      <c r="N755" t="str" cm="1">
        <f t="array" ref="N75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55">
        <f>FLOOR(Sales_Export_2019_2020__2[[#This Row],[order_value_GBP]],5000)</f>
        <v>195000</v>
      </c>
    </row>
    <row r="756" spans="1:15" x14ac:dyDescent="0.35">
      <c r="A756" t="s">
        <v>23</v>
      </c>
      <c r="B756" s="2">
        <v>101321.52</v>
      </c>
      <c r="C756" s="2">
        <v>86710.96</v>
      </c>
      <c r="D756" s="1">
        <v>43513</v>
      </c>
      <c r="E756" t="s">
        <v>18</v>
      </c>
      <c r="F756" t="s">
        <v>121</v>
      </c>
      <c r="G756" t="s">
        <v>26</v>
      </c>
      <c r="H756" t="s">
        <v>219</v>
      </c>
      <c r="I756" t="s">
        <v>28</v>
      </c>
      <c r="J756" t="s">
        <v>914</v>
      </c>
      <c r="K756" s="2">
        <f>Sales_Export_2019_2020__2[[#This Row],[order_value_GBP]]-Sales_Export_2019_2020__2[[#This Row],[ cost ]]</f>
        <v>14610.559999999998</v>
      </c>
      <c r="L756" t="b">
        <f>COUNTIF(Sales_Export_2019_2020__2[order_id],Sales_Export_2019_2020__2[[#This Row],[order_id]])&gt;1</f>
        <v>0</v>
      </c>
      <c r="M756" t="str">
        <f t="shared" si="12"/>
        <v>£100,000 - £104,999</v>
      </c>
      <c r="N756" t="str" cm="1">
        <f t="array" ref="N75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56">
        <f>FLOOR(Sales_Export_2019_2020__2[[#This Row],[order_value_GBP]],5000)</f>
        <v>100000</v>
      </c>
    </row>
    <row r="757" spans="1:15" x14ac:dyDescent="0.35">
      <c r="A757" t="s">
        <v>45</v>
      </c>
      <c r="B757" s="2">
        <v>124234.91</v>
      </c>
      <c r="C757" s="2">
        <v>98244.97</v>
      </c>
      <c r="D757" s="1">
        <v>44093</v>
      </c>
      <c r="E757" t="s">
        <v>62</v>
      </c>
      <c r="F757" t="s">
        <v>35</v>
      </c>
      <c r="G757" t="s">
        <v>48</v>
      </c>
      <c r="H757" t="s">
        <v>66</v>
      </c>
      <c r="I757" t="s">
        <v>28</v>
      </c>
      <c r="J757" t="s">
        <v>915</v>
      </c>
      <c r="K757" s="2">
        <f>Sales_Export_2019_2020__2[[#This Row],[order_value_GBP]]-Sales_Export_2019_2020__2[[#This Row],[ cost ]]</f>
        <v>25989.940000000002</v>
      </c>
      <c r="L757" t="b">
        <f>COUNTIF(Sales_Export_2019_2020__2[order_id],Sales_Export_2019_2020__2[[#This Row],[order_id]])&gt;1</f>
        <v>0</v>
      </c>
      <c r="M757" t="str">
        <f t="shared" si="12"/>
        <v>£120,000 - £124,999</v>
      </c>
      <c r="N757" t="str" cm="1">
        <f t="array" ref="N75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57">
        <f>FLOOR(Sales_Export_2019_2020__2[[#This Row],[order_value_GBP]],5000)</f>
        <v>120000</v>
      </c>
    </row>
    <row r="758" spans="1:15" x14ac:dyDescent="0.35">
      <c r="A758" t="s">
        <v>23</v>
      </c>
      <c r="B758" s="2">
        <v>254883.03</v>
      </c>
      <c r="C758" s="2">
        <v>213413.56</v>
      </c>
      <c r="D758" s="1">
        <v>43811</v>
      </c>
      <c r="E758" t="s">
        <v>51</v>
      </c>
      <c r="F758" t="s">
        <v>210</v>
      </c>
      <c r="G758" t="s">
        <v>26</v>
      </c>
      <c r="H758" t="s">
        <v>76</v>
      </c>
      <c r="I758" t="s">
        <v>28</v>
      </c>
      <c r="J758" t="s">
        <v>916</v>
      </c>
      <c r="K758" s="2">
        <f>Sales_Export_2019_2020__2[[#This Row],[order_value_GBP]]-Sales_Export_2019_2020__2[[#This Row],[ cost ]]</f>
        <v>41469.47</v>
      </c>
      <c r="L758" t="b">
        <f>COUNTIF(Sales_Export_2019_2020__2[order_id],Sales_Export_2019_2020__2[[#This Row],[order_id]])&gt;1</f>
        <v>0</v>
      </c>
      <c r="M758" t="str">
        <f t="shared" si="12"/>
        <v>£250,000 - £254,999</v>
      </c>
      <c r="N758" t="str" cm="1">
        <f t="array" ref="N75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58">
        <f>FLOOR(Sales_Export_2019_2020__2[[#This Row],[order_value_GBP]],5000)</f>
        <v>250000</v>
      </c>
    </row>
    <row r="759" spans="1:15" x14ac:dyDescent="0.35">
      <c r="A759" t="s">
        <v>53</v>
      </c>
      <c r="B759" s="2">
        <v>57333.85</v>
      </c>
      <c r="C759" s="2">
        <v>46308.55</v>
      </c>
      <c r="D759" s="1">
        <v>44128</v>
      </c>
      <c r="E759" t="s">
        <v>139</v>
      </c>
      <c r="F759" t="s">
        <v>12</v>
      </c>
      <c r="G759" t="s">
        <v>55</v>
      </c>
      <c r="H759" t="s">
        <v>72</v>
      </c>
      <c r="I759" t="s">
        <v>28</v>
      </c>
      <c r="J759" t="s">
        <v>917</v>
      </c>
      <c r="K759" s="2">
        <f>Sales_Export_2019_2020__2[[#This Row],[order_value_GBP]]-Sales_Export_2019_2020__2[[#This Row],[ cost ]]</f>
        <v>11025.299999999996</v>
      </c>
      <c r="L759" t="b">
        <f>COUNTIF(Sales_Export_2019_2020__2[order_id],Sales_Export_2019_2020__2[[#This Row],[order_id]])&gt;1</f>
        <v>0</v>
      </c>
      <c r="M759" t="str">
        <f t="shared" si="12"/>
        <v>£55,000 - £59,999</v>
      </c>
      <c r="N759" t="str" cm="1">
        <f t="array" ref="N75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59">
        <f>FLOOR(Sales_Export_2019_2020__2[[#This Row],[order_value_GBP]],5000)</f>
        <v>55000</v>
      </c>
    </row>
    <row r="760" spans="1:15" x14ac:dyDescent="0.35">
      <c r="A760" t="s">
        <v>23</v>
      </c>
      <c r="B760" s="2">
        <v>65760.39</v>
      </c>
      <c r="C760" s="2">
        <v>56672.3</v>
      </c>
      <c r="D760" s="1">
        <v>44113</v>
      </c>
      <c r="E760" t="s">
        <v>60</v>
      </c>
      <c r="F760" t="s">
        <v>237</v>
      </c>
      <c r="G760" t="s">
        <v>26</v>
      </c>
      <c r="H760" t="s">
        <v>32</v>
      </c>
      <c r="I760" t="s">
        <v>28</v>
      </c>
      <c r="J760" t="s">
        <v>918</v>
      </c>
      <c r="K760" s="2">
        <f>Sales_Export_2019_2020__2[[#This Row],[order_value_GBP]]-Sales_Export_2019_2020__2[[#This Row],[ cost ]]</f>
        <v>9088.0899999999965</v>
      </c>
      <c r="L760" t="b">
        <f>COUNTIF(Sales_Export_2019_2020__2[order_id],Sales_Export_2019_2020__2[[#This Row],[order_id]])&gt;1</f>
        <v>0</v>
      </c>
      <c r="M760" t="str">
        <f t="shared" si="12"/>
        <v>£65,000 - £69,999</v>
      </c>
      <c r="N760" t="str" cm="1">
        <f t="array" ref="N76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60">
        <f>FLOOR(Sales_Export_2019_2020__2[[#This Row],[order_value_GBP]],5000)</f>
        <v>65000</v>
      </c>
    </row>
    <row r="761" spans="1:15" x14ac:dyDescent="0.35">
      <c r="A761" t="s">
        <v>23</v>
      </c>
      <c r="B761" s="2">
        <v>53485</v>
      </c>
      <c r="C761" s="2">
        <v>46713.8</v>
      </c>
      <c r="D761" s="1">
        <v>43879</v>
      </c>
      <c r="E761" t="s">
        <v>24</v>
      </c>
      <c r="F761" t="s">
        <v>35</v>
      </c>
      <c r="G761" t="s">
        <v>26</v>
      </c>
      <c r="H761" t="s">
        <v>76</v>
      </c>
      <c r="I761" t="s">
        <v>28</v>
      </c>
      <c r="J761" t="s">
        <v>919</v>
      </c>
      <c r="K761" s="2">
        <f>Sales_Export_2019_2020__2[[#This Row],[order_value_GBP]]-Sales_Export_2019_2020__2[[#This Row],[ cost ]]</f>
        <v>6771.1999999999971</v>
      </c>
      <c r="L761" t="b">
        <f>COUNTIF(Sales_Export_2019_2020__2[order_id],Sales_Export_2019_2020__2[[#This Row],[order_id]])&gt;1</f>
        <v>0</v>
      </c>
      <c r="M761" t="str">
        <f t="shared" si="12"/>
        <v>£50,000 - £54,999</v>
      </c>
      <c r="N761" t="str" cm="1">
        <f t="array" ref="N76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61">
        <f>FLOOR(Sales_Export_2019_2020__2[[#This Row],[order_value_GBP]],5000)</f>
        <v>50000</v>
      </c>
    </row>
    <row r="762" spans="1:15" x14ac:dyDescent="0.35">
      <c r="A762" t="s">
        <v>53</v>
      </c>
      <c r="B762" s="2">
        <v>154950.74</v>
      </c>
      <c r="C762" s="2">
        <v>133195.66</v>
      </c>
      <c r="D762" s="1">
        <v>43747</v>
      </c>
      <c r="E762" t="s">
        <v>60</v>
      </c>
      <c r="F762" t="s">
        <v>234</v>
      </c>
      <c r="G762" t="s">
        <v>55</v>
      </c>
      <c r="H762" t="s">
        <v>128</v>
      </c>
      <c r="I762" t="s">
        <v>38</v>
      </c>
      <c r="J762" t="s">
        <v>920</v>
      </c>
      <c r="K762" s="2">
        <f>Sales_Export_2019_2020__2[[#This Row],[order_value_GBP]]-Sales_Export_2019_2020__2[[#This Row],[ cost ]]</f>
        <v>21755.079999999987</v>
      </c>
      <c r="L762" t="b">
        <f>COUNTIF(Sales_Export_2019_2020__2[order_id],Sales_Export_2019_2020__2[[#This Row],[order_id]])&gt;1</f>
        <v>0</v>
      </c>
      <c r="M762" t="str">
        <f t="shared" si="12"/>
        <v>£150,000 - £154,999</v>
      </c>
      <c r="N762" t="str" cm="1">
        <f t="array" ref="N76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62">
        <f>FLOOR(Sales_Export_2019_2020__2[[#This Row],[order_value_GBP]],5000)</f>
        <v>150000</v>
      </c>
    </row>
    <row r="763" spans="1:15" x14ac:dyDescent="0.35">
      <c r="A763" t="s">
        <v>45</v>
      </c>
      <c r="B763" s="2">
        <v>19949.11</v>
      </c>
      <c r="C763" s="2">
        <v>16364.25</v>
      </c>
      <c r="D763" s="1">
        <v>43521</v>
      </c>
      <c r="E763" t="s">
        <v>30</v>
      </c>
      <c r="F763" t="s">
        <v>174</v>
      </c>
      <c r="G763" t="s">
        <v>48</v>
      </c>
      <c r="H763" t="s">
        <v>49</v>
      </c>
      <c r="I763" t="s">
        <v>38</v>
      </c>
      <c r="J763" t="s">
        <v>921</v>
      </c>
      <c r="K763" s="2">
        <f>Sales_Export_2019_2020__2[[#This Row],[order_value_GBP]]-Sales_Export_2019_2020__2[[#This Row],[ cost ]]</f>
        <v>3584.8600000000006</v>
      </c>
      <c r="L763" t="b">
        <f>COUNTIF(Sales_Export_2019_2020__2[order_id],Sales_Export_2019_2020__2[[#This Row],[order_id]])&gt;1</f>
        <v>0</v>
      </c>
      <c r="M763" t="str">
        <f t="shared" si="12"/>
        <v>£15,000 - £19,999</v>
      </c>
      <c r="N763" t="str" cm="1">
        <f t="array" ref="N76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763">
        <f>FLOOR(Sales_Export_2019_2020__2[[#This Row],[order_value_GBP]],5000)</f>
        <v>15000</v>
      </c>
    </row>
    <row r="764" spans="1:15" x14ac:dyDescent="0.35">
      <c r="A764" t="s">
        <v>53</v>
      </c>
      <c r="B764" s="2">
        <v>124784.67</v>
      </c>
      <c r="C764" s="2">
        <v>106853.11</v>
      </c>
      <c r="D764" s="1">
        <v>43973</v>
      </c>
      <c r="E764" t="s">
        <v>80</v>
      </c>
      <c r="F764" t="s">
        <v>58</v>
      </c>
      <c r="G764" t="s">
        <v>55</v>
      </c>
      <c r="H764" t="s">
        <v>133</v>
      </c>
      <c r="I764" t="s">
        <v>38</v>
      </c>
      <c r="J764" t="s">
        <v>922</v>
      </c>
      <c r="K764" s="2">
        <f>Sales_Export_2019_2020__2[[#This Row],[order_value_GBP]]-Sales_Export_2019_2020__2[[#This Row],[ cost ]]</f>
        <v>17931.559999999998</v>
      </c>
      <c r="L764" t="b">
        <f>COUNTIF(Sales_Export_2019_2020__2[order_id],Sales_Export_2019_2020__2[[#This Row],[order_id]])&gt;1</f>
        <v>0</v>
      </c>
      <c r="M764" t="str">
        <f t="shared" si="12"/>
        <v>£120,000 - £124,999</v>
      </c>
      <c r="N764" t="str" cm="1">
        <f t="array" ref="N76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64">
        <f>FLOOR(Sales_Export_2019_2020__2[[#This Row],[order_value_GBP]],5000)</f>
        <v>120000</v>
      </c>
    </row>
    <row r="765" spans="1:15" x14ac:dyDescent="0.35">
      <c r="A765" t="s">
        <v>106</v>
      </c>
      <c r="B765" s="2">
        <v>120831.28</v>
      </c>
      <c r="C765" s="2">
        <v>95746.71</v>
      </c>
      <c r="D765" s="1">
        <v>43973</v>
      </c>
      <c r="E765" t="s">
        <v>62</v>
      </c>
      <c r="F765" t="s">
        <v>648</v>
      </c>
      <c r="G765" t="s">
        <v>107</v>
      </c>
      <c r="H765" t="s">
        <v>108</v>
      </c>
      <c r="I765" t="s">
        <v>28</v>
      </c>
      <c r="J765" t="s">
        <v>923</v>
      </c>
      <c r="K765" s="2">
        <f>Sales_Export_2019_2020__2[[#This Row],[order_value_GBP]]-Sales_Export_2019_2020__2[[#This Row],[ cost ]]</f>
        <v>25084.569999999992</v>
      </c>
      <c r="L765" t="b">
        <f>COUNTIF(Sales_Export_2019_2020__2[order_id],Sales_Export_2019_2020__2[[#This Row],[order_id]])&gt;1</f>
        <v>0</v>
      </c>
      <c r="M765" t="str">
        <f t="shared" si="12"/>
        <v>£120,000 - £124,999</v>
      </c>
      <c r="N765" t="str" cm="1">
        <f t="array" ref="N76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65">
        <f>FLOOR(Sales_Export_2019_2020__2[[#This Row],[order_value_GBP]],5000)</f>
        <v>120000</v>
      </c>
    </row>
    <row r="766" spans="1:15" x14ac:dyDescent="0.35">
      <c r="A766" t="s">
        <v>23</v>
      </c>
      <c r="B766" s="2">
        <v>127631.89</v>
      </c>
      <c r="C766" s="2">
        <v>110963.17</v>
      </c>
      <c r="D766" s="1">
        <v>43793</v>
      </c>
      <c r="E766" t="s">
        <v>24</v>
      </c>
      <c r="F766" t="s">
        <v>237</v>
      </c>
      <c r="G766" t="s">
        <v>26</v>
      </c>
      <c r="H766" t="s">
        <v>76</v>
      </c>
      <c r="I766" t="s">
        <v>28</v>
      </c>
      <c r="J766" t="s">
        <v>924</v>
      </c>
      <c r="K766" s="2">
        <f>Sales_Export_2019_2020__2[[#This Row],[order_value_GBP]]-Sales_Export_2019_2020__2[[#This Row],[ cost ]]</f>
        <v>16668.72</v>
      </c>
      <c r="L766" t="b">
        <f>COUNTIF(Sales_Export_2019_2020__2[order_id],Sales_Export_2019_2020__2[[#This Row],[order_id]])&gt;1</f>
        <v>0</v>
      </c>
      <c r="M766" t="str">
        <f t="shared" si="12"/>
        <v>£125,000 - £129,999</v>
      </c>
      <c r="N766" t="str" cm="1">
        <f t="array" ref="N76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66">
        <f>FLOOR(Sales_Export_2019_2020__2[[#This Row],[order_value_GBP]],5000)</f>
        <v>125000</v>
      </c>
    </row>
    <row r="767" spans="1:15" x14ac:dyDescent="0.35">
      <c r="A767" t="s">
        <v>106</v>
      </c>
      <c r="B767" s="2">
        <v>68984.17</v>
      </c>
      <c r="C767" s="2">
        <v>59560.93</v>
      </c>
      <c r="D767" s="1">
        <v>43476</v>
      </c>
      <c r="E767" t="s">
        <v>30</v>
      </c>
      <c r="F767" t="s">
        <v>132</v>
      </c>
      <c r="G767" t="s">
        <v>107</v>
      </c>
      <c r="H767" t="s">
        <v>108</v>
      </c>
      <c r="I767" t="s">
        <v>28</v>
      </c>
      <c r="J767" t="s">
        <v>925</v>
      </c>
      <c r="K767" s="2">
        <f>Sales_Export_2019_2020__2[[#This Row],[order_value_GBP]]-Sales_Export_2019_2020__2[[#This Row],[ cost ]]</f>
        <v>9423.239999999998</v>
      </c>
      <c r="L767" t="b">
        <f>COUNTIF(Sales_Export_2019_2020__2[order_id],Sales_Export_2019_2020__2[[#This Row],[order_id]])&gt;1</f>
        <v>0</v>
      </c>
      <c r="M767" t="str">
        <f t="shared" si="12"/>
        <v>£65,000 - £69,999</v>
      </c>
      <c r="N767" t="str" cm="1">
        <f t="array" ref="N76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67">
        <f>FLOOR(Sales_Export_2019_2020__2[[#This Row],[order_value_GBP]],5000)</f>
        <v>65000</v>
      </c>
    </row>
    <row r="768" spans="1:15" x14ac:dyDescent="0.35">
      <c r="A768" t="s">
        <v>53</v>
      </c>
      <c r="B768" s="2">
        <v>56823.17</v>
      </c>
      <c r="C768" s="2">
        <v>46583.63</v>
      </c>
      <c r="D768" s="1">
        <v>43820</v>
      </c>
      <c r="E768" t="s">
        <v>30</v>
      </c>
      <c r="F768" t="s">
        <v>71</v>
      </c>
      <c r="G768" t="s">
        <v>55</v>
      </c>
      <c r="H768" t="s">
        <v>133</v>
      </c>
      <c r="I768" t="s">
        <v>15</v>
      </c>
      <c r="J768" t="s">
        <v>926</v>
      </c>
      <c r="K768" s="2">
        <f>Sales_Export_2019_2020__2[[#This Row],[order_value_GBP]]-Sales_Export_2019_2020__2[[#This Row],[ cost ]]</f>
        <v>10239.540000000001</v>
      </c>
      <c r="L768" t="b">
        <f>COUNTIF(Sales_Export_2019_2020__2[order_id],Sales_Export_2019_2020__2[[#This Row],[order_id]])&gt;1</f>
        <v>0</v>
      </c>
      <c r="M768" t="str">
        <f t="shared" si="12"/>
        <v>£55,000 - £59,999</v>
      </c>
      <c r="N768" t="str" cm="1">
        <f t="array" ref="N76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68">
        <f>FLOOR(Sales_Export_2019_2020__2[[#This Row],[order_value_GBP]],5000)</f>
        <v>55000</v>
      </c>
    </row>
    <row r="769" spans="1:15" x14ac:dyDescent="0.35">
      <c r="A769" t="s">
        <v>23</v>
      </c>
      <c r="B769" s="2">
        <v>126974.92</v>
      </c>
      <c r="C769" s="2">
        <v>101516.45</v>
      </c>
      <c r="D769" s="1">
        <v>43478</v>
      </c>
      <c r="E769" t="s">
        <v>18</v>
      </c>
      <c r="F769" t="s">
        <v>25</v>
      </c>
      <c r="G769" t="s">
        <v>26</v>
      </c>
      <c r="H769" t="s">
        <v>90</v>
      </c>
      <c r="I769" t="s">
        <v>28</v>
      </c>
      <c r="J769" t="s">
        <v>927</v>
      </c>
      <c r="K769" s="2">
        <f>Sales_Export_2019_2020__2[[#This Row],[order_value_GBP]]-Sales_Export_2019_2020__2[[#This Row],[ cost ]]</f>
        <v>25458.47</v>
      </c>
      <c r="L769" t="b">
        <f>COUNTIF(Sales_Export_2019_2020__2[order_id],Sales_Export_2019_2020__2[[#This Row],[order_id]])&gt;1</f>
        <v>0</v>
      </c>
      <c r="M769" t="str">
        <f t="shared" si="12"/>
        <v>£125,000 - £129,999</v>
      </c>
      <c r="N769" t="str" cm="1">
        <f t="array" ref="N76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69">
        <f>FLOOR(Sales_Export_2019_2020__2[[#This Row],[order_value_GBP]],5000)</f>
        <v>125000</v>
      </c>
    </row>
    <row r="770" spans="1:15" x14ac:dyDescent="0.35">
      <c r="A770" t="s">
        <v>23</v>
      </c>
      <c r="B770" s="2">
        <v>121736.23</v>
      </c>
      <c r="C770" s="2">
        <v>106214.86</v>
      </c>
      <c r="D770" s="1">
        <v>43957</v>
      </c>
      <c r="E770" t="s">
        <v>46</v>
      </c>
      <c r="F770" t="s">
        <v>178</v>
      </c>
      <c r="G770" t="s">
        <v>26</v>
      </c>
      <c r="H770" t="s">
        <v>27</v>
      </c>
      <c r="I770" t="s">
        <v>28</v>
      </c>
      <c r="J770" t="s">
        <v>928</v>
      </c>
      <c r="K770" s="2">
        <f>Sales_Export_2019_2020__2[[#This Row],[order_value_GBP]]-Sales_Export_2019_2020__2[[#This Row],[ cost ]]</f>
        <v>15521.369999999995</v>
      </c>
      <c r="L770" t="b">
        <f>COUNTIF(Sales_Export_2019_2020__2[order_id],Sales_Export_2019_2020__2[[#This Row],[order_id]])&gt;1</f>
        <v>0</v>
      </c>
      <c r="M770" t="str">
        <f t="shared" si="12"/>
        <v>£120,000 - £124,999</v>
      </c>
      <c r="N770" t="str" cm="1">
        <f t="array" ref="N77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70">
        <f>FLOOR(Sales_Export_2019_2020__2[[#This Row],[order_value_GBP]],5000)</f>
        <v>120000</v>
      </c>
    </row>
    <row r="771" spans="1:15" x14ac:dyDescent="0.35">
      <c r="A771" t="s">
        <v>53</v>
      </c>
      <c r="B771" s="2">
        <v>150287.47</v>
      </c>
      <c r="C771" s="2">
        <v>123611.44</v>
      </c>
      <c r="D771" s="1">
        <v>44048</v>
      </c>
      <c r="E771" t="s">
        <v>11</v>
      </c>
      <c r="F771" t="s">
        <v>146</v>
      </c>
      <c r="G771" t="s">
        <v>55</v>
      </c>
      <c r="H771" t="s">
        <v>144</v>
      </c>
      <c r="I771" t="s">
        <v>28</v>
      </c>
      <c r="J771" t="s">
        <v>929</v>
      </c>
      <c r="K771" s="2">
        <f>Sales_Export_2019_2020__2[[#This Row],[order_value_GBP]]-Sales_Export_2019_2020__2[[#This Row],[ cost ]]</f>
        <v>26676.03</v>
      </c>
      <c r="L771" t="b">
        <f>COUNTIF(Sales_Export_2019_2020__2[order_id],Sales_Export_2019_2020__2[[#This Row],[order_id]])&gt;1</f>
        <v>0</v>
      </c>
      <c r="M771" t="str">
        <f t="shared" si="12"/>
        <v>£150,000 - £154,999</v>
      </c>
      <c r="N771" t="str" cm="1">
        <f t="array" ref="N77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71">
        <f>FLOOR(Sales_Export_2019_2020__2[[#This Row],[order_value_GBP]],5000)</f>
        <v>150000</v>
      </c>
    </row>
    <row r="772" spans="1:15" x14ac:dyDescent="0.35">
      <c r="A772" t="s">
        <v>17</v>
      </c>
      <c r="B772" s="2">
        <v>93007.22</v>
      </c>
      <c r="C772" s="2">
        <v>81837.05</v>
      </c>
      <c r="D772" s="1">
        <v>44144</v>
      </c>
      <c r="E772" t="s">
        <v>62</v>
      </c>
      <c r="F772" t="s">
        <v>182</v>
      </c>
      <c r="G772" t="s">
        <v>20</v>
      </c>
      <c r="H772" t="s">
        <v>21</v>
      </c>
      <c r="I772" t="s">
        <v>28</v>
      </c>
      <c r="J772" t="s">
        <v>930</v>
      </c>
      <c r="K772" s="2">
        <f>Sales_Export_2019_2020__2[[#This Row],[order_value_GBP]]-Sales_Export_2019_2020__2[[#This Row],[ cost ]]</f>
        <v>11170.169999999998</v>
      </c>
      <c r="L772" t="b">
        <f>COUNTIF(Sales_Export_2019_2020__2[order_id],Sales_Export_2019_2020__2[[#This Row],[order_id]])&gt;1</f>
        <v>0</v>
      </c>
      <c r="M772" t="str">
        <f t="shared" si="12"/>
        <v>£90,000 - £94,999</v>
      </c>
      <c r="N772" t="str" cm="1">
        <f t="array" ref="N77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72">
        <f>FLOOR(Sales_Export_2019_2020__2[[#This Row],[order_value_GBP]],5000)</f>
        <v>90000</v>
      </c>
    </row>
    <row r="773" spans="1:15" x14ac:dyDescent="0.35">
      <c r="A773" t="s">
        <v>173</v>
      </c>
      <c r="B773" s="2">
        <v>165747.20000000001</v>
      </c>
      <c r="C773" s="2">
        <v>132912.68</v>
      </c>
      <c r="D773" s="1">
        <v>43851</v>
      </c>
      <c r="E773" t="s">
        <v>11</v>
      </c>
      <c r="F773" t="s">
        <v>40</v>
      </c>
      <c r="G773" t="s">
        <v>175</v>
      </c>
      <c r="H773" t="s">
        <v>176</v>
      </c>
      <c r="I773" t="s">
        <v>28</v>
      </c>
      <c r="J773" t="s">
        <v>931</v>
      </c>
      <c r="K773" s="2">
        <f>Sales_Export_2019_2020__2[[#This Row],[order_value_GBP]]-Sales_Export_2019_2020__2[[#This Row],[ cost ]]</f>
        <v>32834.520000000019</v>
      </c>
      <c r="L773" t="b">
        <f>COUNTIF(Sales_Export_2019_2020__2[order_id],Sales_Export_2019_2020__2[[#This Row],[order_id]])&gt;1</f>
        <v>0</v>
      </c>
      <c r="M773" t="str">
        <f t="shared" si="12"/>
        <v>£165,000 - £169,999</v>
      </c>
      <c r="N773" t="str" cm="1">
        <f t="array" ref="N77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73">
        <f>FLOOR(Sales_Export_2019_2020__2[[#This Row],[order_value_GBP]],5000)</f>
        <v>165000</v>
      </c>
    </row>
    <row r="774" spans="1:15" x14ac:dyDescent="0.35">
      <c r="A774" t="s">
        <v>10</v>
      </c>
      <c r="B774" s="2">
        <v>177215.51</v>
      </c>
      <c r="C774" s="2">
        <v>155807.88</v>
      </c>
      <c r="D774" s="1">
        <v>43592</v>
      </c>
      <c r="E774" t="s">
        <v>24</v>
      </c>
      <c r="F774" t="s">
        <v>132</v>
      </c>
      <c r="G774" t="s">
        <v>13</v>
      </c>
      <c r="H774" t="s">
        <v>82</v>
      </c>
      <c r="I774" t="s">
        <v>28</v>
      </c>
      <c r="J774" t="s">
        <v>932</v>
      </c>
      <c r="K774" s="2">
        <f>Sales_Export_2019_2020__2[[#This Row],[order_value_GBP]]-Sales_Export_2019_2020__2[[#This Row],[ cost ]]</f>
        <v>21407.630000000005</v>
      </c>
      <c r="L774" t="b">
        <f>COUNTIF(Sales_Export_2019_2020__2[order_id],Sales_Export_2019_2020__2[[#This Row],[order_id]])&gt;1</f>
        <v>0</v>
      </c>
      <c r="M774" t="str">
        <f t="shared" si="12"/>
        <v>£175,000 - £179,999</v>
      </c>
      <c r="N774" t="str" cm="1">
        <f t="array" ref="N77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74">
        <f>FLOOR(Sales_Export_2019_2020__2[[#This Row],[order_value_GBP]],5000)</f>
        <v>175000</v>
      </c>
    </row>
    <row r="775" spans="1:15" x14ac:dyDescent="0.35">
      <c r="A775" t="s">
        <v>53</v>
      </c>
      <c r="B775" s="2">
        <v>99132.04</v>
      </c>
      <c r="C775" s="2">
        <v>78819.89</v>
      </c>
      <c r="D775" s="1">
        <v>43911</v>
      </c>
      <c r="E775" t="s">
        <v>60</v>
      </c>
      <c r="F775" t="s">
        <v>112</v>
      </c>
      <c r="G775" t="s">
        <v>55</v>
      </c>
      <c r="H775" t="s">
        <v>144</v>
      </c>
      <c r="I775" t="s">
        <v>28</v>
      </c>
      <c r="J775" t="s">
        <v>933</v>
      </c>
      <c r="K775" s="2">
        <f>Sales_Export_2019_2020__2[[#This Row],[order_value_GBP]]-Sales_Export_2019_2020__2[[#This Row],[ cost ]]</f>
        <v>20312.149999999994</v>
      </c>
      <c r="L775" t="b">
        <f>COUNTIF(Sales_Export_2019_2020__2[order_id],Sales_Export_2019_2020__2[[#This Row],[order_id]])&gt;1</f>
        <v>0</v>
      </c>
      <c r="M775" t="str">
        <f t="shared" si="12"/>
        <v>£95,000 - £99,999</v>
      </c>
      <c r="N775" t="str" cm="1">
        <f t="array" ref="N77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75">
        <f>FLOOR(Sales_Export_2019_2020__2[[#This Row],[order_value_GBP]],5000)</f>
        <v>95000</v>
      </c>
    </row>
    <row r="776" spans="1:15" x14ac:dyDescent="0.35">
      <c r="A776" t="s">
        <v>215</v>
      </c>
      <c r="B776" s="2">
        <v>180519.86</v>
      </c>
      <c r="C776" s="2">
        <v>145968.35999999999</v>
      </c>
      <c r="D776" s="1">
        <v>43650</v>
      </c>
      <c r="E776" t="s">
        <v>18</v>
      </c>
      <c r="F776" t="s">
        <v>94</v>
      </c>
      <c r="G776" t="s">
        <v>216</v>
      </c>
      <c r="H776" t="s">
        <v>217</v>
      </c>
      <c r="I776" t="s">
        <v>28</v>
      </c>
      <c r="J776" t="s">
        <v>934</v>
      </c>
      <c r="K776" s="2">
        <f>Sales_Export_2019_2020__2[[#This Row],[order_value_GBP]]-Sales_Export_2019_2020__2[[#This Row],[ cost ]]</f>
        <v>34551.5</v>
      </c>
      <c r="L776" t="b">
        <f>COUNTIF(Sales_Export_2019_2020__2[order_id],Sales_Export_2019_2020__2[[#This Row],[order_id]])&gt;1</f>
        <v>0</v>
      </c>
      <c r="M776" t="str">
        <f t="shared" si="12"/>
        <v>£180,000 - £184,999</v>
      </c>
      <c r="N776" t="str" cm="1">
        <f t="array" ref="N77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76">
        <f>FLOOR(Sales_Export_2019_2020__2[[#This Row],[order_value_GBP]],5000)</f>
        <v>180000</v>
      </c>
    </row>
    <row r="777" spans="1:15" x14ac:dyDescent="0.35">
      <c r="A777" t="s">
        <v>53</v>
      </c>
      <c r="B777" s="2">
        <v>68173.22</v>
      </c>
      <c r="C777" s="2">
        <v>54040.91</v>
      </c>
      <c r="D777" s="1">
        <v>44149</v>
      </c>
      <c r="E777" t="s">
        <v>60</v>
      </c>
      <c r="F777" t="s">
        <v>25</v>
      </c>
      <c r="G777" t="s">
        <v>55</v>
      </c>
      <c r="H777" t="s">
        <v>72</v>
      </c>
      <c r="I777" t="s">
        <v>28</v>
      </c>
      <c r="J777" t="s">
        <v>935</v>
      </c>
      <c r="K777" s="2">
        <f>Sales_Export_2019_2020__2[[#This Row],[order_value_GBP]]-Sales_Export_2019_2020__2[[#This Row],[ cost ]]</f>
        <v>14132.309999999998</v>
      </c>
      <c r="L777" t="b">
        <f>COUNTIF(Sales_Export_2019_2020__2[order_id],Sales_Export_2019_2020__2[[#This Row],[order_id]])&gt;1</f>
        <v>0</v>
      </c>
      <c r="M777" t="str">
        <f t="shared" si="12"/>
        <v>£65,000 - £69,999</v>
      </c>
      <c r="N777" t="str" cm="1">
        <f t="array" ref="N77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77">
        <f>FLOOR(Sales_Export_2019_2020__2[[#This Row],[order_value_GBP]],5000)</f>
        <v>65000</v>
      </c>
    </row>
    <row r="778" spans="1:15" x14ac:dyDescent="0.35">
      <c r="A778" t="s">
        <v>23</v>
      </c>
      <c r="B778" s="2">
        <v>97439.360000000001</v>
      </c>
      <c r="C778" s="2">
        <v>79773.600000000006</v>
      </c>
      <c r="D778" s="1">
        <v>43685</v>
      </c>
      <c r="E778" t="s">
        <v>18</v>
      </c>
      <c r="F778" t="s">
        <v>123</v>
      </c>
      <c r="G778" t="s">
        <v>26</v>
      </c>
      <c r="H778" t="s">
        <v>219</v>
      </c>
      <c r="I778" t="s">
        <v>28</v>
      </c>
      <c r="J778" t="s">
        <v>936</v>
      </c>
      <c r="K778" s="2">
        <f>Sales_Export_2019_2020__2[[#This Row],[order_value_GBP]]-Sales_Export_2019_2020__2[[#This Row],[ cost ]]</f>
        <v>17665.759999999995</v>
      </c>
      <c r="L778" t="b">
        <f>COUNTIF(Sales_Export_2019_2020__2[order_id],Sales_Export_2019_2020__2[[#This Row],[order_id]])&gt;1</f>
        <v>0</v>
      </c>
      <c r="M778" t="str">
        <f t="shared" si="12"/>
        <v>£95,000 - £99,999</v>
      </c>
      <c r="N778" t="str" cm="1">
        <f t="array" ref="N77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78">
        <f>FLOOR(Sales_Export_2019_2020__2[[#This Row],[order_value_GBP]],5000)</f>
        <v>95000</v>
      </c>
    </row>
    <row r="779" spans="1:15" x14ac:dyDescent="0.35">
      <c r="A779" t="s">
        <v>10</v>
      </c>
      <c r="B779" s="2">
        <v>103638.67</v>
      </c>
      <c r="C779" s="2">
        <v>84030.23</v>
      </c>
      <c r="D779" s="1">
        <v>44126</v>
      </c>
      <c r="E779" t="s">
        <v>80</v>
      </c>
      <c r="F779" t="s">
        <v>168</v>
      </c>
      <c r="G779" t="s">
        <v>13</v>
      </c>
      <c r="H779" t="s">
        <v>69</v>
      </c>
      <c r="I779" t="s">
        <v>28</v>
      </c>
      <c r="J779" t="s">
        <v>937</v>
      </c>
      <c r="K779" s="2">
        <f>Sales_Export_2019_2020__2[[#This Row],[order_value_GBP]]-Sales_Export_2019_2020__2[[#This Row],[ cost ]]</f>
        <v>19608.440000000002</v>
      </c>
      <c r="L779" t="b">
        <f>COUNTIF(Sales_Export_2019_2020__2[order_id],Sales_Export_2019_2020__2[[#This Row],[order_id]])&gt;1</f>
        <v>0</v>
      </c>
      <c r="M779" t="str">
        <f t="shared" si="12"/>
        <v>£100,000 - £104,999</v>
      </c>
      <c r="N779" t="str" cm="1">
        <f t="array" ref="N77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79">
        <f>FLOOR(Sales_Export_2019_2020__2[[#This Row],[order_value_GBP]],5000)</f>
        <v>100000</v>
      </c>
    </row>
    <row r="780" spans="1:15" x14ac:dyDescent="0.35">
      <c r="A780" t="s">
        <v>10</v>
      </c>
      <c r="B780" s="2">
        <v>169810.63</v>
      </c>
      <c r="C780" s="2">
        <v>145952.24</v>
      </c>
      <c r="D780" s="1">
        <v>44163</v>
      </c>
      <c r="E780" t="s">
        <v>60</v>
      </c>
      <c r="F780" t="s">
        <v>237</v>
      </c>
      <c r="G780" t="s">
        <v>13</v>
      </c>
      <c r="H780" t="s">
        <v>118</v>
      </c>
      <c r="I780" t="s">
        <v>28</v>
      </c>
      <c r="J780" t="s">
        <v>938</v>
      </c>
      <c r="K780" s="2">
        <f>Sales_Export_2019_2020__2[[#This Row],[order_value_GBP]]-Sales_Export_2019_2020__2[[#This Row],[ cost ]]</f>
        <v>23858.390000000014</v>
      </c>
      <c r="L780" t="b">
        <f>COUNTIF(Sales_Export_2019_2020__2[order_id],Sales_Export_2019_2020__2[[#This Row],[order_id]])&gt;1</f>
        <v>0</v>
      </c>
      <c r="M780" t="str">
        <f t="shared" si="12"/>
        <v>£165,000 - £169,999</v>
      </c>
      <c r="N780" t="str" cm="1">
        <f t="array" ref="N78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80">
        <f>FLOOR(Sales_Export_2019_2020__2[[#This Row],[order_value_GBP]],5000)</f>
        <v>165000</v>
      </c>
    </row>
    <row r="781" spans="1:15" x14ac:dyDescent="0.35">
      <c r="A781" t="s">
        <v>53</v>
      </c>
      <c r="B781" s="2">
        <v>75264.84</v>
      </c>
      <c r="C781" s="2">
        <v>61694.59</v>
      </c>
      <c r="D781" s="1">
        <v>44090</v>
      </c>
      <c r="E781" t="s">
        <v>24</v>
      </c>
      <c r="F781" t="s">
        <v>68</v>
      </c>
      <c r="G781" t="s">
        <v>55</v>
      </c>
      <c r="H781" t="s">
        <v>133</v>
      </c>
      <c r="I781" t="s">
        <v>15</v>
      </c>
      <c r="J781" t="s">
        <v>939</v>
      </c>
      <c r="K781" s="2">
        <f>Sales_Export_2019_2020__2[[#This Row],[order_value_GBP]]-Sales_Export_2019_2020__2[[#This Row],[ cost ]]</f>
        <v>13570.25</v>
      </c>
      <c r="L781" t="b">
        <f>COUNTIF(Sales_Export_2019_2020__2[order_id],Sales_Export_2019_2020__2[[#This Row],[order_id]])&gt;1</f>
        <v>0</v>
      </c>
      <c r="M781" t="str">
        <f t="shared" si="12"/>
        <v>£75,000 - £79,999</v>
      </c>
      <c r="N781" t="str" cm="1">
        <f t="array" ref="N78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81">
        <f>FLOOR(Sales_Export_2019_2020__2[[#This Row],[order_value_GBP]],5000)</f>
        <v>75000</v>
      </c>
    </row>
    <row r="782" spans="1:15" x14ac:dyDescent="0.35">
      <c r="A782" t="s">
        <v>34</v>
      </c>
      <c r="B782" s="2">
        <v>58933.16</v>
      </c>
      <c r="C782" s="2">
        <v>51855.29</v>
      </c>
      <c r="D782" s="1">
        <v>43728</v>
      </c>
      <c r="E782" t="s">
        <v>80</v>
      </c>
      <c r="F782" t="s">
        <v>237</v>
      </c>
      <c r="G782" t="s">
        <v>36</v>
      </c>
      <c r="H782" t="s">
        <v>37</v>
      </c>
      <c r="I782" t="s">
        <v>15</v>
      </c>
      <c r="J782" t="s">
        <v>940</v>
      </c>
      <c r="K782" s="2">
        <f>Sales_Export_2019_2020__2[[#This Row],[order_value_GBP]]-Sales_Export_2019_2020__2[[#This Row],[ cost ]]</f>
        <v>7077.8700000000026</v>
      </c>
      <c r="L782" t="b">
        <f>COUNTIF(Sales_Export_2019_2020__2[order_id],Sales_Export_2019_2020__2[[#This Row],[order_id]])&gt;1</f>
        <v>0</v>
      </c>
      <c r="M782" t="str">
        <f t="shared" si="12"/>
        <v>£55,000 - £59,999</v>
      </c>
      <c r="N782" t="str" cm="1">
        <f t="array" ref="N78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82">
        <f>FLOOR(Sales_Export_2019_2020__2[[#This Row],[order_value_GBP]],5000)</f>
        <v>55000</v>
      </c>
    </row>
    <row r="783" spans="1:15" x14ac:dyDescent="0.35">
      <c r="A783" t="s">
        <v>23</v>
      </c>
      <c r="B783" s="2">
        <v>168773.6</v>
      </c>
      <c r="C783" s="2">
        <v>137398.59</v>
      </c>
      <c r="D783" s="1">
        <v>43699</v>
      </c>
      <c r="E783" t="s">
        <v>18</v>
      </c>
      <c r="F783" t="s">
        <v>68</v>
      </c>
      <c r="G783" t="s">
        <v>26</v>
      </c>
      <c r="H783" t="s">
        <v>76</v>
      </c>
      <c r="I783" t="s">
        <v>28</v>
      </c>
      <c r="J783" t="s">
        <v>941</v>
      </c>
      <c r="K783" s="2">
        <f>Sales_Export_2019_2020__2[[#This Row],[order_value_GBP]]-Sales_Export_2019_2020__2[[#This Row],[ cost ]]</f>
        <v>31375.010000000009</v>
      </c>
      <c r="L783" t="b">
        <f>COUNTIF(Sales_Export_2019_2020__2[order_id],Sales_Export_2019_2020__2[[#This Row],[order_id]])&gt;1</f>
        <v>0</v>
      </c>
      <c r="M783" t="str">
        <f t="shared" si="12"/>
        <v>£165,000 - £169,999</v>
      </c>
      <c r="N783" t="str" cm="1">
        <f t="array" ref="N78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83">
        <f>FLOOR(Sales_Export_2019_2020__2[[#This Row],[order_value_GBP]],5000)</f>
        <v>165000</v>
      </c>
    </row>
    <row r="784" spans="1:15" x14ac:dyDescent="0.35">
      <c r="A784" t="s">
        <v>23</v>
      </c>
      <c r="B784" s="2">
        <v>152676.76999999999</v>
      </c>
      <c r="C784" s="2">
        <v>122385.7</v>
      </c>
      <c r="D784" s="1">
        <v>44019</v>
      </c>
      <c r="E784" t="s">
        <v>62</v>
      </c>
      <c r="F784" t="s">
        <v>150</v>
      </c>
      <c r="G784" t="s">
        <v>26</v>
      </c>
      <c r="H784" t="s">
        <v>27</v>
      </c>
      <c r="I784" t="s">
        <v>28</v>
      </c>
      <c r="J784" t="s">
        <v>942</v>
      </c>
      <c r="K784" s="2">
        <f>Sales_Export_2019_2020__2[[#This Row],[order_value_GBP]]-Sales_Export_2019_2020__2[[#This Row],[ cost ]]</f>
        <v>30291.069999999992</v>
      </c>
      <c r="L784" t="b">
        <f>COUNTIF(Sales_Export_2019_2020__2[order_id],Sales_Export_2019_2020__2[[#This Row],[order_id]])&gt;1</f>
        <v>0</v>
      </c>
      <c r="M784" t="str">
        <f t="shared" si="12"/>
        <v>£150,000 - £154,999</v>
      </c>
      <c r="N784" t="str" cm="1">
        <f t="array" ref="N78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84">
        <f>FLOOR(Sales_Export_2019_2020__2[[#This Row],[order_value_GBP]],5000)</f>
        <v>150000</v>
      </c>
    </row>
    <row r="785" spans="1:15" x14ac:dyDescent="0.35">
      <c r="A785" t="s">
        <v>23</v>
      </c>
      <c r="B785" s="2">
        <v>116556.81</v>
      </c>
      <c r="C785" s="2">
        <v>95448.37</v>
      </c>
      <c r="D785" s="1">
        <v>43975</v>
      </c>
      <c r="E785" t="s">
        <v>62</v>
      </c>
      <c r="F785" t="s">
        <v>47</v>
      </c>
      <c r="G785" t="s">
        <v>26</v>
      </c>
      <c r="H785" t="s">
        <v>90</v>
      </c>
      <c r="I785" t="s">
        <v>28</v>
      </c>
      <c r="J785" t="s">
        <v>943</v>
      </c>
      <c r="K785" s="2">
        <f>Sales_Export_2019_2020__2[[#This Row],[order_value_GBP]]-Sales_Export_2019_2020__2[[#This Row],[ cost ]]</f>
        <v>21108.440000000002</v>
      </c>
      <c r="L785" t="b">
        <f>COUNTIF(Sales_Export_2019_2020__2[order_id],Sales_Export_2019_2020__2[[#This Row],[order_id]])&gt;1</f>
        <v>0</v>
      </c>
      <c r="M785" t="str">
        <f t="shared" si="12"/>
        <v>£115,000 - £119,999</v>
      </c>
      <c r="N785" t="str" cm="1">
        <f t="array" ref="N78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85">
        <f>FLOOR(Sales_Export_2019_2020__2[[#This Row],[order_value_GBP]],5000)</f>
        <v>115000</v>
      </c>
    </row>
    <row r="786" spans="1:15" x14ac:dyDescent="0.35">
      <c r="A786" t="s">
        <v>53</v>
      </c>
      <c r="B786" s="2">
        <v>310539</v>
      </c>
      <c r="C786" s="2">
        <v>248275.93</v>
      </c>
      <c r="D786" s="1">
        <v>44176</v>
      </c>
      <c r="E786" t="s">
        <v>80</v>
      </c>
      <c r="F786" t="s">
        <v>35</v>
      </c>
      <c r="G786" t="s">
        <v>55</v>
      </c>
      <c r="H786" t="s">
        <v>133</v>
      </c>
      <c r="I786" t="s">
        <v>28</v>
      </c>
      <c r="J786" t="s">
        <v>944</v>
      </c>
      <c r="K786" s="2">
        <f>Sales_Export_2019_2020__2[[#This Row],[order_value_GBP]]-Sales_Export_2019_2020__2[[#This Row],[ cost ]]</f>
        <v>62263.070000000007</v>
      </c>
      <c r="L786" t="b">
        <f>COUNTIF(Sales_Export_2019_2020__2[order_id],Sales_Export_2019_2020__2[[#This Row],[order_id]])&gt;1</f>
        <v>0</v>
      </c>
      <c r="M786" t="str">
        <f t="shared" si="12"/>
        <v>£310,000 - £314,999</v>
      </c>
      <c r="N786" t="str" cm="1">
        <f t="array" ref="N78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86">
        <f>FLOOR(Sales_Export_2019_2020__2[[#This Row],[order_value_GBP]],5000)</f>
        <v>310000</v>
      </c>
    </row>
    <row r="787" spans="1:15" x14ac:dyDescent="0.35">
      <c r="A787" t="s">
        <v>23</v>
      </c>
      <c r="B787" s="2">
        <v>106325.72</v>
      </c>
      <c r="C787" s="2">
        <v>92705.4</v>
      </c>
      <c r="D787" s="1">
        <v>43727</v>
      </c>
      <c r="E787" t="s">
        <v>18</v>
      </c>
      <c r="F787" t="s">
        <v>12</v>
      </c>
      <c r="G787" t="s">
        <v>26</v>
      </c>
      <c r="H787" t="s">
        <v>32</v>
      </c>
      <c r="I787" t="s">
        <v>15</v>
      </c>
      <c r="J787" t="s">
        <v>945</v>
      </c>
      <c r="K787" s="2">
        <f>Sales_Export_2019_2020__2[[#This Row],[order_value_GBP]]-Sales_Export_2019_2020__2[[#This Row],[ cost ]]</f>
        <v>13620.320000000007</v>
      </c>
      <c r="L787" t="b">
        <f>COUNTIF(Sales_Export_2019_2020__2[order_id],Sales_Export_2019_2020__2[[#This Row],[order_id]])&gt;1</f>
        <v>0</v>
      </c>
      <c r="M787" t="str">
        <f t="shared" si="12"/>
        <v>£105,000 - £109,999</v>
      </c>
      <c r="N787" t="str" cm="1">
        <f t="array" ref="N78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87">
        <f>FLOOR(Sales_Export_2019_2020__2[[#This Row],[order_value_GBP]],5000)</f>
        <v>105000</v>
      </c>
    </row>
    <row r="788" spans="1:15" x14ac:dyDescent="0.35">
      <c r="A788" t="s">
        <v>10</v>
      </c>
      <c r="B788" s="2">
        <v>90602.07</v>
      </c>
      <c r="C788" s="2">
        <v>71630</v>
      </c>
      <c r="D788" s="1">
        <v>43895</v>
      </c>
      <c r="E788" t="s">
        <v>80</v>
      </c>
      <c r="F788" t="s">
        <v>148</v>
      </c>
      <c r="G788" t="s">
        <v>13</v>
      </c>
      <c r="H788" t="s">
        <v>170</v>
      </c>
      <c r="I788" t="s">
        <v>28</v>
      </c>
      <c r="J788" t="s">
        <v>946</v>
      </c>
      <c r="K788" s="2">
        <f>Sales_Export_2019_2020__2[[#This Row],[order_value_GBP]]-Sales_Export_2019_2020__2[[#This Row],[ cost ]]</f>
        <v>18972.070000000007</v>
      </c>
      <c r="L788" t="b">
        <f>COUNTIF(Sales_Export_2019_2020__2[order_id],Sales_Export_2019_2020__2[[#This Row],[order_id]])&gt;1</f>
        <v>0</v>
      </c>
      <c r="M788" t="str">
        <f t="shared" si="12"/>
        <v>£90,000 - £94,999</v>
      </c>
      <c r="N788" t="str" cm="1">
        <f t="array" ref="N78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88">
        <f>FLOOR(Sales_Export_2019_2020__2[[#This Row],[order_value_GBP]],5000)</f>
        <v>90000</v>
      </c>
    </row>
    <row r="789" spans="1:15" x14ac:dyDescent="0.35">
      <c r="A789" t="s">
        <v>34</v>
      </c>
      <c r="B789" s="2">
        <v>120012.56</v>
      </c>
      <c r="C789" s="2">
        <v>97762.23</v>
      </c>
      <c r="D789" s="1">
        <v>43962</v>
      </c>
      <c r="E789" t="s">
        <v>18</v>
      </c>
      <c r="F789" t="s">
        <v>132</v>
      </c>
      <c r="G789" t="s">
        <v>36</v>
      </c>
      <c r="H789" t="s">
        <v>37</v>
      </c>
      <c r="I789" t="s">
        <v>15</v>
      </c>
      <c r="J789" t="s">
        <v>947</v>
      </c>
      <c r="K789" s="2">
        <f>Sales_Export_2019_2020__2[[#This Row],[order_value_GBP]]-Sales_Export_2019_2020__2[[#This Row],[ cost ]]</f>
        <v>22250.33</v>
      </c>
      <c r="L789" t="b">
        <f>COUNTIF(Sales_Export_2019_2020__2[order_id],Sales_Export_2019_2020__2[[#This Row],[order_id]])&gt;1</f>
        <v>0</v>
      </c>
      <c r="M789" t="str">
        <f t="shared" si="12"/>
        <v>£120,000 - £124,999</v>
      </c>
      <c r="N789" t="str" cm="1">
        <f t="array" ref="N78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89">
        <f>FLOOR(Sales_Export_2019_2020__2[[#This Row],[order_value_GBP]],5000)</f>
        <v>120000</v>
      </c>
    </row>
    <row r="790" spans="1:15" x14ac:dyDescent="0.35">
      <c r="A790" t="s">
        <v>53</v>
      </c>
      <c r="B790" s="2">
        <v>143658.22</v>
      </c>
      <c r="C790" s="2">
        <v>123158.19</v>
      </c>
      <c r="D790" s="1">
        <v>44134</v>
      </c>
      <c r="E790" t="s">
        <v>51</v>
      </c>
      <c r="F790" t="s">
        <v>64</v>
      </c>
      <c r="G790" t="s">
        <v>55</v>
      </c>
      <c r="H790" t="s">
        <v>72</v>
      </c>
      <c r="I790" t="s">
        <v>28</v>
      </c>
      <c r="J790" t="s">
        <v>948</v>
      </c>
      <c r="K790" s="2">
        <f>Sales_Export_2019_2020__2[[#This Row],[order_value_GBP]]-Sales_Export_2019_2020__2[[#This Row],[ cost ]]</f>
        <v>20500.03</v>
      </c>
      <c r="L790" t="b">
        <f>COUNTIF(Sales_Export_2019_2020__2[order_id],Sales_Export_2019_2020__2[[#This Row],[order_id]])&gt;1</f>
        <v>0</v>
      </c>
      <c r="M790" t="str">
        <f t="shared" si="12"/>
        <v>£140,000 - £144,999</v>
      </c>
      <c r="N790" t="str" cm="1">
        <f t="array" ref="N79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90">
        <f>FLOOR(Sales_Export_2019_2020__2[[#This Row],[order_value_GBP]],5000)</f>
        <v>140000</v>
      </c>
    </row>
    <row r="791" spans="1:15" x14ac:dyDescent="0.35">
      <c r="A791" t="s">
        <v>23</v>
      </c>
      <c r="B791" s="2">
        <v>263571.82</v>
      </c>
      <c r="C791" s="2">
        <v>216155.25</v>
      </c>
      <c r="D791" s="1">
        <v>43990</v>
      </c>
      <c r="E791" t="s">
        <v>62</v>
      </c>
      <c r="F791" t="s">
        <v>210</v>
      </c>
      <c r="G791" t="s">
        <v>26</v>
      </c>
      <c r="H791" t="s">
        <v>32</v>
      </c>
      <c r="I791" t="s">
        <v>28</v>
      </c>
      <c r="J791" t="s">
        <v>949</v>
      </c>
      <c r="K791" s="2">
        <f>Sales_Export_2019_2020__2[[#This Row],[order_value_GBP]]-Sales_Export_2019_2020__2[[#This Row],[ cost ]]</f>
        <v>47416.570000000007</v>
      </c>
      <c r="L791" t="b">
        <f>COUNTIF(Sales_Export_2019_2020__2[order_id],Sales_Export_2019_2020__2[[#This Row],[order_id]])&gt;1</f>
        <v>0</v>
      </c>
      <c r="M791" t="str">
        <f t="shared" si="12"/>
        <v>£260,000 - £264,999</v>
      </c>
      <c r="N791" t="str" cm="1">
        <f t="array" ref="N79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91">
        <f>FLOOR(Sales_Export_2019_2020__2[[#This Row],[order_value_GBP]],5000)</f>
        <v>260000</v>
      </c>
    </row>
    <row r="792" spans="1:15" x14ac:dyDescent="0.35">
      <c r="A792" t="s">
        <v>53</v>
      </c>
      <c r="B792" s="2">
        <v>131097.04999999999</v>
      </c>
      <c r="C792" s="2">
        <v>109203.84</v>
      </c>
      <c r="D792" s="1">
        <v>44008</v>
      </c>
      <c r="E792" t="s">
        <v>30</v>
      </c>
      <c r="F792" t="s">
        <v>25</v>
      </c>
      <c r="G792" t="s">
        <v>55</v>
      </c>
      <c r="H792" t="s">
        <v>56</v>
      </c>
      <c r="I792" t="s">
        <v>28</v>
      </c>
      <c r="J792" t="s">
        <v>950</v>
      </c>
      <c r="K792" s="2">
        <f>Sales_Export_2019_2020__2[[#This Row],[order_value_GBP]]-Sales_Export_2019_2020__2[[#This Row],[ cost ]]</f>
        <v>21893.209999999992</v>
      </c>
      <c r="L792" t="b">
        <f>COUNTIF(Sales_Export_2019_2020__2[order_id],Sales_Export_2019_2020__2[[#This Row],[order_id]])&gt;1</f>
        <v>0</v>
      </c>
      <c r="M792" t="str">
        <f t="shared" si="12"/>
        <v>£130,000 - £134,999</v>
      </c>
      <c r="N792" t="str" cm="1">
        <f t="array" ref="N79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92">
        <f>FLOOR(Sales_Export_2019_2020__2[[#This Row],[order_value_GBP]],5000)</f>
        <v>130000</v>
      </c>
    </row>
    <row r="793" spans="1:15" x14ac:dyDescent="0.35">
      <c r="A793" t="s">
        <v>138</v>
      </c>
      <c r="B793" s="2">
        <v>127830.38</v>
      </c>
      <c r="C793" s="2">
        <v>103874.97</v>
      </c>
      <c r="D793" s="1">
        <v>43972</v>
      </c>
      <c r="E793" t="s">
        <v>18</v>
      </c>
      <c r="F793" t="s">
        <v>89</v>
      </c>
      <c r="G793" t="s">
        <v>140</v>
      </c>
      <c r="H793" t="s">
        <v>141</v>
      </c>
      <c r="I793" t="s">
        <v>28</v>
      </c>
      <c r="J793" t="s">
        <v>951</v>
      </c>
      <c r="K793" s="2">
        <f>Sales_Export_2019_2020__2[[#This Row],[order_value_GBP]]-Sales_Export_2019_2020__2[[#This Row],[ cost ]]</f>
        <v>23955.410000000003</v>
      </c>
      <c r="L793" t="b">
        <f>COUNTIF(Sales_Export_2019_2020__2[order_id],Sales_Export_2019_2020__2[[#This Row],[order_id]])&gt;1</f>
        <v>0</v>
      </c>
      <c r="M793" t="str">
        <f t="shared" si="12"/>
        <v>£125,000 - £129,999</v>
      </c>
      <c r="N793" t="str" cm="1">
        <f t="array" ref="N79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93">
        <f>FLOOR(Sales_Export_2019_2020__2[[#This Row],[order_value_GBP]],5000)</f>
        <v>125000</v>
      </c>
    </row>
    <row r="794" spans="1:15" x14ac:dyDescent="0.35">
      <c r="A794" t="s">
        <v>23</v>
      </c>
      <c r="B794" s="2">
        <v>129353.22</v>
      </c>
      <c r="C794" s="2">
        <v>111593.02</v>
      </c>
      <c r="D794" s="1">
        <v>43483</v>
      </c>
      <c r="E794" t="s">
        <v>18</v>
      </c>
      <c r="F794" t="s">
        <v>234</v>
      </c>
      <c r="G794" t="s">
        <v>26</v>
      </c>
      <c r="H794" t="s">
        <v>76</v>
      </c>
      <c r="I794" t="s">
        <v>15</v>
      </c>
      <c r="J794" t="s">
        <v>952</v>
      </c>
      <c r="K794" s="2">
        <f>Sales_Export_2019_2020__2[[#This Row],[order_value_GBP]]-Sales_Export_2019_2020__2[[#This Row],[ cost ]]</f>
        <v>17760.199999999997</v>
      </c>
      <c r="L794" t="b">
        <f>COUNTIF(Sales_Export_2019_2020__2[order_id],Sales_Export_2019_2020__2[[#This Row],[order_id]])&gt;1</f>
        <v>0</v>
      </c>
      <c r="M794" t="str">
        <f t="shared" si="12"/>
        <v>£125,000 - £129,999</v>
      </c>
      <c r="N794" t="str" cm="1">
        <f t="array" ref="N79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94">
        <f>FLOOR(Sales_Export_2019_2020__2[[#This Row],[order_value_GBP]],5000)</f>
        <v>125000</v>
      </c>
    </row>
    <row r="795" spans="1:15" x14ac:dyDescent="0.35">
      <c r="A795" t="s">
        <v>10</v>
      </c>
      <c r="B795" s="2">
        <v>176473.32</v>
      </c>
      <c r="C795" s="2">
        <v>139413.92000000001</v>
      </c>
      <c r="D795" s="1">
        <v>43638</v>
      </c>
      <c r="E795" t="s">
        <v>18</v>
      </c>
      <c r="F795" t="s">
        <v>64</v>
      </c>
      <c r="G795" t="s">
        <v>13</v>
      </c>
      <c r="H795" t="s">
        <v>69</v>
      </c>
      <c r="I795" t="s">
        <v>28</v>
      </c>
      <c r="J795" t="s">
        <v>953</v>
      </c>
      <c r="K795" s="2">
        <f>Sales_Export_2019_2020__2[[#This Row],[order_value_GBP]]-Sales_Export_2019_2020__2[[#This Row],[ cost ]]</f>
        <v>37059.399999999994</v>
      </c>
      <c r="L795" t="b">
        <f>COUNTIF(Sales_Export_2019_2020__2[order_id],Sales_Export_2019_2020__2[[#This Row],[order_id]])&gt;1</f>
        <v>0</v>
      </c>
      <c r="M795" t="str">
        <f t="shared" si="12"/>
        <v>£175,000 - £179,999</v>
      </c>
      <c r="N795" t="str" cm="1">
        <f t="array" ref="N79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795">
        <f>FLOOR(Sales_Export_2019_2020__2[[#This Row],[order_value_GBP]],5000)</f>
        <v>175000</v>
      </c>
    </row>
    <row r="796" spans="1:15" x14ac:dyDescent="0.35">
      <c r="A796" t="s">
        <v>346</v>
      </c>
      <c r="B796" s="2">
        <v>109892.92</v>
      </c>
      <c r="C796" s="2">
        <v>89441.85</v>
      </c>
      <c r="D796" s="1">
        <v>43957</v>
      </c>
      <c r="E796" t="s">
        <v>11</v>
      </c>
      <c r="F796" t="s">
        <v>203</v>
      </c>
      <c r="G796" t="s">
        <v>347</v>
      </c>
      <c r="H796" t="s">
        <v>701</v>
      </c>
      <c r="I796" t="s">
        <v>28</v>
      </c>
      <c r="J796" t="s">
        <v>774</v>
      </c>
      <c r="K796" s="2">
        <f>Sales_Export_2019_2020__2[[#This Row],[order_value_GBP]]-Sales_Export_2019_2020__2[[#This Row],[ cost ]]</f>
        <v>20451.069999999992</v>
      </c>
      <c r="L796" t="b">
        <f>COUNTIF(Sales_Export_2019_2020__2[order_id],Sales_Export_2019_2020__2[[#This Row],[order_id]])&gt;1</f>
        <v>0</v>
      </c>
      <c r="M796" t="str">
        <f t="shared" si="12"/>
        <v>£105,000 - £109,999</v>
      </c>
      <c r="N796" t="str" cm="1">
        <f t="array" ref="N79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96">
        <f>FLOOR(Sales_Export_2019_2020__2[[#This Row],[order_value_GBP]],5000)</f>
        <v>105000</v>
      </c>
    </row>
    <row r="797" spans="1:15" x14ac:dyDescent="0.35">
      <c r="A797" t="s">
        <v>23</v>
      </c>
      <c r="B797" s="2">
        <v>137562.42000000001</v>
      </c>
      <c r="C797" s="2">
        <v>112140.88</v>
      </c>
      <c r="D797" s="1">
        <v>43935</v>
      </c>
      <c r="E797" t="s">
        <v>24</v>
      </c>
      <c r="F797" t="s">
        <v>121</v>
      </c>
      <c r="G797" t="s">
        <v>26</v>
      </c>
      <c r="H797" t="s">
        <v>90</v>
      </c>
      <c r="I797" t="s">
        <v>28</v>
      </c>
      <c r="J797" t="s">
        <v>955</v>
      </c>
      <c r="K797" s="2">
        <f>Sales_Export_2019_2020__2[[#This Row],[order_value_GBP]]-Sales_Export_2019_2020__2[[#This Row],[ cost ]]</f>
        <v>25421.540000000008</v>
      </c>
      <c r="L797" t="b">
        <f>COUNTIF(Sales_Export_2019_2020__2[order_id],Sales_Export_2019_2020__2[[#This Row],[order_id]])&gt;1</f>
        <v>0</v>
      </c>
      <c r="M797" t="str">
        <f t="shared" si="12"/>
        <v>£135,000 - £139,999</v>
      </c>
      <c r="N797" t="str" cm="1">
        <f t="array" ref="N79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797">
        <f>FLOOR(Sales_Export_2019_2020__2[[#This Row],[order_value_GBP]],5000)</f>
        <v>135000</v>
      </c>
    </row>
    <row r="798" spans="1:15" x14ac:dyDescent="0.35">
      <c r="A798" t="s">
        <v>53</v>
      </c>
      <c r="B798" s="2">
        <v>51504.5</v>
      </c>
      <c r="C798" s="2">
        <v>44592.6</v>
      </c>
      <c r="D798" s="1">
        <v>43730</v>
      </c>
      <c r="E798" t="s">
        <v>51</v>
      </c>
      <c r="F798" t="s">
        <v>121</v>
      </c>
      <c r="G798" t="s">
        <v>55</v>
      </c>
      <c r="H798" t="s">
        <v>72</v>
      </c>
      <c r="I798" t="s">
        <v>28</v>
      </c>
      <c r="J798" t="s">
        <v>956</v>
      </c>
      <c r="K798" s="2">
        <f>Sales_Export_2019_2020__2[[#This Row],[order_value_GBP]]-Sales_Export_2019_2020__2[[#This Row],[ cost ]]</f>
        <v>6911.9000000000015</v>
      </c>
      <c r="L798" t="b">
        <f>COUNTIF(Sales_Export_2019_2020__2[order_id],Sales_Export_2019_2020__2[[#This Row],[order_id]])&gt;1</f>
        <v>0</v>
      </c>
      <c r="M798" t="str">
        <f t="shared" si="12"/>
        <v>£50,000 - £54,999</v>
      </c>
      <c r="N798" t="str" cm="1">
        <f t="array" ref="N79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798">
        <f>FLOOR(Sales_Export_2019_2020__2[[#This Row],[order_value_GBP]],5000)</f>
        <v>50000</v>
      </c>
    </row>
    <row r="799" spans="1:15" x14ac:dyDescent="0.35">
      <c r="A799" t="s">
        <v>53</v>
      </c>
      <c r="B799" s="2">
        <v>38750.53</v>
      </c>
      <c r="C799" s="2">
        <v>31298.799999999999</v>
      </c>
      <c r="D799" s="1">
        <v>43709</v>
      </c>
      <c r="E799" t="s">
        <v>62</v>
      </c>
      <c r="F799" t="s">
        <v>35</v>
      </c>
      <c r="G799" t="s">
        <v>55</v>
      </c>
      <c r="H799" t="s">
        <v>72</v>
      </c>
      <c r="I799" t="s">
        <v>28</v>
      </c>
      <c r="J799" t="s">
        <v>957</v>
      </c>
      <c r="K799" s="2">
        <f>Sales_Export_2019_2020__2[[#This Row],[order_value_GBP]]-Sales_Export_2019_2020__2[[#This Row],[ cost ]]</f>
        <v>7451.73</v>
      </c>
      <c r="L799" t="b">
        <f>COUNTIF(Sales_Export_2019_2020__2[order_id],Sales_Export_2019_2020__2[[#This Row],[order_id]])&gt;1</f>
        <v>0</v>
      </c>
      <c r="M799" t="str">
        <f t="shared" si="12"/>
        <v>£35,000 - £39,999</v>
      </c>
      <c r="N799" t="str" cm="1">
        <f t="array" ref="N79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799">
        <f>FLOOR(Sales_Export_2019_2020__2[[#This Row],[order_value_GBP]],5000)</f>
        <v>35000</v>
      </c>
    </row>
    <row r="800" spans="1:15" x14ac:dyDescent="0.35">
      <c r="A800" t="s">
        <v>53</v>
      </c>
      <c r="B800" s="2">
        <v>111676.46</v>
      </c>
      <c r="C800" s="2">
        <v>92791.97</v>
      </c>
      <c r="D800" s="1">
        <v>43624</v>
      </c>
      <c r="E800" t="s">
        <v>30</v>
      </c>
      <c r="F800" t="s">
        <v>97</v>
      </c>
      <c r="G800" t="s">
        <v>55</v>
      </c>
      <c r="H800" t="s">
        <v>133</v>
      </c>
      <c r="I800" t="s">
        <v>28</v>
      </c>
      <c r="J800" t="s">
        <v>958</v>
      </c>
      <c r="K800" s="2">
        <f>Sales_Export_2019_2020__2[[#This Row],[order_value_GBP]]-Sales_Export_2019_2020__2[[#This Row],[ cost ]]</f>
        <v>18884.490000000005</v>
      </c>
      <c r="L800" t="b">
        <f>COUNTIF(Sales_Export_2019_2020__2[order_id],Sales_Export_2019_2020__2[[#This Row],[order_id]])&gt;1</f>
        <v>0</v>
      </c>
      <c r="M800" t="str">
        <f t="shared" si="12"/>
        <v>£110,000 - £114,999</v>
      </c>
      <c r="N800" t="str" cm="1">
        <f t="array" ref="N80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00">
        <f>FLOOR(Sales_Export_2019_2020__2[[#This Row],[order_value_GBP]],5000)</f>
        <v>110000</v>
      </c>
    </row>
    <row r="801" spans="1:15" x14ac:dyDescent="0.35">
      <c r="A801" t="s">
        <v>10</v>
      </c>
      <c r="B801" s="2">
        <v>46849.71</v>
      </c>
      <c r="C801" s="2">
        <v>39630.17</v>
      </c>
      <c r="D801" s="1">
        <v>43703</v>
      </c>
      <c r="E801" t="s">
        <v>30</v>
      </c>
      <c r="F801" t="s">
        <v>168</v>
      </c>
      <c r="G801" t="s">
        <v>13</v>
      </c>
      <c r="H801" t="s">
        <v>69</v>
      </c>
      <c r="I801" t="s">
        <v>28</v>
      </c>
      <c r="J801" t="s">
        <v>959</v>
      </c>
      <c r="K801" s="2">
        <f>Sales_Export_2019_2020__2[[#This Row],[order_value_GBP]]-Sales_Export_2019_2020__2[[#This Row],[ cost ]]</f>
        <v>7219.5400000000009</v>
      </c>
      <c r="L801" t="b">
        <f>COUNTIF(Sales_Export_2019_2020__2[order_id],Sales_Export_2019_2020__2[[#This Row],[order_id]])&gt;1</f>
        <v>0</v>
      </c>
      <c r="M801" t="str">
        <f t="shared" si="12"/>
        <v>£45,000 - £49,999</v>
      </c>
      <c r="N801" t="str" cm="1">
        <f t="array" ref="N80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01">
        <f>FLOOR(Sales_Export_2019_2020__2[[#This Row],[order_value_GBP]],5000)</f>
        <v>45000</v>
      </c>
    </row>
    <row r="802" spans="1:15" x14ac:dyDescent="0.35">
      <c r="A802" t="s">
        <v>10</v>
      </c>
      <c r="B802" s="2">
        <v>296844.24</v>
      </c>
      <c r="C802" s="2">
        <v>244926.18</v>
      </c>
      <c r="D802" s="1">
        <v>43624</v>
      </c>
      <c r="E802" t="s">
        <v>139</v>
      </c>
      <c r="F802" t="s">
        <v>155</v>
      </c>
      <c r="G802" t="s">
        <v>13</v>
      </c>
      <c r="H802" t="s">
        <v>170</v>
      </c>
      <c r="I802" t="s">
        <v>28</v>
      </c>
      <c r="J802" t="s">
        <v>960</v>
      </c>
      <c r="K802" s="2">
        <f>Sales_Export_2019_2020__2[[#This Row],[order_value_GBP]]-Sales_Export_2019_2020__2[[#This Row],[ cost ]]</f>
        <v>51918.06</v>
      </c>
      <c r="L802" t="b">
        <f>COUNTIF(Sales_Export_2019_2020__2[order_id],Sales_Export_2019_2020__2[[#This Row],[order_id]])&gt;1</f>
        <v>0</v>
      </c>
      <c r="M802" t="str">
        <f t="shared" ref="M802:M865" si="13">TEXT(FLOOR(B802,5000),"£#,##0")&amp;" - "&amp;TEXT(FLOOR(B802,5000)+4999,"£#,##0")</f>
        <v>£295,000 - £299,999</v>
      </c>
      <c r="N802" t="str" cm="1">
        <f t="array" ref="N80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802">
        <f>FLOOR(Sales_Export_2019_2020__2[[#This Row],[order_value_GBP]],5000)</f>
        <v>295000</v>
      </c>
    </row>
    <row r="803" spans="1:15" x14ac:dyDescent="0.35">
      <c r="A803" t="s">
        <v>23</v>
      </c>
      <c r="B803" s="2">
        <v>163492.16</v>
      </c>
      <c r="C803" s="2">
        <v>134178.01999999999</v>
      </c>
      <c r="D803" s="1">
        <v>44055</v>
      </c>
      <c r="E803" t="s">
        <v>51</v>
      </c>
      <c r="F803" t="s">
        <v>201</v>
      </c>
      <c r="G803" t="s">
        <v>26</v>
      </c>
      <c r="H803" t="s">
        <v>76</v>
      </c>
      <c r="I803" t="s">
        <v>28</v>
      </c>
      <c r="J803" t="s">
        <v>961</v>
      </c>
      <c r="K803" s="2">
        <f>Sales_Export_2019_2020__2[[#This Row],[order_value_GBP]]-Sales_Export_2019_2020__2[[#This Row],[ cost ]]</f>
        <v>29314.140000000014</v>
      </c>
      <c r="L803" t="b">
        <f>COUNTIF(Sales_Export_2019_2020__2[order_id],Sales_Export_2019_2020__2[[#This Row],[order_id]])&gt;1</f>
        <v>0</v>
      </c>
      <c r="M803" t="str">
        <f t="shared" si="13"/>
        <v>£160,000 - £164,999</v>
      </c>
      <c r="N803" t="str" cm="1">
        <f t="array" ref="N80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03">
        <f>FLOOR(Sales_Export_2019_2020__2[[#This Row],[order_value_GBP]],5000)</f>
        <v>160000</v>
      </c>
    </row>
    <row r="804" spans="1:15" x14ac:dyDescent="0.35">
      <c r="A804" t="s">
        <v>53</v>
      </c>
      <c r="B804" s="2">
        <v>116206.87</v>
      </c>
      <c r="C804" s="2">
        <v>93104.94</v>
      </c>
      <c r="D804" s="1">
        <v>43570</v>
      </c>
      <c r="E804" t="s">
        <v>18</v>
      </c>
      <c r="F804" t="s">
        <v>116</v>
      </c>
      <c r="G804" t="s">
        <v>55</v>
      </c>
      <c r="H804" t="s">
        <v>72</v>
      </c>
      <c r="I804" t="s">
        <v>28</v>
      </c>
      <c r="J804" t="s">
        <v>962</v>
      </c>
      <c r="K804" s="2">
        <f>Sales_Export_2019_2020__2[[#This Row],[order_value_GBP]]-Sales_Export_2019_2020__2[[#This Row],[ cost ]]</f>
        <v>23101.929999999993</v>
      </c>
      <c r="L804" t="b">
        <f>COUNTIF(Sales_Export_2019_2020__2[order_id],Sales_Export_2019_2020__2[[#This Row],[order_id]])&gt;1</f>
        <v>0</v>
      </c>
      <c r="M804" t="str">
        <f t="shared" si="13"/>
        <v>£115,000 - £119,999</v>
      </c>
      <c r="N804" t="str" cm="1">
        <f t="array" ref="N80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04">
        <f>FLOOR(Sales_Export_2019_2020__2[[#This Row],[order_value_GBP]],5000)</f>
        <v>115000</v>
      </c>
    </row>
    <row r="805" spans="1:15" x14ac:dyDescent="0.35">
      <c r="A805" t="s">
        <v>53</v>
      </c>
      <c r="B805" s="2">
        <v>195214.72</v>
      </c>
      <c r="C805" s="2">
        <v>154649.1</v>
      </c>
      <c r="D805" s="1">
        <v>43642</v>
      </c>
      <c r="E805" t="s">
        <v>11</v>
      </c>
      <c r="F805" t="s">
        <v>116</v>
      </c>
      <c r="G805" t="s">
        <v>55</v>
      </c>
      <c r="H805" t="s">
        <v>56</v>
      </c>
      <c r="I805" t="s">
        <v>28</v>
      </c>
      <c r="J805" t="s">
        <v>963</v>
      </c>
      <c r="K805" s="2">
        <f>Sales_Export_2019_2020__2[[#This Row],[order_value_GBP]]-Sales_Export_2019_2020__2[[#This Row],[ cost ]]</f>
        <v>40565.619999999995</v>
      </c>
      <c r="L805" t="b">
        <f>COUNTIF(Sales_Export_2019_2020__2[order_id],Sales_Export_2019_2020__2[[#This Row],[order_id]])&gt;1</f>
        <v>0</v>
      </c>
      <c r="M805" t="str">
        <f t="shared" si="13"/>
        <v>£195,000 - £199,999</v>
      </c>
      <c r="N805" t="str" cm="1">
        <f t="array" ref="N80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805">
        <f>FLOOR(Sales_Export_2019_2020__2[[#This Row],[order_value_GBP]],5000)</f>
        <v>195000</v>
      </c>
    </row>
    <row r="806" spans="1:15" x14ac:dyDescent="0.35">
      <c r="A806" t="s">
        <v>53</v>
      </c>
      <c r="B806" s="2">
        <v>168226.52</v>
      </c>
      <c r="C806" s="2">
        <v>136818.63</v>
      </c>
      <c r="D806" s="1">
        <v>43855</v>
      </c>
      <c r="E806" t="s">
        <v>60</v>
      </c>
      <c r="F806" t="s">
        <v>160</v>
      </c>
      <c r="G806" t="s">
        <v>55</v>
      </c>
      <c r="H806" t="s">
        <v>144</v>
      </c>
      <c r="I806" t="s">
        <v>28</v>
      </c>
      <c r="J806" t="s">
        <v>964</v>
      </c>
      <c r="K806" s="2">
        <f>Sales_Export_2019_2020__2[[#This Row],[order_value_GBP]]-Sales_Export_2019_2020__2[[#This Row],[ cost ]]</f>
        <v>31407.889999999985</v>
      </c>
      <c r="L806" t="b">
        <f>COUNTIF(Sales_Export_2019_2020__2[order_id],Sales_Export_2019_2020__2[[#This Row],[order_id]])&gt;1</f>
        <v>0</v>
      </c>
      <c r="M806" t="str">
        <f t="shared" si="13"/>
        <v>£165,000 - £169,999</v>
      </c>
      <c r="N806" t="str" cm="1">
        <f t="array" ref="N80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06">
        <f>FLOOR(Sales_Export_2019_2020__2[[#This Row],[order_value_GBP]],5000)</f>
        <v>165000</v>
      </c>
    </row>
    <row r="807" spans="1:15" x14ac:dyDescent="0.35">
      <c r="A807" t="s">
        <v>10</v>
      </c>
      <c r="B807" s="2">
        <v>249842.77</v>
      </c>
      <c r="C807" s="2">
        <v>218737.35</v>
      </c>
      <c r="D807" s="1">
        <v>44021</v>
      </c>
      <c r="E807" t="s">
        <v>11</v>
      </c>
      <c r="F807" t="s">
        <v>31</v>
      </c>
      <c r="G807" t="s">
        <v>13</v>
      </c>
      <c r="H807" t="s">
        <v>82</v>
      </c>
      <c r="I807" t="s">
        <v>28</v>
      </c>
      <c r="J807" t="s">
        <v>965</v>
      </c>
      <c r="K807" s="2">
        <f>Sales_Export_2019_2020__2[[#This Row],[order_value_GBP]]-Sales_Export_2019_2020__2[[#This Row],[ cost ]]</f>
        <v>31105.419999999984</v>
      </c>
      <c r="L807" t="b">
        <f>COUNTIF(Sales_Export_2019_2020__2[order_id],Sales_Export_2019_2020__2[[#This Row],[order_id]])&gt;1</f>
        <v>0</v>
      </c>
      <c r="M807" t="str">
        <f t="shared" si="13"/>
        <v>£245,000 - £249,999</v>
      </c>
      <c r="N807" t="str" cm="1">
        <f t="array" ref="N80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807">
        <f>FLOOR(Sales_Export_2019_2020__2[[#This Row],[order_value_GBP]],5000)</f>
        <v>245000</v>
      </c>
    </row>
    <row r="808" spans="1:15" x14ac:dyDescent="0.35">
      <c r="A808" t="s">
        <v>84</v>
      </c>
      <c r="B808" s="2">
        <v>105678.39</v>
      </c>
      <c r="C808" s="2">
        <v>89720.95</v>
      </c>
      <c r="D808" s="1">
        <v>43958</v>
      </c>
      <c r="E808" t="s">
        <v>18</v>
      </c>
      <c r="F808" t="s">
        <v>166</v>
      </c>
      <c r="G808" t="s">
        <v>85</v>
      </c>
      <c r="H808" t="s">
        <v>86</v>
      </c>
      <c r="I808" t="s">
        <v>15</v>
      </c>
      <c r="J808" t="s">
        <v>966</v>
      </c>
      <c r="K808" s="2">
        <f>Sales_Export_2019_2020__2[[#This Row],[order_value_GBP]]-Sales_Export_2019_2020__2[[#This Row],[ cost ]]</f>
        <v>15957.440000000002</v>
      </c>
      <c r="L808" t="b">
        <f>COUNTIF(Sales_Export_2019_2020__2[order_id],Sales_Export_2019_2020__2[[#This Row],[order_id]])&gt;1</f>
        <v>0</v>
      </c>
      <c r="M808" t="str">
        <f t="shared" si="13"/>
        <v>£105,000 - £109,999</v>
      </c>
      <c r="N808" t="str" cm="1">
        <f t="array" ref="N80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08">
        <f>FLOOR(Sales_Export_2019_2020__2[[#This Row],[order_value_GBP]],5000)</f>
        <v>105000</v>
      </c>
    </row>
    <row r="809" spans="1:15" x14ac:dyDescent="0.35">
      <c r="A809" t="s">
        <v>23</v>
      </c>
      <c r="B809" s="2">
        <v>253580.08</v>
      </c>
      <c r="C809" s="2">
        <v>212449.39</v>
      </c>
      <c r="D809" s="1">
        <v>44018</v>
      </c>
      <c r="E809" t="s">
        <v>18</v>
      </c>
      <c r="F809" t="s">
        <v>606</v>
      </c>
      <c r="G809" t="s">
        <v>26</v>
      </c>
      <c r="H809" t="s">
        <v>219</v>
      </c>
      <c r="I809" t="s">
        <v>28</v>
      </c>
      <c r="J809" t="s">
        <v>967</v>
      </c>
      <c r="K809" s="2">
        <f>Sales_Export_2019_2020__2[[#This Row],[order_value_GBP]]-Sales_Export_2019_2020__2[[#This Row],[ cost ]]</f>
        <v>41130.689999999973</v>
      </c>
      <c r="L809" t="b">
        <f>COUNTIF(Sales_Export_2019_2020__2[order_id],Sales_Export_2019_2020__2[[#This Row],[order_id]])&gt;1</f>
        <v>0</v>
      </c>
      <c r="M809" t="str">
        <f t="shared" si="13"/>
        <v>£250,000 - £254,999</v>
      </c>
      <c r="N809" t="str" cm="1">
        <f t="array" ref="N80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809">
        <f>FLOOR(Sales_Export_2019_2020__2[[#This Row],[order_value_GBP]],5000)</f>
        <v>250000</v>
      </c>
    </row>
    <row r="810" spans="1:15" x14ac:dyDescent="0.35">
      <c r="A810" t="s">
        <v>53</v>
      </c>
      <c r="B810" s="2">
        <v>56705.66</v>
      </c>
      <c r="C810" s="2">
        <v>46986.31</v>
      </c>
      <c r="D810" s="1">
        <v>43497</v>
      </c>
      <c r="E810" t="s">
        <v>62</v>
      </c>
      <c r="F810" t="s">
        <v>35</v>
      </c>
      <c r="G810" t="s">
        <v>55</v>
      </c>
      <c r="H810" t="s">
        <v>128</v>
      </c>
      <c r="I810" t="s">
        <v>28</v>
      </c>
      <c r="J810" t="s">
        <v>968</v>
      </c>
      <c r="K810" s="2">
        <f>Sales_Export_2019_2020__2[[#This Row],[order_value_GBP]]-Sales_Export_2019_2020__2[[#This Row],[ cost ]]</f>
        <v>9719.3500000000058</v>
      </c>
      <c r="L810" t="b">
        <f>COUNTIF(Sales_Export_2019_2020__2[order_id],Sales_Export_2019_2020__2[[#This Row],[order_id]])&gt;1</f>
        <v>0</v>
      </c>
      <c r="M810" t="str">
        <f t="shared" si="13"/>
        <v>£55,000 - £59,999</v>
      </c>
      <c r="N810" t="str" cm="1">
        <f t="array" ref="N81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10">
        <f>FLOOR(Sales_Export_2019_2020__2[[#This Row],[order_value_GBP]],5000)</f>
        <v>55000</v>
      </c>
    </row>
    <row r="811" spans="1:15" x14ac:dyDescent="0.35">
      <c r="A811" t="s">
        <v>10</v>
      </c>
      <c r="B811" s="2">
        <v>35354.22</v>
      </c>
      <c r="C811" s="2">
        <v>30517.759999999998</v>
      </c>
      <c r="D811" s="1">
        <v>43523</v>
      </c>
      <c r="E811" t="s">
        <v>60</v>
      </c>
      <c r="F811" t="s">
        <v>210</v>
      </c>
      <c r="G811" t="s">
        <v>13</v>
      </c>
      <c r="H811" t="s">
        <v>118</v>
      </c>
      <c r="I811" t="s">
        <v>28</v>
      </c>
      <c r="J811" t="s">
        <v>969</v>
      </c>
      <c r="K811" s="2">
        <f>Sales_Export_2019_2020__2[[#This Row],[order_value_GBP]]-Sales_Export_2019_2020__2[[#This Row],[ cost ]]</f>
        <v>4836.4600000000028</v>
      </c>
      <c r="L811" t="b">
        <f>COUNTIF(Sales_Export_2019_2020__2[order_id],Sales_Export_2019_2020__2[[#This Row],[order_id]])&gt;1</f>
        <v>0</v>
      </c>
      <c r="M811" t="str">
        <f t="shared" si="13"/>
        <v>£35,000 - £39,999</v>
      </c>
      <c r="N811" t="str" cm="1">
        <f t="array" ref="N81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11">
        <f>FLOOR(Sales_Export_2019_2020__2[[#This Row],[order_value_GBP]],5000)</f>
        <v>35000</v>
      </c>
    </row>
    <row r="812" spans="1:15" x14ac:dyDescent="0.35">
      <c r="A812" t="s">
        <v>23</v>
      </c>
      <c r="B812" s="2">
        <v>25834.34</v>
      </c>
      <c r="C812" s="2">
        <v>22450.04</v>
      </c>
      <c r="D812" s="1">
        <v>43903</v>
      </c>
      <c r="E812" t="s">
        <v>80</v>
      </c>
      <c r="F812" t="s">
        <v>89</v>
      </c>
      <c r="G812" t="s">
        <v>26</v>
      </c>
      <c r="H812" t="s">
        <v>219</v>
      </c>
      <c r="I812" t="s">
        <v>15</v>
      </c>
      <c r="J812" t="s">
        <v>970</v>
      </c>
      <c r="K812" s="2">
        <f>Sales_Export_2019_2020__2[[#This Row],[order_value_GBP]]-Sales_Export_2019_2020__2[[#This Row],[ cost ]]</f>
        <v>3384.2999999999993</v>
      </c>
      <c r="L812" t="b">
        <f>COUNTIF(Sales_Export_2019_2020__2[order_id],Sales_Export_2019_2020__2[[#This Row],[order_id]])&gt;1</f>
        <v>0</v>
      </c>
      <c r="M812" t="str">
        <f t="shared" si="13"/>
        <v>£25,000 - £29,999</v>
      </c>
      <c r="N812" t="str" cm="1">
        <f t="array" ref="N81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12">
        <f>FLOOR(Sales_Export_2019_2020__2[[#This Row],[order_value_GBP]],5000)</f>
        <v>25000</v>
      </c>
    </row>
    <row r="813" spans="1:15" x14ac:dyDescent="0.35">
      <c r="A813" t="s">
        <v>23</v>
      </c>
      <c r="B813" s="2">
        <v>121928.48</v>
      </c>
      <c r="C813" s="2">
        <v>98408.48</v>
      </c>
      <c r="D813" s="1">
        <v>43727</v>
      </c>
      <c r="E813" t="s">
        <v>24</v>
      </c>
      <c r="F813" t="s">
        <v>160</v>
      </c>
      <c r="G813" t="s">
        <v>26</v>
      </c>
      <c r="H813" t="s">
        <v>219</v>
      </c>
      <c r="I813" t="s">
        <v>15</v>
      </c>
      <c r="J813" t="s">
        <v>971</v>
      </c>
      <c r="K813" s="2">
        <f>Sales_Export_2019_2020__2[[#This Row],[order_value_GBP]]-Sales_Export_2019_2020__2[[#This Row],[ cost ]]</f>
        <v>23520</v>
      </c>
      <c r="L813" t="b">
        <f>COUNTIF(Sales_Export_2019_2020__2[order_id],Sales_Export_2019_2020__2[[#This Row],[order_id]])&gt;1</f>
        <v>0</v>
      </c>
      <c r="M813" t="str">
        <f t="shared" si="13"/>
        <v>£120,000 - £124,999</v>
      </c>
      <c r="N813" t="str" cm="1">
        <f t="array" ref="N81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13">
        <f>FLOOR(Sales_Export_2019_2020__2[[#This Row],[order_value_GBP]],5000)</f>
        <v>120000</v>
      </c>
    </row>
    <row r="814" spans="1:15" x14ac:dyDescent="0.35">
      <c r="A814" t="s">
        <v>53</v>
      </c>
      <c r="B814" s="2">
        <v>167935.31</v>
      </c>
      <c r="C814" s="2">
        <v>137942.06</v>
      </c>
      <c r="D814" s="1">
        <v>43573</v>
      </c>
      <c r="E814" t="s">
        <v>18</v>
      </c>
      <c r="F814" t="s">
        <v>302</v>
      </c>
      <c r="G814" t="s">
        <v>55</v>
      </c>
      <c r="H814" t="s">
        <v>72</v>
      </c>
      <c r="I814" t="s">
        <v>28</v>
      </c>
      <c r="J814" t="s">
        <v>972</v>
      </c>
      <c r="K814" s="2">
        <f>Sales_Export_2019_2020__2[[#This Row],[order_value_GBP]]-Sales_Export_2019_2020__2[[#This Row],[ cost ]]</f>
        <v>29993.25</v>
      </c>
      <c r="L814" t="b">
        <f>COUNTIF(Sales_Export_2019_2020__2[order_id],Sales_Export_2019_2020__2[[#This Row],[order_id]])&gt;1</f>
        <v>0</v>
      </c>
      <c r="M814" t="str">
        <f t="shared" si="13"/>
        <v>£165,000 - £169,999</v>
      </c>
      <c r="N814" t="str" cm="1">
        <f t="array" ref="N81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14">
        <f>FLOOR(Sales_Export_2019_2020__2[[#This Row],[order_value_GBP]],5000)</f>
        <v>165000</v>
      </c>
    </row>
    <row r="815" spans="1:15" x14ac:dyDescent="0.35">
      <c r="A815" t="s">
        <v>23</v>
      </c>
      <c r="B815" s="2">
        <v>151151.76999999999</v>
      </c>
      <c r="C815" s="2">
        <v>124035.14</v>
      </c>
      <c r="D815" s="1">
        <v>43829</v>
      </c>
      <c r="E815" t="s">
        <v>51</v>
      </c>
      <c r="F815" t="s">
        <v>71</v>
      </c>
      <c r="G815" t="s">
        <v>26</v>
      </c>
      <c r="H815" t="s">
        <v>32</v>
      </c>
      <c r="I815" t="s">
        <v>28</v>
      </c>
      <c r="J815" t="s">
        <v>973</v>
      </c>
      <c r="K815" s="2">
        <f>Sales_Export_2019_2020__2[[#This Row],[order_value_GBP]]-Sales_Export_2019_2020__2[[#This Row],[ cost ]]</f>
        <v>27116.62999999999</v>
      </c>
      <c r="L815" t="b">
        <f>COUNTIF(Sales_Export_2019_2020__2[order_id],Sales_Export_2019_2020__2[[#This Row],[order_id]])&gt;1</f>
        <v>0</v>
      </c>
      <c r="M815" t="str">
        <f t="shared" si="13"/>
        <v>£150,000 - £154,999</v>
      </c>
      <c r="N815" t="str" cm="1">
        <f t="array" ref="N81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15">
        <f>FLOOR(Sales_Export_2019_2020__2[[#This Row],[order_value_GBP]],5000)</f>
        <v>150000</v>
      </c>
    </row>
    <row r="816" spans="1:15" x14ac:dyDescent="0.35">
      <c r="A816" t="s">
        <v>53</v>
      </c>
      <c r="B816" s="2">
        <v>95966.17</v>
      </c>
      <c r="C816" s="2">
        <v>75976.42</v>
      </c>
      <c r="D816" s="1">
        <v>43701</v>
      </c>
      <c r="E816" t="s">
        <v>80</v>
      </c>
      <c r="F816" t="s">
        <v>974</v>
      </c>
      <c r="G816" t="s">
        <v>55</v>
      </c>
      <c r="H816" t="s">
        <v>72</v>
      </c>
      <c r="I816" t="s">
        <v>28</v>
      </c>
      <c r="J816" t="s">
        <v>975</v>
      </c>
      <c r="K816" s="2">
        <f>Sales_Export_2019_2020__2[[#This Row],[order_value_GBP]]-Sales_Export_2019_2020__2[[#This Row],[ cost ]]</f>
        <v>19989.75</v>
      </c>
      <c r="L816" t="b">
        <f>COUNTIF(Sales_Export_2019_2020__2[order_id],Sales_Export_2019_2020__2[[#This Row],[order_id]])&gt;1</f>
        <v>0</v>
      </c>
      <c r="M816" t="str">
        <f t="shared" si="13"/>
        <v>£95,000 - £99,999</v>
      </c>
      <c r="N816" t="str" cm="1">
        <f t="array" ref="N81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16">
        <f>FLOOR(Sales_Export_2019_2020__2[[#This Row],[order_value_GBP]],5000)</f>
        <v>95000</v>
      </c>
    </row>
    <row r="817" spans="1:15" x14ac:dyDescent="0.35">
      <c r="A817" t="s">
        <v>23</v>
      </c>
      <c r="B817" s="2">
        <v>123424.43</v>
      </c>
      <c r="C817" s="2">
        <v>98171.79</v>
      </c>
      <c r="D817" s="1">
        <v>43566</v>
      </c>
      <c r="E817" t="s">
        <v>24</v>
      </c>
      <c r="F817" t="s">
        <v>150</v>
      </c>
      <c r="G817" t="s">
        <v>26</v>
      </c>
      <c r="H817" t="s">
        <v>76</v>
      </c>
      <c r="I817" t="s">
        <v>28</v>
      </c>
      <c r="J817" t="s">
        <v>976</v>
      </c>
      <c r="K817" s="2">
        <f>Sales_Export_2019_2020__2[[#This Row],[order_value_GBP]]-Sales_Export_2019_2020__2[[#This Row],[ cost ]]</f>
        <v>25252.639999999999</v>
      </c>
      <c r="L817" t="b">
        <f>COUNTIF(Sales_Export_2019_2020__2[order_id],Sales_Export_2019_2020__2[[#This Row],[order_id]])&gt;1</f>
        <v>0</v>
      </c>
      <c r="M817" t="str">
        <f t="shared" si="13"/>
        <v>£120,000 - £124,999</v>
      </c>
      <c r="N817" t="str" cm="1">
        <f t="array" ref="N81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17">
        <f>FLOOR(Sales_Export_2019_2020__2[[#This Row],[order_value_GBP]],5000)</f>
        <v>120000</v>
      </c>
    </row>
    <row r="818" spans="1:15" x14ac:dyDescent="0.35">
      <c r="A818" t="s">
        <v>53</v>
      </c>
      <c r="B818" s="2">
        <v>128221.13</v>
      </c>
      <c r="C818" s="2">
        <v>102217.88</v>
      </c>
      <c r="D818" s="1">
        <v>44003</v>
      </c>
      <c r="E818" t="s">
        <v>24</v>
      </c>
      <c r="F818" t="s">
        <v>35</v>
      </c>
      <c r="G818" t="s">
        <v>55</v>
      </c>
      <c r="H818" t="s">
        <v>72</v>
      </c>
      <c r="I818" t="s">
        <v>28</v>
      </c>
      <c r="J818" t="s">
        <v>977</v>
      </c>
      <c r="K818" s="2">
        <f>Sales_Export_2019_2020__2[[#This Row],[order_value_GBP]]-Sales_Export_2019_2020__2[[#This Row],[ cost ]]</f>
        <v>26003.25</v>
      </c>
      <c r="L818" t="b">
        <f>COUNTIF(Sales_Export_2019_2020__2[order_id],Sales_Export_2019_2020__2[[#This Row],[order_id]])&gt;1</f>
        <v>0</v>
      </c>
      <c r="M818" t="str">
        <f t="shared" si="13"/>
        <v>£125,000 - £129,999</v>
      </c>
      <c r="N818" t="str" cm="1">
        <f t="array" ref="N81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18">
        <f>FLOOR(Sales_Export_2019_2020__2[[#This Row],[order_value_GBP]],5000)</f>
        <v>125000</v>
      </c>
    </row>
    <row r="819" spans="1:15" x14ac:dyDescent="0.35">
      <c r="A819" t="s">
        <v>23</v>
      </c>
      <c r="B819" s="2">
        <v>204133.95</v>
      </c>
      <c r="C819" s="2">
        <v>167553.15</v>
      </c>
      <c r="D819" s="1">
        <v>43995</v>
      </c>
      <c r="E819" t="s">
        <v>18</v>
      </c>
      <c r="F819" t="s">
        <v>168</v>
      </c>
      <c r="G819" t="s">
        <v>26</v>
      </c>
      <c r="H819" t="s">
        <v>76</v>
      </c>
      <c r="I819" t="s">
        <v>28</v>
      </c>
      <c r="J819" t="s">
        <v>978</v>
      </c>
      <c r="K819" s="2">
        <f>Sales_Export_2019_2020__2[[#This Row],[order_value_GBP]]-Sales_Export_2019_2020__2[[#This Row],[ cost ]]</f>
        <v>36580.800000000017</v>
      </c>
      <c r="L819" t="b">
        <f>COUNTIF(Sales_Export_2019_2020__2[order_id],Sales_Export_2019_2020__2[[#This Row],[order_id]])&gt;1</f>
        <v>0</v>
      </c>
      <c r="M819" t="str">
        <f t="shared" si="13"/>
        <v>£200,000 - £204,999</v>
      </c>
      <c r="N819" t="str" cm="1">
        <f t="array" ref="N81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819">
        <f>FLOOR(Sales_Export_2019_2020__2[[#This Row],[order_value_GBP]],5000)</f>
        <v>200000</v>
      </c>
    </row>
    <row r="820" spans="1:15" x14ac:dyDescent="0.35">
      <c r="A820" t="s">
        <v>10</v>
      </c>
      <c r="B820" s="2">
        <v>89376.84</v>
      </c>
      <c r="C820" s="2">
        <v>73646.52</v>
      </c>
      <c r="D820" s="1">
        <v>43513</v>
      </c>
      <c r="E820" t="s">
        <v>30</v>
      </c>
      <c r="F820" t="s">
        <v>35</v>
      </c>
      <c r="G820" t="s">
        <v>13</v>
      </c>
      <c r="H820" t="s">
        <v>82</v>
      </c>
      <c r="I820" t="s">
        <v>28</v>
      </c>
      <c r="J820" t="s">
        <v>979</v>
      </c>
      <c r="K820" s="2">
        <f>Sales_Export_2019_2020__2[[#This Row],[order_value_GBP]]-Sales_Export_2019_2020__2[[#This Row],[ cost ]]</f>
        <v>15730.319999999992</v>
      </c>
      <c r="L820" t="b">
        <f>COUNTIF(Sales_Export_2019_2020__2[order_id],Sales_Export_2019_2020__2[[#This Row],[order_id]])&gt;1</f>
        <v>0</v>
      </c>
      <c r="M820" t="str">
        <f t="shared" si="13"/>
        <v>£85,000 - £89,999</v>
      </c>
      <c r="N820" t="str" cm="1">
        <f t="array" ref="N82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20">
        <f>FLOOR(Sales_Export_2019_2020__2[[#This Row],[order_value_GBP]],5000)</f>
        <v>85000</v>
      </c>
    </row>
    <row r="821" spans="1:15" x14ac:dyDescent="0.35">
      <c r="A821" t="s">
        <v>10</v>
      </c>
      <c r="B821" s="2">
        <v>110837.96</v>
      </c>
      <c r="C821" s="2">
        <v>92106.34</v>
      </c>
      <c r="D821" s="1">
        <v>43521</v>
      </c>
      <c r="E821" t="s">
        <v>80</v>
      </c>
      <c r="F821" t="s">
        <v>210</v>
      </c>
      <c r="G821" t="s">
        <v>13</v>
      </c>
      <c r="H821" t="s">
        <v>82</v>
      </c>
      <c r="I821" t="s">
        <v>28</v>
      </c>
      <c r="J821" t="s">
        <v>980</v>
      </c>
      <c r="K821" s="2">
        <f>Sales_Export_2019_2020__2[[#This Row],[order_value_GBP]]-Sales_Export_2019_2020__2[[#This Row],[ cost ]]</f>
        <v>18731.62000000001</v>
      </c>
      <c r="L821" t="b">
        <f>COUNTIF(Sales_Export_2019_2020__2[order_id],Sales_Export_2019_2020__2[[#This Row],[order_id]])&gt;1</f>
        <v>0</v>
      </c>
      <c r="M821" t="str">
        <f t="shared" si="13"/>
        <v>£110,000 - £114,999</v>
      </c>
      <c r="N821" t="str" cm="1">
        <f t="array" ref="N82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21">
        <f>FLOOR(Sales_Export_2019_2020__2[[#This Row],[order_value_GBP]],5000)</f>
        <v>110000</v>
      </c>
    </row>
    <row r="822" spans="1:15" x14ac:dyDescent="0.35">
      <c r="A822" t="s">
        <v>84</v>
      </c>
      <c r="B822" s="2">
        <v>118026.37</v>
      </c>
      <c r="C822" s="2">
        <v>99873.91</v>
      </c>
      <c r="D822" s="1">
        <v>44016</v>
      </c>
      <c r="E822" t="s">
        <v>51</v>
      </c>
      <c r="F822" t="s">
        <v>31</v>
      </c>
      <c r="G822" t="s">
        <v>85</v>
      </c>
      <c r="H822" t="s">
        <v>86</v>
      </c>
      <c r="I822" t="s">
        <v>28</v>
      </c>
      <c r="J822" t="s">
        <v>981</v>
      </c>
      <c r="K822" s="2">
        <f>Sales_Export_2019_2020__2[[#This Row],[order_value_GBP]]-Sales_Export_2019_2020__2[[#This Row],[ cost ]]</f>
        <v>18152.459999999992</v>
      </c>
      <c r="L822" t="b">
        <f>COUNTIF(Sales_Export_2019_2020__2[order_id],Sales_Export_2019_2020__2[[#This Row],[order_id]])&gt;1</f>
        <v>0</v>
      </c>
      <c r="M822" t="str">
        <f t="shared" si="13"/>
        <v>£115,000 - £119,999</v>
      </c>
      <c r="N822" t="str" cm="1">
        <f t="array" ref="N82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22">
        <f>FLOOR(Sales_Export_2019_2020__2[[#This Row],[order_value_GBP]],5000)</f>
        <v>115000</v>
      </c>
    </row>
    <row r="823" spans="1:15" x14ac:dyDescent="0.35">
      <c r="A823" t="s">
        <v>23</v>
      </c>
      <c r="B823" s="2">
        <v>177208.76</v>
      </c>
      <c r="C823" s="2">
        <v>151779.29999999999</v>
      </c>
      <c r="D823" s="1">
        <v>43467</v>
      </c>
      <c r="E823" t="s">
        <v>51</v>
      </c>
      <c r="F823" t="s">
        <v>89</v>
      </c>
      <c r="G823" t="s">
        <v>26</v>
      </c>
      <c r="H823" t="s">
        <v>27</v>
      </c>
      <c r="I823" t="s">
        <v>15</v>
      </c>
      <c r="J823" t="s">
        <v>982</v>
      </c>
      <c r="K823" s="2">
        <f>Sales_Export_2019_2020__2[[#This Row],[order_value_GBP]]-Sales_Export_2019_2020__2[[#This Row],[ cost ]]</f>
        <v>25429.460000000021</v>
      </c>
      <c r="L823" t="b">
        <f>COUNTIF(Sales_Export_2019_2020__2[order_id],Sales_Export_2019_2020__2[[#This Row],[order_id]])&gt;1</f>
        <v>0</v>
      </c>
      <c r="M823" t="str">
        <f t="shared" si="13"/>
        <v>£175,000 - £179,999</v>
      </c>
      <c r="N823" t="str" cm="1">
        <f t="array" ref="N82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823">
        <f>FLOOR(Sales_Export_2019_2020__2[[#This Row],[order_value_GBP]],5000)</f>
        <v>175000</v>
      </c>
    </row>
    <row r="824" spans="1:15" x14ac:dyDescent="0.35">
      <c r="A824" t="s">
        <v>10</v>
      </c>
      <c r="B824" s="2">
        <v>97148.34</v>
      </c>
      <c r="C824" s="2">
        <v>77806.11</v>
      </c>
      <c r="D824" s="1">
        <v>43950</v>
      </c>
      <c r="E824" t="s">
        <v>11</v>
      </c>
      <c r="F824" t="s">
        <v>89</v>
      </c>
      <c r="G824" t="s">
        <v>13</v>
      </c>
      <c r="H824" t="s">
        <v>170</v>
      </c>
      <c r="I824" t="s">
        <v>28</v>
      </c>
      <c r="J824" t="s">
        <v>983</v>
      </c>
      <c r="K824" s="2">
        <f>Sales_Export_2019_2020__2[[#This Row],[order_value_GBP]]-Sales_Export_2019_2020__2[[#This Row],[ cost ]]</f>
        <v>19342.229999999996</v>
      </c>
      <c r="L824" t="b">
        <f>COUNTIF(Sales_Export_2019_2020__2[order_id],Sales_Export_2019_2020__2[[#This Row],[order_id]])&gt;1</f>
        <v>0</v>
      </c>
      <c r="M824" t="str">
        <f t="shared" si="13"/>
        <v>£95,000 - £99,999</v>
      </c>
      <c r="N824" t="str" cm="1">
        <f t="array" ref="N82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24">
        <f>FLOOR(Sales_Export_2019_2020__2[[#This Row],[order_value_GBP]],5000)</f>
        <v>95000</v>
      </c>
    </row>
    <row r="825" spans="1:15" x14ac:dyDescent="0.35">
      <c r="A825" t="s">
        <v>34</v>
      </c>
      <c r="B825" s="2">
        <v>144530.35</v>
      </c>
      <c r="C825" s="2">
        <v>115407.48</v>
      </c>
      <c r="D825" s="1">
        <v>44047</v>
      </c>
      <c r="E825" t="s">
        <v>139</v>
      </c>
      <c r="F825" t="s">
        <v>58</v>
      </c>
      <c r="G825" t="s">
        <v>36</v>
      </c>
      <c r="H825" t="s">
        <v>425</v>
      </c>
      <c r="I825" t="s">
        <v>28</v>
      </c>
      <c r="J825" t="s">
        <v>984</v>
      </c>
      <c r="K825" s="2">
        <f>Sales_Export_2019_2020__2[[#This Row],[order_value_GBP]]-Sales_Export_2019_2020__2[[#This Row],[ cost ]]</f>
        <v>29122.87000000001</v>
      </c>
      <c r="L825" t="b">
        <f>COUNTIF(Sales_Export_2019_2020__2[order_id],Sales_Export_2019_2020__2[[#This Row],[order_id]])&gt;1</f>
        <v>0</v>
      </c>
      <c r="M825" t="str">
        <f t="shared" si="13"/>
        <v>£140,000 - £144,999</v>
      </c>
      <c r="N825" t="str" cm="1">
        <f t="array" ref="N82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25">
        <f>FLOOR(Sales_Export_2019_2020__2[[#This Row],[order_value_GBP]],5000)</f>
        <v>140000</v>
      </c>
    </row>
    <row r="826" spans="1:15" x14ac:dyDescent="0.35">
      <c r="A826" t="s">
        <v>10</v>
      </c>
      <c r="B826" s="2">
        <v>45261.84</v>
      </c>
      <c r="C826" s="2">
        <v>37816.269999999997</v>
      </c>
      <c r="D826" s="1">
        <v>44156</v>
      </c>
      <c r="E826" t="s">
        <v>30</v>
      </c>
      <c r="F826" t="s">
        <v>68</v>
      </c>
      <c r="G826" t="s">
        <v>13</v>
      </c>
      <c r="H826" t="s">
        <v>14</v>
      </c>
      <c r="I826" t="s">
        <v>28</v>
      </c>
      <c r="J826" t="s">
        <v>985</v>
      </c>
      <c r="K826" s="2">
        <f>Sales_Export_2019_2020__2[[#This Row],[order_value_GBP]]-Sales_Export_2019_2020__2[[#This Row],[ cost ]]</f>
        <v>7445.57</v>
      </c>
      <c r="L826" t="b">
        <f>COUNTIF(Sales_Export_2019_2020__2[order_id],Sales_Export_2019_2020__2[[#This Row],[order_id]])&gt;1</f>
        <v>0</v>
      </c>
      <c r="M826" t="str">
        <f t="shared" si="13"/>
        <v>£45,000 - £49,999</v>
      </c>
      <c r="N826" t="str" cm="1">
        <f t="array" ref="N82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26">
        <f>FLOOR(Sales_Export_2019_2020__2[[#This Row],[order_value_GBP]],5000)</f>
        <v>45000</v>
      </c>
    </row>
    <row r="827" spans="1:15" x14ac:dyDescent="0.35">
      <c r="A827" t="s">
        <v>101</v>
      </c>
      <c r="B827" s="2">
        <v>105277.2</v>
      </c>
      <c r="C827" s="2">
        <v>90759.47</v>
      </c>
      <c r="D827" s="1">
        <v>43790</v>
      </c>
      <c r="E827" t="s">
        <v>11</v>
      </c>
      <c r="F827" t="s">
        <v>150</v>
      </c>
      <c r="G827" t="s">
        <v>103</v>
      </c>
      <c r="H827" t="s">
        <v>104</v>
      </c>
      <c r="I827" t="s">
        <v>28</v>
      </c>
      <c r="J827" t="s">
        <v>986</v>
      </c>
      <c r="K827" s="2">
        <f>Sales_Export_2019_2020__2[[#This Row],[order_value_GBP]]-Sales_Export_2019_2020__2[[#This Row],[ cost ]]</f>
        <v>14517.729999999996</v>
      </c>
      <c r="L827" t="b">
        <f>COUNTIF(Sales_Export_2019_2020__2[order_id],Sales_Export_2019_2020__2[[#This Row],[order_id]])&gt;1</f>
        <v>0</v>
      </c>
      <c r="M827" t="str">
        <f t="shared" si="13"/>
        <v>£105,000 - £109,999</v>
      </c>
      <c r="N827" t="str" cm="1">
        <f t="array" ref="N82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27">
        <f>FLOOR(Sales_Export_2019_2020__2[[#This Row],[order_value_GBP]],5000)</f>
        <v>105000</v>
      </c>
    </row>
    <row r="828" spans="1:15" x14ac:dyDescent="0.35">
      <c r="A828" t="s">
        <v>346</v>
      </c>
      <c r="B828" s="2">
        <v>65822.05</v>
      </c>
      <c r="C828" s="2">
        <v>54790.27</v>
      </c>
      <c r="D828" s="1">
        <v>44146</v>
      </c>
      <c r="E828" t="s">
        <v>24</v>
      </c>
      <c r="F828" t="s">
        <v>116</v>
      </c>
      <c r="G828" t="s">
        <v>347</v>
      </c>
      <c r="H828" t="s">
        <v>348</v>
      </c>
      <c r="I828" t="s">
        <v>28</v>
      </c>
      <c r="J828" t="s">
        <v>987</v>
      </c>
      <c r="K828" s="2">
        <f>Sales_Export_2019_2020__2[[#This Row],[order_value_GBP]]-Sales_Export_2019_2020__2[[#This Row],[ cost ]]</f>
        <v>11031.780000000006</v>
      </c>
      <c r="L828" t="b">
        <f>COUNTIF(Sales_Export_2019_2020__2[order_id],Sales_Export_2019_2020__2[[#This Row],[order_id]])&gt;1</f>
        <v>0</v>
      </c>
      <c r="M828" t="str">
        <f t="shared" si="13"/>
        <v>£65,000 - £69,999</v>
      </c>
      <c r="N828" t="str" cm="1">
        <f t="array" ref="N82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28">
        <f>FLOOR(Sales_Export_2019_2020__2[[#This Row],[order_value_GBP]],5000)</f>
        <v>65000</v>
      </c>
    </row>
    <row r="829" spans="1:15" x14ac:dyDescent="0.35">
      <c r="A829" t="s">
        <v>53</v>
      </c>
      <c r="B829" s="2">
        <v>78540.62</v>
      </c>
      <c r="C829" s="2">
        <v>63987.040000000001</v>
      </c>
      <c r="D829" s="1">
        <v>43746</v>
      </c>
      <c r="E829" t="s">
        <v>24</v>
      </c>
      <c r="F829" t="s">
        <v>110</v>
      </c>
      <c r="G829" t="s">
        <v>55</v>
      </c>
      <c r="H829" t="s">
        <v>128</v>
      </c>
      <c r="I829" t="s">
        <v>28</v>
      </c>
      <c r="J829" t="s">
        <v>988</v>
      </c>
      <c r="K829" s="2">
        <f>Sales_Export_2019_2020__2[[#This Row],[order_value_GBP]]-Sales_Export_2019_2020__2[[#This Row],[ cost ]]</f>
        <v>14553.579999999994</v>
      </c>
      <c r="L829" t="b">
        <f>COUNTIF(Sales_Export_2019_2020__2[order_id],Sales_Export_2019_2020__2[[#This Row],[order_id]])&gt;1</f>
        <v>0</v>
      </c>
      <c r="M829" t="str">
        <f t="shared" si="13"/>
        <v>£75,000 - £79,999</v>
      </c>
      <c r="N829" t="str" cm="1">
        <f t="array" ref="N82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29">
        <f>FLOOR(Sales_Export_2019_2020__2[[#This Row],[order_value_GBP]],5000)</f>
        <v>75000</v>
      </c>
    </row>
    <row r="830" spans="1:15" x14ac:dyDescent="0.35">
      <c r="A830" t="s">
        <v>138</v>
      </c>
      <c r="B830" s="2">
        <v>37636.910000000003</v>
      </c>
      <c r="C830" s="2">
        <v>30847.21</v>
      </c>
      <c r="D830" s="1">
        <v>43906</v>
      </c>
      <c r="E830" t="s">
        <v>51</v>
      </c>
      <c r="F830" t="s">
        <v>188</v>
      </c>
      <c r="G830" t="s">
        <v>140</v>
      </c>
      <c r="H830" t="s">
        <v>141</v>
      </c>
      <c r="I830" t="s">
        <v>15</v>
      </c>
      <c r="J830" t="s">
        <v>989</v>
      </c>
      <c r="K830" s="2">
        <f>Sales_Export_2019_2020__2[[#This Row],[order_value_GBP]]-Sales_Export_2019_2020__2[[#This Row],[ cost ]]</f>
        <v>6789.7000000000044</v>
      </c>
      <c r="L830" t="b">
        <f>COUNTIF(Sales_Export_2019_2020__2[order_id],Sales_Export_2019_2020__2[[#This Row],[order_id]])&gt;1</f>
        <v>0</v>
      </c>
      <c r="M830" t="str">
        <f t="shared" si="13"/>
        <v>£35,000 - £39,999</v>
      </c>
      <c r="N830" t="str" cm="1">
        <f t="array" ref="N83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30">
        <f>FLOOR(Sales_Export_2019_2020__2[[#This Row],[order_value_GBP]],5000)</f>
        <v>35000</v>
      </c>
    </row>
    <row r="831" spans="1:15" x14ac:dyDescent="0.35">
      <c r="A831" t="s">
        <v>23</v>
      </c>
      <c r="B831" s="2">
        <v>138127.81</v>
      </c>
      <c r="C831" s="2">
        <v>115240.03</v>
      </c>
      <c r="D831" s="1">
        <v>43975</v>
      </c>
      <c r="E831" t="s">
        <v>51</v>
      </c>
      <c r="F831" t="s">
        <v>135</v>
      </c>
      <c r="G831" t="s">
        <v>26</v>
      </c>
      <c r="H831" t="s">
        <v>76</v>
      </c>
      <c r="I831" t="s">
        <v>28</v>
      </c>
      <c r="J831" t="s">
        <v>990</v>
      </c>
      <c r="K831" s="2">
        <f>Sales_Export_2019_2020__2[[#This Row],[order_value_GBP]]-Sales_Export_2019_2020__2[[#This Row],[ cost ]]</f>
        <v>22887.78</v>
      </c>
      <c r="L831" t="b">
        <f>COUNTIF(Sales_Export_2019_2020__2[order_id],Sales_Export_2019_2020__2[[#This Row],[order_id]])&gt;1</f>
        <v>0</v>
      </c>
      <c r="M831" t="str">
        <f t="shared" si="13"/>
        <v>£135,000 - £139,999</v>
      </c>
      <c r="N831" t="str" cm="1">
        <f t="array" ref="N83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31">
        <f>FLOOR(Sales_Export_2019_2020__2[[#This Row],[order_value_GBP]],5000)</f>
        <v>135000</v>
      </c>
    </row>
    <row r="832" spans="1:15" x14ac:dyDescent="0.35">
      <c r="A832" t="s">
        <v>173</v>
      </c>
      <c r="B832" s="2">
        <v>37892.58</v>
      </c>
      <c r="C832" s="2">
        <v>30010.92</v>
      </c>
      <c r="D832" s="1">
        <v>43486</v>
      </c>
      <c r="E832" t="s">
        <v>80</v>
      </c>
      <c r="F832" t="s">
        <v>35</v>
      </c>
      <c r="G832" t="s">
        <v>175</v>
      </c>
      <c r="H832" t="s">
        <v>212</v>
      </c>
      <c r="I832" t="s">
        <v>28</v>
      </c>
      <c r="J832" t="s">
        <v>991</v>
      </c>
      <c r="K832" s="2">
        <f>Sales_Export_2019_2020__2[[#This Row],[order_value_GBP]]-Sales_Export_2019_2020__2[[#This Row],[ cost ]]</f>
        <v>7881.6600000000035</v>
      </c>
      <c r="L832" t="b">
        <f>COUNTIF(Sales_Export_2019_2020__2[order_id],Sales_Export_2019_2020__2[[#This Row],[order_id]])&gt;1</f>
        <v>0</v>
      </c>
      <c r="M832" t="str">
        <f t="shared" si="13"/>
        <v>£35,000 - £39,999</v>
      </c>
      <c r="N832" t="str" cm="1">
        <f t="array" ref="N83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32">
        <f>FLOOR(Sales_Export_2019_2020__2[[#This Row],[order_value_GBP]],5000)</f>
        <v>35000</v>
      </c>
    </row>
    <row r="833" spans="1:15" x14ac:dyDescent="0.35">
      <c r="A833" t="s">
        <v>101</v>
      </c>
      <c r="B833" s="2">
        <v>65329.65</v>
      </c>
      <c r="C833" s="2">
        <v>53237.13</v>
      </c>
      <c r="D833" s="1">
        <v>43887</v>
      </c>
      <c r="E833" t="s">
        <v>24</v>
      </c>
      <c r="F833" t="s">
        <v>158</v>
      </c>
      <c r="G833" t="s">
        <v>103</v>
      </c>
      <c r="H833" t="s">
        <v>104</v>
      </c>
      <c r="I833" t="s">
        <v>15</v>
      </c>
      <c r="J833" t="s">
        <v>992</v>
      </c>
      <c r="K833" s="2">
        <f>Sales_Export_2019_2020__2[[#This Row],[order_value_GBP]]-Sales_Export_2019_2020__2[[#This Row],[ cost ]]</f>
        <v>12092.520000000004</v>
      </c>
      <c r="L833" t="b">
        <f>COUNTIF(Sales_Export_2019_2020__2[order_id],Sales_Export_2019_2020__2[[#This Row],[order_id]])&gt;1</f>
        <v>0</v>
      </c>
      <c r="M833" t="str">
        <f t="shared" si="13"/>
        <v>£65,000 - £69,999</v>
      </c>
      <c r="N833" t="str" cm="1">
        <f t="array" ref="N83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33">
        <f>FLOOR(Sales_Export_2019_2020__2[[#This Row],[order_value_GBP]],5000)</f>
        <v>65000</v>
      </c>
    </row>
    <row r="834" spans="1:15" x14ac:dyDescent="0.35">
      <c r="A834" t="s">
        <v>53</v>
      </c>
      <c r="B834" s="2">
        <v>167072.72</v>
      </c>
      <c r="C834" s="2">
        <v>135044.88</v>
      </c>
      <c r="D834" s="1">
        <v>43759</v>
      </c>
      <c r="E834" t="s">
        <v>24</v>
      </c>
      <c r="F834" t="s">
        <v>185</v>
      </c>
      <c r="G834" t="s">
        <v>55</v>
      </c>
      <c r="H834" t="s">
        <v>133</v>
      </c>
      <c r="I834" t="s">
        <v>28</v>
      </c>
      <c r="J834" t="s">
        <v>993</v>
      </c>
      <c r="K834" s="2">
        <f>Sales_Export_2019_2020__2[[#This Row],[order_value_GBP]]-Sales_Export_2019_2020__2[[#This Row],[ cost ]]</f>
        <v>32027.839999999997</v>
      </c>
      <c r="L834" t="b">
        <f>COUNTIF(Sales_Export_2019_2020__2[order_id],Sales_Export_2019_2020__2[[#This Row],[order_id]])&gt;1</f>
        <v>0</v>
      </c>
      <c r="M834" t="str">
        <f t="shared" si="13"/>
        <v>£165,000 - £169,999</v>
      </c>
      <c r="N834" t="str" cm="1">
        <f t="array" ref="N83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34">
        <f>FLOOR(Sales_Export_2019_2020__2[[#This Row],[order_value_GBP]],5000)</f>
        <v>165000</v>
      </c>
    </row>
    <row r="835" spans="1:15" x14ac:dyDescent="0.35">
      <c r="A835" t="s">
        <v>53</v>
      </c>
      <c r="B835" s="2">
        <v>164243.32</v>
      </c>
      <c r="C835" s="2">
        <v>134121.1</v>
      </c>
      <c r="D835" s="1">
        <v>43605</v>
      </c>
      <c r="E835" t="s">
        <v>60</v>
      </c>
      <c r="F835" t="s">
        <v>112</v>
      </c>
      <c r="G835" t="s">
        <v>55</v>
      </c>
      <c r="H835" t="s">
        <v>72</v>
      </c>
      <c r="I835" t="s">
        <v>28</v>
      </c>
      <c r="J835" t="s">
        <v>994</v>
      </c>
      <c r="K835" s="2">
        <f>Sales_Export_2019_2020__2[[#This Row],[order_value_GBP]]-Sales_Export_2019_2020__2[[#This Row],[ cost ]]</f>
        <v>30122.22</v>
      </c>
      <c r="L835" t="b">
        <f>COUNTIF(Sales_Export_2019_2020__2[order_id],Sales_Export_2019_2020__2[[#This Row],[order_id]])&gt;1</f>
        <v>0</v>
      </c>
      <c r="M835" t="str">
        <f t="shared" si="13"/>
        <v>£160,000 - £164,999</v>
      </c>
      <c r="N835" t="str" cm="1">
        <f t="array" ref="N83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35">
        <f>FLOOR(Sales_Export_2019_2020__2[[#This Row],[order_value_GBP]],5000)</f>
        <v>160000</v>
      </c>
    </row>
    <row r="836" spans="1:15" x14ac:dyDescent="0.35">
      <c r="A836" t="s">
        <v>53</v>
      </c>
      <c r="B836" s="2">
        <v>174951.18</v>
      </c>
      <c r="C836" s="2">
        <v>142690.18</v>
      </c>
      <c r="D836" s="1">
        <v>43726</v>
      </c>
      <c r="E836" t="s">
        <v>24</v>
      </c>
      <c r="F836" t="s">
        <v>68</v>
      </c>
      <c r="G836" t="s">
        <v>55</v>
      </c>
      <c r="H836" t="s">
        <v>72</v>
      </c>
      <c r="I836" t="s">
        <v>15</v>
      </c>
      <c r="J836" t="s">
        <v>995</v>
      </c>
      <c r="K836" s="2">
        <f>Sales_Export_2019_2020__2[[#This Row],[order_value_GBP]]-Sales_Export_2019_2020__2[[#This Row],[ cost ]]</f>
        <v>32261</v>
      </c>
      <c r="L836" t="b">
        <f>COUNTIF(Sales_Export_2019_2020__2[order_id],Sales_Export_2019_2020__2[[#This Row],[order_id]])&gt;1</f>
        <v>0</v>
      </c>
      <c r="M836" t="str">
        <f t="shared" si="13"/>
        <v>£170,000 - £174,999</v>
      </c>
      <c r="N836" t="str" cm="1">
        <f t="array" ref="N83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36">
        <f>FLOOR(Sales_Export_2019_2020__2[[#This Row],[order_value_GBP]],5000)</f>
        <v>170000</v>
      </c>
    </row>
    <row r="837" spans="1:15" x14ac:dyDescent="0.35">
      <c r="A837" t="s">
        <v>23</v>
      </c>
      <c r="B837" s="2">
        <v>98521.87</v>
      </c>
      <c r="C837" s="2">
        <v>84571.17</v>
      </c>
      <c r="D837" s="1">
        <v>43832</v>
      </c>
      <c r="E837" t="s">
        <v>24</v>
      </c>
      <c r="F837" t="s">
        <v>35</v>
      </c>
      <c r="G837" t="s">
        <v>26</v>
      </c>
      <c r="H837" t="s">
        <v>219</v>
      </c>
      <c r="I837" t="s">
        <v>28</v>
      </c>
      <c r="J837" t="s">
        <v>996</v>
      </c>
      <c r="K837" s="2">
        <f>Sales_Export_2019_2020__2[[#This Row],[order_value_GBP]]-Sales_Export_2019_2020__2[[#This Row],[ cost ]]</f>
        <v>13950.699999999997</v>
      </c>
      <c r="L837" t="b">
        <f>COUNTIF(Sales_Export_2019_2020__2[order_id],Sales_Export_2019_2020__2[[#This Row],[order_id]])&gt;1</f>
        <v>0</v>
      </c>
      <c r="M837" t="str">
        <f t="shared" si="13"/>
        <v>£95,000 - £99,999</v>
      </c>
      <c r="N837" t="str" cm="1">
        <f t="array" ref="N83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37">
        <f>FLOOR(Sales_Export_2019_2020__2[[#This Row],[order_value_GBP]],5000)</f>
        <v>95000</v>
      </c>
    </row>
    <row r="838" spans="1:15" x14ac:dyDescent="0.35">
      <c r="A838" t="s">
        <v>23</v>
      </c>
      <c r="B838" s="2">
        <v>69750.570000000007</v>
      </c>
      <c r="C838" s="2">
        <v>60731.82</v>
      </c>
      <c r="D838" s="1">
        <v>43543</v>
      </c>
      <c r="E838" t="s">
        <v>18</v>
      </c>
      <c r="F838" t="s">
        <v>35</v>
      </c>
      <c r="G838" t="s">
        <v>26</v>
      </c>
      <c r="H838" t="s">
        <v>90</v>
      </c>
      <c r="I838" t="s">
        <v>28</v>
      </c>
      <c r="J838" t="s">
        <v>997</v>
      </c>
      <c r="K838" s="2">
        <f>Sales_Export_2019_2020__2[[#This Row],[order_value_GBP]]-Sales_Export_2019_2020__2[[#This Row],[ cost ]]</f>
        <v>9018.7500000000073</v>
      </c>
      <c r="L838" t="b">
        <f>COUNTIF(Sales_Export_2019_2020__2[order_id],Sales_Export_2019_2020__2[[#This Row],[order_id]])&gt;1</f>
        <v>0</v>
      </c>
      <c r="M838" t="str">
        <f t="shared" si="13"/>
        <v>£65,000 - £69,999</v>
      </c>
      <c r="N838" t="str" cm="1">
        <f t="array" ref="N83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38">
        <f>FLOOR(Sales_Export_2019_2020__2[[#This Row],[order_value_GBP]],5000)</f>
        <v>65000</v>
      </c>
    </row>
    <row r="839" spans="1:15" x14ac:dyDescent="0.35">
      <c r="A839" t="s">
        <v>23</v>
      </c>
      <c r="B839" s="2">
        <v>129022.02</v>
      </c>
      <c r="C839" s="2">
        <v>104585.25</v>
      </c>
      <c r="D839" s="1">
        <v>44002</v>
      </c>
      <c r="E839" t="s">
        <v>80</v>
      </c>
      <c r="F839" t="s">
        <v>155</v>
      </c>
      <c r="G839" t="s">
        <v>26</v>
      </c>
      <c r="H839" t="s">
        <v>76</v>
      </c>
      <c r="I839" t="s">
        <v>28</v>
      </c>
      <c r="J839" t="s">
        <v>998</v>
      </c>
      <c r="K839" s="2">
        <f>Sales_Export_2019_2020__2[[#This Row],[order_value_GBP]]-Sales_Export_2019_2020__2[[#This Row],[ cost ]]</f>
        <v>24436.770000000004</v>
      </c>
      <c r="L839" t="b">
        <f>COUNTIF(Sales_Export_2019_2020__2[order_id],Sales_Export_2019_2020__2[[#This Row],[order_id]])&gt;1</f>
        <v>0</v>
      </c>
      <c r="M839" t="str">
        <f t="shared" si="13"/>
        <v>£125,000 - £129,999</v>
      </c>
      <c r="N839" t="str" cm="1">
        <f t="array" ref="N83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39">
        <f>FLOOR(Sales_Export_2019_2020__2[[#This Row],[order_value_GBP]],5000)</f>
        <v>125000</v>
      </c>
    </row>
    <row r="840" spans="1:15" x14ac:dyDescent="0.35">
      <c r="A840" t="s">
        <v>23</v>
      </c>
      <c r="B840" s="2">
        <v>41805.53</v>
      </c>
      <c r="C840" s="2">
        <v>33352.449999999997</v>
      </c>
      <c r="D840" s="1">
        <v>43547</v>
      </c>
      <c r="E840" t="s">
        <v>51</v>
      </c>
      <c r="F840" t="s">
        <v>999</v>
      </c>
      <c r="G840" t="s">
        <v>26</v>
      </c>
      <c r="H840" t="s">
        <v>219</v>
      </c>
      <c r="I840" t="s">
        <v>38</v>
      </c>
      <c r="J840" t="s">
        <v>1000</v>
      </c>
      <c r="K840" s="2">
        <f>Sales_Export_2019_2020__2[[#This Row],[order_value_GBP]]-Sales_Export_2019_2020__2[[#This Row],[ cost ]]</f>
        <v>8453.0800000000017</v>
      </c>
      <c r="L840" t="b">
        <f>COUNTIF(Sales_Export_2019_2020__2[order_id],Sales_Export_2019_2020__2[[#This Row],[order_id]])&gt;1</f>
        <v>0</v>
      </c>
      <c r="M840" t="str">
        <f t="shared" si="13"/>
        <v>£40,000 - £44,999</v>
      </c>
      <c r="N840" t="str" cm="1">
        <f t="array" ref="N84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40">
        <f>FLOOR(Sales_Export_2019_2020__2[[#This Row],[order_value_GBP]],5000)</f>
        <v>40000</v>
      </c>
    </row>
    <row r="841" spans="1:15" x14ac:dyDescent="0.35">
      <c r="A841" t="s">
        <v>17</v>
      </c>
      <c r="B841" s="2">
        <v>145809.65</v>
      </c>
      <c r="C841" s="2">
        <v>123136.25</v>
      </c>
      <c r="D841" s="1">
        <v>43676</v>
      </c>
      <c r="E841" t="s">
        <v>51</v>
      </c>
      <c r="F841" t="s">
        <v>185</v>
      </c>
      <c r="G841" t="s">
        <v>20</v>
      </c>
      <c r="H841" t="s">
        <v>353</v>
      </c>
      <c r="I841" t="s">
        <v>28</v>
      </c>
      <c r="J841" t="s">
        <v>1001</v>
      </c>
      <c r="K841" s="2">
        <f>Sales_Export_2019_2020__2[[#This Row],[order_value_GBP]]-Sales_Export_2019_2020__2[[#This Row],[ cost ]]</f>
        <v>22673.399999999994</v>
      </c>
      <c r="L841" t="b">
        <f>COUNTIF(Sales_Export_2019_2020__2[order_id],Sales_Export_2019_2020__2[[#This Row],[order_id]])&gt;1</f>
        <v>0</v>
      </c>
      <c r="M841" t="str">
        <f t="shared" si="13"/>
        <v>£145,000 - £149,999</v>
      </c>
      <c r="N841" t="str" cm="1">
        <f t="array" ref="N84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41">
        <f>FLOOR(Sales_Export_2019_2020__2[[#This Row],[order_value_GBP]],5000)</f>
        <v>145000</v>
      </c>
    </row>
    <row r="842" spans="1:15" x14ac:dyDescent="0.35">
      <c r="A842" t="s">
        <v>53</v>
      </c>
      <c r="B842" s="2">
        <v>29443.71</v>
      </c>
      <c r="C842" s="2">
        <v>23958.35</v>
      </c>
      <c r="D842" s="1">
        <v>44133</v>
      </c>
      <c r="E842" t="s">
        <v>51</v>
      </c>
      <c r="F842" t="s">
        <v>35</v>
      </c>
      <c r="G842" t="s">
        <v>55</v>
      </c>
      <c r="H842" t="s">
        <v>133</v>
      </c>
      <c r="I842" t="s">
        <v>28</v>
      </c>
      <c r="J842" t="s">
        <v>1002</v>
      </c>
      <c r="K842" s="2">
        <f>Sales_Export_2019_2020__2[[#This Row],[order_value_GBP]]-Sales_Export_2019_2020__2[[#This Row],[ cost ]]</f>
        <v>5485.3600000000006</v>
      </c>
      <c r="L842" t="b">
        <f>COUNTIF(Sales_Export_2019_2020__2[order_id],Sales_Export_2019_2020__2[[#This Row],[order_id]])&gt;1</f>
        <v>0</v>
      </c>
      <c r="M842" t="str">
        <f t="shared" si="13"/>
        <v>£25,000 - £29,999</v>
      </c>
      <c r="N842" t="str" cm="1">
        <f t="array" ref="N84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42">
        <f>FLOOR(Sales_Export_2019_2020__2[[#This Row],[order_value_GBP]],5000)</f>
        <v>25000</v>
      </c>
    </row>
    <row r="843" spans="1:15" x14ac:dyDescent="0.35">
      <c r="A843" t="s">
        <v>10</v>
      </c>
      <c r="B843" s="2">
        <v>138443.23000000001</v>
      </c>
      <c r="C843" s="2">
        <v>115101.7</v>
      </c>
      <c r="D843" s="1">
        <v>43630</v>
      </c>
      <c r="E843" t="s">
        <v>24</v>
      </c>
      <c r="F843" t="s">
        <v>606</v>
      </c>
      <c r="G843" t="s">
        <v>13</v>
      </c>
      <c r="H843" t="s">
        <v>82</v>
      </c>
      <c r="I843" t="s">
        <v>15</v>
      </c>
      <c r="J843" t="s">
        <v>1003</v>
      </c>
      <c r="K843" s="2">
        <f>Sales_Export_2019_2020__2[[#This Row],[order_value_GBP]]-Sales_Export_2019_2020__2[[#This Row],[ cost ]]</f>
        <v>23341.530000000013</v>
      </c>
      <c r="L843" t="b">
        <f>COUNTIF(Sales_Export_2019_2020__2[order_id],Sales_Export_2019_2020__2[[#This Row],[order_id]])&gt;1</f>
        <v>0</v>
      </c>
      <c r="M843" t="str">
        <f t="shared" si="13"/>
        <v>£135,000 - £139,999</v>
      </c>
      <c r="N843" t="str" cm="1">
        <f t="array" ref="N84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43">
        <f>FLOOR(Sales_Export_2019_2020__2[[#This Row],[order_value_GBP]],5000)</f>
        <v>135000</v>
      </c>
    </row>
    <row r="844" spans="1:15" x14ac:dyDescent="0.35">
      <c r="A844" t="s">
        <v>45</v>
      </c>
      <c r="B844" s="2">
        <v>102000.57</v>
      </c>
      <c r="C844" s="2">
        <v>87261.49</v>
      </c>
      <c r="D844" s="1">
        <v>43907</v>
      </c>
      <c r="E844" t="s">
        <v>18</v>
      </c>
      <c r="F844" t="s">
        <v>92</v>
      </c>
      <c r="G844" t="s">
        <v>48</v>
      </c>
      <c r="H844" t="s">
        <v>66</v>
      </c>
      <c r="I844" t="s">
        <v>28</v>
      </c>
      <c r="J844" t="s">
        <v>1004</v>
      </c>
      <c r="K844" s="2">
        <f>Sales_Export_2019_2020__2[[#This Row],[order_value_GBP]]-Sales_Export_2019_2020__2[[#This Row],[ cost ]]</f>
        <v>14739.080000000002</v>
      </c>
      <c r="L844" t="b">
        <f>COUNTIF(Sales_Export_2019_2020__2[order_id],Sales_Export_2019_2020__2[[#This Row],[order_id]])&gt;1</f>
        <v>0</v>
      </c>
      <c r="M844" t="str">
        <f t="shared" si="13"/>
        <v>£100,000 - £104,999</v>
      </c>
      <c r="N844" t="str" cm="1">
        <f t="array" ref="N84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44">
        <f>FLOOR(Sales_Export_2019_2020__2[[#This Row],[order_value_GBP]],5000)</f>
        <v>100000</v>
      </c>
    </row>
    <row r="845" spans="1:15" x14ac:dyDescent="0.35">
      <c r="A845" t="s">
        <v>23</v>
      </c>
      <c r="B845" s="2">
        <v>53181.88</v>
      </c>
      <c r="C845" s="2">
        <v>42316.82</v>
      </c>
      <c r="D845" s="1">
        <v>43836</v>
      </c>
      <c r="E845" t="s">
        <v>60</v>
      </c>
      <c r="F845" t="s">
        <v>158</v>
      </c>
      <c r="G845" t="s">
        <v>26</v>
      </c>
      <c r="H845" t="s">
        <v>90</v>
      </c>
      <c r="I845" t="s">
        <v>28</v>
      </c>
      <c r="J845" t="s">
        <v>1005</v>
      </c>
      <c r="K845" s="2">
        <f>Sales_Export_2019_2020__2[[#This Row],[order_value_GBP]]-Sales_Export_2019_2020__2[[#This Row],[ cost ]]</f>
        <v>10865.059999999998</v>
      </c>
      <c r="L845" t="b">
        <f>COUNTIF(Sales_Export_2019_2020__2[order_id],Sales_Export_2019_2020__2[[#This Row],[order_id]])&gt;1</f>
        <v>0</v>
      </c>
      <c r="M845" t="str">
        <f t="shared" si="13"/>
        <v>£50,000 - £54,999</v>
      </c>
      <c r="N845" t="str" cm="1">
        <f t="array" ref="N84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45">
        <f>FLOOR(Sales_Export_2019_2020__2[[#This Row],[order_value_GBP]],5000)</f>
        <v>50000</v>
      </c>
    </row>
    <row r="846" spans="1:15" x14ac:dyDescent="0.35">
      <c r="A846" t="s">
        <v>23</v>
      </c>
      <c r="B846" s="2">
        <v>99518.86</v>
      </c>
      <c r="C846" s="2">
        <v>81854.259999999995</v>
      </c>
      <c r="D846" s="1">
        <v>43536</v>
      </c>
      <c r="E846" t="s">
        <v>11</v>
      </c>
      <c r="F846" t="s">
        <v>210</v>
      </c>
      <c r="G846" t="s">
        <v>26</v>
      </c>
      <c r="H846" t="s">
        <v>76</v>
      </c>
      <c r="I846" t="s">
        <v>28</v>
      </c>
      <c r="J846" t="s">
        <v>1006</v>
      </c>
      <c r="K846" s="2">
        <f>Sales_Export_2019_2020__2[[#This Row],[order_value_GBP]]-Sales_Export_2019_2020__2[[#This Row],[ cost ]]</f>
        <v>17664.600000000006</v>
      </c>
      <c r="L846" t="b">
        <f>COUNTIF(Sales_Export_2019_2020__2[order_id],Sales_Export_2019_2020__2[[#This Row],[order_id]])&gt;1</f>
        <v>0</v>
      </c>
      <c r="M846" t="str">
        <f t="shared" si="13"/>
        <v>£95,000 - £99,999</v>
      </c>
      <c r="N846" t="str" cm="1">
        <f t="array" ref="N84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46">
        <f>FLOOR(Sales_Export_2019_2020__2[[#This Row],[order_value_GBP]],5000)</f>
        <v>95000</v>
      </c>
    </row>
    <row r="847" spans="1:15" x14ac:dyDescent="0.35">
      <c r="A847" t="s">
        <v>23</v>
      </c>
      <c r="B847" s="2">
        <v>79288.03</v>
      </c>
      <c r="C847" s="2">
        <v>68536.570000000007</v>
      </c>
      <c r="D847" s="1">
        <v>43654</v>
      </c>
      <c r="E847" t="s">
        <v>24</v>
      </c>
      <c r="F847" t="s">
        <v>35</v>
      </c>
      <c r="G847" t="s">
        <v>26</v>
      </c>
      <c r="H847" t="s">
        <v>90</v>
      </c>
      <c r="I847" t="s">
        <v>28</v>
      </c>
      <c r="J847" t="s">
        <v>1007</v>
      </c>
      <c r="K847" s="2">
        <f>Sales_Export_2019_2020__2[[#This Row],[order_value_GBP]]-Sales_Export_2019_2020__2[[#This Row],[ cost ]]</f>
        <v>10751.459999999992</v>
      </c>
      <c r="L847" t="b">
        <f>COUNTIF(Sales_Export_2019_2020__2[order_id],Sales_Export_2019_2020__2[[#This Row],[order_id]])&gt;1</f>
        <v>0</v>
      </c>
      <c r="M847" t="str">
        <f t="shared" si="13"/>
        <v>£75,000 - £79,999</v>
      </c>
      <c r="N847" t="str" cm="1">
        <f t="array" ref="N84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47">
        <f>FLOOR(Sales_Export_2019_2020__2[[#This Row],[order_value_GBP]],5000)</f>
        <v>75000</v>
      </c>
    </row>
    <row r="848" spans="1:15" x14ac:dyDescent="0.35">
      <c r="A848" t="s">
        <v>53</v>
      </c>
      <c r="B848" s="2">
        <v>111557.68</v>
      </c>
      <c r="C848" s="2">
        <v>92470.16</v>
      </c>
      <c r="D848" s="1">
        <v>43876</v>
      </c>
      <c r="E848" t="s">
        <v>11</v>
      </c>
      <c r="F848" t="s">
        <v>31</v>
      </c>
      <c r="G848" t="s">
        <v>55</v>
      </c>
      <c r="H848" t="s">
        <v>128</v>
      </c>
      <c r="I848" t="s">
        <v>28</v>
      </c>
      <c r="J848" t="s">
        <v>1008</v>
      </c>
      <c r="K848" s="2">
        <f>Sales_Export_2019_2020__2[[#This Row],[order_value_GBP]]-Sales_Export_2019_2020__2[[#This Row],[ cost ]]</f>
        <v>19087.51999999999</v>
      </c>
      <c r="L848" t="b">
        <f>COUNTIF(Sales_Export_2019_2020__2[order_id],Sales_Export_2019_2020__2[[#This Row],[order_id]])&gt;1</f>
        <v>0</v>
      </c>
      <c r="M848" t="str">
        <f t="shared" si="13"/>
        <v>£110,000 - £114,999</v>
      </c>
      <c r="N848" t="str" cm="1">
        <f t="array" ref="N84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48">
        <f>FLOOR(Sales_Export_2019_2020__2[[#This Row],[order_value_GBP]],5000)</f>
        <v>110000</v>
      </c>
    </row>
    <row r="849" spans="1:15" x14ac:dyDescent="0.35">
      <c r="A849" t="s">
        <v>84</v>
      </c>
      <c r="B849" s="2">
        <v>43008.69</v>
      </c>
      <c r="C849" s="2">
        <v>34458.559999999998</v>
      </c>
      <c r="D849" s="1">
        <v>43665</v>
      </c>
      <c r="E849" t="s">
        <v>51</v>
      </c>
      <c r="F849" t="s">
        <v>648</v>
      </c>
      <c r="G849" t="s">
        <v>85</v>
      </c>
      <c r="H849" t="s">
        <v>86</v>
      </c>
      <c r="I849" t="s">
        <v>28</v>
      </c>
      <c r="J849" t="s">
        <v>1009</v>
      </c>
      <c r="K849" s="2">
        <f>Sales_Export_2019_2020__2[[#This Row],[order_value_GBP]]-Sales_Export_2019_2020__2[[#This Row],[ cost ]]</f>
        <v>8550.1300000000047</v>
      </c>
      <c r="L849" t="b">
        <f>COUNTIF(Sales_Export_2019_2020__2[order_id],Sales_Export_2019_2020__2[[#This Row],[order_id]])&gt;1</f>
        <v>0</v>
      </c>
      <c r="M849" t="str">
        <f t="shared" si="13"/>
        <v>£40,000 - £44,999</v>
      </c>
      <c r="N849" t="str" cm="1">
        <f t="array" ref="N84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49">
        <f>FLOOR(Sales_Export_2019_2020__2[[#This Row],[order_value_GBP]],5000)</f>
        <v>40000</v>
      </c>
    </row>
    <row r="850" spans="1:15" x14ac:dyDescent="0.35">
      <c r="A850" t="s">
        <v>53</v>
      </c>
      <c r="B850" s="2">
        <v>154936.24</v>
      </c>
      <c r="C850" s="2">
        <v>135739.64000000001</v>
      </c>
      <c r="D850" s="1">
        <v>44011</v>
      </c>
      <c r="E850" t="s">
        <v>11</v>
      </c>
      <c r="F850" t="s">
        <v>114</v>
      </c>
      <c r="G850" t="s">
        <v>55</v>
      </c>
      <c r="H850" t="s">
        <v>133</v>
      </c>
      <c r="I850" t="s">
        <v>28</v>
      </c>
      <c r="J850" t="s">
        <v>1010</v>
      </c>
      <c r="K850" s="2">
        <f>Sales_Export_2019_2020__2[[#This Row],[order_value_GBP]]-Sales_Export_2019_2020__2[[#This Row],[ cost ]]</f>
        <v>19196.599999999977</v>
      </c>
      <c r="L850" t="b">
        <f>COUNTIF(Sales_Export_2019_2020__2[order_id],Sales_Export_2019_2020__2[[#This Row],[order_id]])&gt;1</f>
        <v>0</v>
      </c>
      <c r="M850" t="str">
        <f t="shared" si="13"/>
        <v>£150,000 - £154,999</v>
      </c>
      <c r="N850" t="str" cm="1">
        <f t="array" ref="N85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50">
        <f>FLOOR(Sales_Export_2019_2020__2[[#This Row],[order_value_GBP]],5000)</f>
        <v>150000</v>
      </c>
    </row>
    <row r="851" spans="1:15" x14ac:dyDescent="0.35">
      <c r="A851" t="s">
        <v>10</v>
      </c>
      <c r="B851" s="2">
        <v>115339.49</v>
      </c>
      <c r="C851" s="2">
        <v>100691.37</v>
      </c>
      <c r="D851" s="1">
        <v>43711</v>
      </c>
      <c r="E851" t="s">
        <v>62</v>
      </c>
      <c r="F851" t="s">
        <v>40</v>
      </c>
      <c r="G851" t="s">
        <v>13</v>
      </c>
      <c r="H851" t="s">
        <v>14</v>
      </c>
      <c r="I851" t="s">
        <v>15</v>
      </c>
      <c r="J851" t="s">
        <v>1011</v>
      </c>
      <c r="K851" s="2">
        <f>Sales_Export_2019_2020__2[[#This Row],[order_value_GBP]]-Sales_Export_2019_2020__2[[#This Row],[ cost ]]</f>
        <v>14648.12000000001</v>
      </c>
      <c r="L851" t="b">
        <f>COUNTIF(Sales_Export_2019_2020__2[order_id],Sales_Export_2019_2020__2[[#This Row],[order_id]])&gt;1</f>
        <v>0</v>
      </c>
      <c r="M851" t="str">
        <f t="shared" si="13"/>
        <v>£115,000 - £119,999</v>
      </c>
      <c r="N851" t="str" cm="1">
        <f t="array" ref="N85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51">
        <f>FLOOR(Sales_Export_2019_2020__2[[#This Row],[order_value_GBP]],5000)</f>
        <v>115000</v>
      </c>
    </row>
    <row r="852" spans="1:15" x14ac:dyDescent="0.35">
      <c r="A852" t="s">
        <v>53</v>
      </c>
      <c r="B852" s="2">
        <v>65254.5</v>
      </c>
      <c r="C852" s="2">
        <v>53919.79</v>
      </c>
      <c r="D852" s="1">
        <v>43633</v>
      </c>
      <c r="E852" t="s">
        <v>18</v>
      </c>
      <c r="F852" t="s">
        <v>71</v>
      </c>
      <c r="G852" t="s">
        <v>55</v>
      </c>
      <c r="H852" t="s">
        <v>56</v>
      </c>
      <c r="I852" t="s">
        <v>28</v>
      </c>
      <c r="J852" t="s">
        <v>1012</v>
      </c>
      <c r="K852" s="2">
        <f>Sales_Export_2019_2020__2[[#This Row],[order_value_GBP]]-Sales_Export_2019_2020__2[[#This Row],[ cost ]]</f>
        <v>11334.71</v>
      </c>
      <c r="L852" t="b">
        <f>COUNTIF(Sales_Export_2019_2020__2[order_id],Sales_Export_2019_2020__2[[#This Row],[order_id]])&gt;1</f>
        <v>0</v>
      </c>
      <c r="M852" t="str">
        <f t="shared" si="13"/>
        <v>£65,000 - £69,999</v>
      </c>
      <c r="N852" t="str" cm="1">
        <f t="array" ref="N85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52">
        <f>FLOOR(Sales_Export_2019_2020__2[[#This Row],[order_value_GBP]],5000)</f>
        <v>65000</v>
      </c>
    </row>
    <row r="853" spans="1:15" x14ac:dyDescent="0.35">
      <c r="A853" t="s">
        <v>84</v>
      </c>
      <c r="B853" s="2">
        <v>50241.47</v>
      </c>
      <c r="C853" s="2">
        <v>43443.8</v>
      </c>
      <c r="D853" s="1">
        <v>44121</v>
      </c>
      <c r="E853" t="s">
        <v>11</v>
      </c>
      <c r="F853" t="s">
        <v>132</v>
      </c>
      <c r="G853" t="s">
        <v>85</v>
      </c>
      <c r="H853" t="s">
        <v>86</v>
      </c>
      <c r="I853" t="s">
        <v>38</v>
      </c>
      <c r="J853" t="s">
        <v>1013</v>
      </c>
      <c r="K853" s="2">
        <f>Sales_Export_2019_2020__2[[#This Row],[order_value_GBP]]-Sales_Export_2019_2020__2[[#This Row],[ cost ]]</f>
        <v>6797.6699999999983</v>
      </c>
      <c r="L853" t="b">
        <f>COUNTIF(Sales_Export_2019_2020__2[order_id],Sales_Export_2019_2020__2[[#This Row],[order_id]])&gt;1</f>
        <v>0</v>
      </c>
      <c r="M853" t="str">
        <f t="shared" si="13"/>
        <v>£50,000 - £54,999</v>
      </c>
      <c r="N853" t="str" cm="1">
        <f t="array" ref="N85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53">
        <f>FLOOR(Sales_Export_2019_2020__2[[#This Row],[order_value_GBP]],5000)</f>
        <v>50000</v>
      </c>
    </row>
    <row r="854" spans="1:15" x14ac:dyDescent="0.35">
      <c r="A854" t="s">
        <v>45</v>
      </c>
      <c r="B854" s="2">
        <v>304337.49</v>
      </c>
      <c r="C854" s="2">
        <v>261730.24</v>
      </c>
      <c r="D854" s="1">
        <v>43803</v>
      </c>
      <c r="E854" t="s">
        <v>24</v>
      </c>
      <c r="F854" t="s">
        <v>153</v>
      </c>
      <c r="G854" t="s">
        <v>48</v>
      </c>
      <c r="H854" t="s">
        <v>66</v>
      </c>
      <c r="I854" t="s">
        <v>28</v>
      </c>
      <c r="J854" t="s">
        <v>1014</v>
      </c>
      <c r="K854" s="2">
        <f>Sales_Export_2019_2020__2[[#This Row],[order_value_GBP]]-Sales_Export_2019_2020__2[[#This Row],[ cost ]]</f>
        <v>42607.25</v>
      </c>
      <c r="L854" t="b">
        <f>COUNTIF(Sales_Export_2019_2020__2[order_id],Sales_Export_2019_2020__2[[#This Row],[order_id]])&gt;1</f>
        <v>0</v>
      </c>
      <c r="M854" t="str">
        <f t="shared" si="13"/>
        <v>£300,000 - £304,999</v>
      </c>
      <c r="N854" t="str" cm="1">
        <f t="array" ref="N85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854">
        <f>FLOOR(Sales_Export_2019_2020__2[[#This Row],[order_value_GBP]],5000)</f>
        <v>300000</v>
      </c>
    </row>
    <row r="855" spans="1:15" x14ac:dyDescent="0.35">
      <c r="A855" t="s">
        <v>101</v>
      </c>
      <c r="B855" s="2">
        <v>95960.77</v>
      </c>
      <c r="C855" s="2">
        <v>76519.12</v>
      </c>
      <c r="D855" s="1">
        <v>44115</v>
      </c>
      <c r="E855" t="s">
        <v>11</v>
      </c>
      <c r="F855" t="s">
        <v>31</v>
      </c>
      <c r="G855" t="s">
        <v>103</v>
      </c>
      <c r="H855" t="s">
        <v>162</v>
      </c>
      <c r="I855" t="s">
        <v>28</v>
      </c>
      <c r="J855" t="s">
        <v>1015</v>
      </c>
      <c r="K855" s="2">
        <f>Sales_Export_2019_2020__2[[#This Row],[order_value_GBP]]-Sales_Export_2019_2020__2[[#This Row],[ cost ]]</f>
        <v>19441.650000000009</v>
      </c>
      <c r="L855" t="b">
        <f>COUNTIF(Sales_Export_2019_2020__2[order_id],Sales_Export_2019_2020__2[[#This Row],[order_id]])&gt;1</f>
        <v>0</v>
      </c>
      <c r="M855" t="str">
        <f t="shared" si="13"/>
        <v>£95,000 - £99,999</v>
      </c>
      <c r="N855" t="str" cm="1">
        <f t="array" ref="N85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55">
        <f>FLOOR(Sales_Export_2019_2020__2[[#This Row],[order_value_GBP]],5000)</f>
        <v>95000</v>
      </c>
    </row>
    <row r="856" spans="1:15" x14ac:dyDescent="0.35">
      <c r="A856" t="s">
        <v>10</v>
      </c>
      <c r="B856" s="2">
        <v>152522.94</v>
      </c>
      <c r="C856" s="2">
        <v>122399.66</v>
      </c>
      <c r="D856" s="1">
        <v>43932</v>
      </c>
      <c r="E856" t="s">
        <v>62</v>
      </c>
      <c r="F856" t="s">
        <v>231</v>
      </c>
      <c r="G856" t="s">
        <v>13</v>
      </c>
      <c r="H856" t="s">
        <v>14</v>
      </c>
      <c r="I856" t="s">
        <v>28</v>
      </c>
      <c r="J856" t="s">
        <v>1016</v>
      </c>
      <c r="K856" s="2">
        <f>Sales_Export_2019_2020__2[[#This Row],[order_value_GBP]]-Sales_Export_2019_2020__2[[#This Row],[ cost ]]</f>
        <v>30123.279999999999</v>
      </c>
      <c r="L856" t="b">
        <f>COUNTIF(Sales_Export_2019_2020__2[order_id],Sales_Export_2019_2020__2[[#This Row],[order_id]])&gt;1</f>
        <v>0</v>
      </c>
      <c r="M856" t="str">
        <f t="shared" si="13"/>
        <v>£150,000 - £154,999</v>
      </c>
      <c r="N856" t="str" cm="1">
        <f t="array" ref="N85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56">
        <f>FLOOR(Sales_Export_2019_2020__2[[#This Row],[order_value_GBP]],5000)</f>
        <v>150000</v>
      </c>
    </row>
    <row r="857" spans="1:15" x14ac:dyDescent="0.35">
      <c r="A857" t="s">
        <v>10</v>
      </c>
      <c r="B857" s="2">
        <v>63196.98</v>
      </c>
      <c r="C857" s="2">
        <v>54671.71</v>
      </c>
      <c r="D857" s="1">
        <v>43573</v>
      </c>
      <c r="E857" t="s">
        <v>60</v>
      </c>
      <c r="F857" t="s">
        <v>150</v>
      </c>
      <c r="G857" t="s">
        <v>13</v>
      </c>
      <c r="H857" t="s">
        <v>118</v>
      </c>
      <c r="I857" t="s">
        <v>28</v>
      </c>
      <c r="J857" t="s">
        <v>1017</v>
      </c>
      <c r="K857" s="2">
        <f>Sales_Export_2019_2020__2[[#This Row],[order_value_GBP]]-Sales_Export_2019_2020__2[[#This Row],[ cost ]]</f>
        <v>8525.2700000000041</v>
      </c>
      <c r="L857" t="b">
        <f>COUNTIF(Sales_Export_2019_2020__2[order_id],Sales_Export_2019_2020__2[[#This Row],[order_id]])&gt;1</f>
        <v>0</v>
      </c>
      <c r="M857" t="str">
        <f t="shared" si="13"/>
        <v>£60,000 - £64,999</v>
      </c>
      <c r="N857" t="str" cm="1">
        <f t="array" ref="N85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57">
        <f>FLOOR(Sales_Export_2019_2020__2[[#This Row],[order_value_GBP]],5000)</f>
        <v>60000</v>
      </c>
    </row>
    <row r="858" spans="1:15" x14ac:dyDescent="0.35">
      <c r="A858" t="s">
        <v>10</v>
      </c>
      <c r="B858" s="2">
        <v>83119.87</v>
      </c>
      <c r="C858" s="2">
        <v>69604.58</v>
      </c>
      <c r="D858" s="1">
        <v>43494</v>
      </c>
      <c r="E858" t="s">
        <v>24</v>
      </c>
      <c r="F858" t="s">
        <v>185</v>
      </c>
      <c r="G858" t="s">
        <v>13</v>
      </c>
      <c r="H858" t="s">
        <v>82</v>
      </c>
      <c r="I858" t="s">
        <v>28</v>
      </c>
      <c r="J858" t="s">
        <v>1018</v>
      </c>
      <c r="K858" s="2">
        <f>Sales_Export_2019_2020__2[[#This Row],[order_value_GBP]]-Sales_Export_2019_2020__2[[#This Row],[ cost ]]</f>
        <v>13515.289999999994</v>
      </c>
      <c r="L858" t="b">
        <f>COUNTIF(Sales_Export_2019_2020__2[order_id],Sales_Export_2019_2020__2[[#This Row],[order_id]])&gt;1</f>
        <v>0</v>
      </c>
      <c r="M858" t="str">
        <f t="shared" si="13"/>
        <v>£80,000 - £84,999</v>
      </c>
      <c r="N858" t="str" cm="1">
        <f t="array" ref="N85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58">
        <f>FLOOR(Sales_Export_2019_2020__2[[#This Row],[order_value_GBP]],5000)</f>
        <v>80000</v>
      </c>
    </row>
    <row r="859" spans="1:15" x14ac:dyDescent="0.35">
      <c r="A859" t="s">
        <v>53</v>
      </c>
      <c r="B859" s="2">
        <v>75483.45</v>
      </c>
      <c r="C859" s="2">
        <v>60077.279999999999</v>
      </c>
      <c r="D859" s="1">
        <v>43802</v>
      </c>
      <c r="E859" t="s">
        <v>51</v>
      </c>
      <c r="F859" t="s">
        <v>35</v>
      </c>
      <c r="G859" t="s">
        <v>55</v>
      </c>
      <c r="H859" t="s">
        <v>133</v>
      </c>
      <c r="I859" t="s">
        <v>28</v>
      </c>
      <c r="J859" t="s">
        <v>1019</v>
      </c>
      <c r="K859" s="2">
        <f>Sales_Export_2019_2020__2[[#This Row],[order_value_GBP]]-Sales_Export_2019_2020__2[[#This Row],[ cost ]]</f>
        <v>15406.169999999998</v>
      </c>
      <c r="L859" t="b">
        <f>COUNTIF(Sales_Export_2019_2020__2[order_id],Sales_Export_2019_2020__2[[#This Row],[order_id]])&gt;1</f>
        <v>0</v>
      </c>
      <c r="M859" t="str">
        <f t="shared" si="13"/>
        <v>£75,000 - £79,999</v>
      </c>
      <c r="N859" t="str" cm="1">
        <f t="array" ref="N85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59">
        <f>FLOOR(Sales_Export_2019_2020__2[[#This Row],[order_value_GBP]],5000)</f>
        <v>75000</v>
      </c>
    </row>
    <row r="860" spans="1:15" x14ac:dyDescent="0.35">
      <c r="A860" t="s">
        <v>173</v>
      </c>
      <c r="B860" s="2">
        <v>65397.279999999999</v>
      </c>
      <c r="C860" s="2">
        <v>53920.06</v>
      </c>
      <c r="D860" s="1">
        <v>43910</v>
      </c>
      <c r="E860" t="s">
        <v>62</v>
      </c>
      <c r="F860" t="s">
        <v>467</v>
      </c>
      <c r="G860" t="s">
        <v>175</v>
      </c>
      <c r="H860" t="s">
        <v>176</v>
      </c>
      <c r="I860" t="s">
        <v>15</v>
      </c>
      <c r="J860" t="s">
        <v>1020</v>
      </c>
      <c r="K860" s="2">
        <f>Sales_Export_2019_2020__2[[#This Row],[order_value_GBP]]-Sales_Export_2019_2020__2[[#This Row],[ cost ]]</f>
        <v>11477.220000000001</v>
      </c>
      <c r="L860" t="b">
        <f>COUNTIF(Sales_Export_2019_2020__2[order_id],Sales_Export_2019_2020__2[[#This Row],[order_id]])&gt;1</f>
        <v>0</v>
      </c>
      <c r="M860" t="str">
        <f t="shared" si="13"/>
        <v>£65,000 - £69,999</v>
      </c>
      <c r="N860" t="str" cm="1">
        <f t="array" ref="N86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60">
        <f>FLOOR(Sales_Export_2019_2020__2[[#This Row],[order_value_GBP]],5000)</f>
        <v>65000</v>
      </c>
    </row>
    <row r="861" spans="1:15" x14ac:dyDescent="0.35">
      <c r="A861" t="s">
        <v>53</v>
      </c>
      <c r="B861" s="2">
        <v>48890.14</v>
      </c>
      <c r="C861" s="2">
        <v>41180.160000000003</v>
      </c>
      <c r="D861" s="1">
        <v>43605</v>
      </c>
      <c r="E861" t="s">
        <v>24</v>
      </c>
      <c r="F861" t="s">
        <v>35</v>
      </c>
      <c r="G861" t="s">
        <v>55</v>
      </c>
      <c r="H861" t="s">
        <v>133</v>
      </c>
      <c r="I861" t="s">
        <v>28</v>
      </c>
      <c r="J861" t="s">
        <v>1021</v>
      </c>
      <c r="K861" s="2">
        <f>Sales_Export_2019_2020__2[[#This Row],[order_value_GBP]]-Sales_Export_2019_2020__2[[#This Row],[ cost ]]</f>
        <v>7709.9799999999959</v>
      </c>
      <c r="L861" t="b">
        <f>COUNTIF(Sales_Export_2019_2020__2[order_id],Sales_Export_2019_2020__2[[#This Row],[order_id]])&gt;1</f>
        <v>0</v>
      </c>
      <c r="M861" t="str">
        <f t="shared" si="13"/>
        <v>£45,000 - £49,999</v>
      </c>
      <c r="N861" t="str" cm="1">
        <f t="array" ref="N86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61">
        <f>FLOOR(Sales_Export_2019_2020__2[[#This Row],[order_value_GBP]],5000)</f>
        <v>45000</v>
      </c>
    </row>
    <row r="862" spans="1:15" x14ac:dyDescent="0.35">
      <c r="A862" t="s">
        <v>53</v>
      </c>
      <c r="B862" s="2">
        <v>80839.75</v>
      </c>
      <c r="C862" s="2">
        <v>63936.160000000003</v>
      </c>
      <c r="D862" s="1">
        <v>43972</v>
      </c>
      <c r="E862" t="s">
        <v>18</v>
      </c>
      <c r="F862" t="s">
        <v>12</v>
      </c>
      <c r="G862" t="s">
        <v>55</v>
      </c>
      <c r="H862" t="s">
        <v>128</v>
      </c>
      <c r="I862" t="s">
        <v>28</v>
      </c>
      <c r="J862" t="s">
        <v>1022</v>
      </c>
      <c r="K862" s="2">
        <f>Sales_Export_2019_2020__2[[#This Row],[order_value_GBP]]-Sales_Export_2019_2020__2[[#This Row],[ cost ]]</f>
        <v>16903.589999999997</v>
      </c>
      <c r="L862" t="b">
        <f>COUNTIF(Sales_Export_2019_2020__2[order_id],Sales_Export_2019_2020__2[[#This Row],[order_id]])&gt;1</f>
        <v>0</v>
      </c>
      <c r="M862" t="str">
        <f t="shared" si="13"/>
        <v>£80,000 - £84,999</v>
      </c>
      <c r="N862" t="str" cm="1">
        <f t="array" ref="N86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62">
        <f>FLOOR(Sales_Export_2019_2020__2[[#This Row],[order_value_GBP]],5000)</f>
        <v>80000</v>
      </c>
    </row>
    <row r="863" spans="1:15" x14ac:dyDescent="0.35">
      <c r="A863" t="s">
        <v>173</v>
      </c>
      <c r="B863" s="2">
        <v>79375.17</v>
      </c>
      <c r="C863" s="2">
        <v>64532.01</v>
      </c>
      <c r="D863" s="1">
        <v>43870</v>
      </c>
      <c r="E863" t="s">
        <v>30</v>
      </c>
      <c r="F863" t="s">
        <v>31</v>
      </c>
      <c r="G863" t="s">
        <v>175</v>
      </c>
      <c r="H863" t="s">
        <v>176</v>
      </c>
      <c r="I863" t="s">
        <v>15</v>
      </c>
      <c r="J863" t="s">
        <v>1023</v>
      </c>
      <c r="K863" s="2">
        <f>Sales_Export_2019_2020__2[[#This Row],[order_value_GBP]]-Sales_Export_2019_2020__2[[#This Row],[ cost ]]</f>
        <v>14843.159999999996</v>
      </c>
      <c r="L863" t="b">
        <f>COUNTIF(Sales_Export_2019_2020__2[order_id],Sales_Export_2019_2020__2[[#This Row],[order_id]])&gt;1</f>
        <v>0</v>
      </c>
      <c r="M863" t="str">
        <f t="shared" si="13"/>
        <v>£75,000 - £79,999</v>
      </c>
      <c r="N863" t="str" cm="1">
        <f t="array" ref="N86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63">
        <f>FLOOR(Sales_Export_2019_2020__2[[#This Row],[order_value_GBP]],5000)</f>
        <v>75000</v>
      </c>
    </row>
    <row r="864" spans="1:15" x14ac:dyDescent="0.35">
      <c r="A864" t="s">
        <v>101</v>
      </c>
      <c r="B864" s="2">
        <v>158011.29999999999</v>
      </c>
      <c r="C864" s="2">
        <v>137390.82999999999</v>
      </c>
      <c r="D864" s="1">
        <v>43796</v>
      </c>
      <c r="E864" t="s">
        <v>30</v>
      </c>
      <c r="F864" t="s">
        <v>94</v>
      </c>
      <c r="G864" t="s">
        <v>103</v>
      </c>
      <c r="H864" t="s">
        <v>162</v>
      </c>
      <c r="I864" t="s">
        <v>28</v>
      </c>
      <c r="J864" t="s">
        <v>1024</v>
      </c>
      <c r="K864" s="2">
        <f>Sales_Export_2019_2020__2[[#This Row],[order_value_GBP]]-Sales_Export_2019_2020__2[[#This Row],[ cost ]]</f>
        <v>20620.47</v>
      </c>
      <c r="L864" t="b">
        <f>COUNTIF(Sales_Export_2019_2020__2[order_id],Sales_Export_2019_2020__2[[#This Row],[order_id]])&gt;1</f>
        <v>0</v>
      </c>
      <c r="M864" t="str">
        <f t="shared" si="13"/>
        <v>£155,000 - £159,999</v>
      </c>
      <c r="N864" t="str" cm="1">
        <f t="array" ref="N86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64">
        <f>FLOOR(Sales_Export_2019_2020__2[[#This Row],[order_value_GBP]],5000)</f>
        <v>155000</v>
      </c>
    </row>
    <row r="865" spans="1:15" x14ac:dyDescent="0.35">
      <c r="A865" t="s">
        <v>23</v>
      </c>
      <c r="B865" s="2">
        <v>155766.23000000001</v>
      </c>
      <c r="C865" s="2">
        <v>131529</v>
      </c>
      <c r="D865" s="1">
        <v>43978</v>
      </c>
      <c r="E865" t="s">
        <v>18</v>
      </c>
      <c r="F865" t="s">
        <v>302</v>
      </c>
      <c r="G865" t="s">
        <v>26</v>
      </c>
      <c r="H865" t="s">
        <v>32</v>
      </c>
      <c r="I865" t="s">
        <v>28</v>
      </c>
      <c r="J865" t="s">
        <v>1025</v>
      </c>
      <c r="K865" s="2">
        <f>Sales_Export_2019_2020__2[[#This Row],[order_value_GBP]]-Sales_Export_2019_2020__2[[#This Row],[ cost ]]</f>
        <v>24237.23000000001</v>
      </c>
      <c r="L865" t="b">
        <f>COUNTIF(Sales_Export_2019_2020__2[order_id],Sales_Export_2019_2020__2[[#This Row],[order_id]])&gt;1</f>
        <v>0</v>
      </c>
      <c r="M865" t="str">
        <f t="shared" si="13"/>
        <v>£155,000 - £159,999</v>
      </c>
      <c r="N865" t="str" cm="1">
        <f t="array" ref="N86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65">
        <f>FLOOR(Sales_Export_2019_2020__2[[#This Row],[order_value_GBP]],5000)</f>
        <v>155000</v>
      </c>
    </row>
    <row r="866" spans="1:15" x14ac:dyDescent="0.35">
      <c r="A866" t="s">
        <v>53</v>
      </c>
      <c r="B866" s="2">
        <v>19366.75</v>
      </c>
      <c r="C866" s="2">
        <v>15857.49</v>
      </c>
      <c r="D866" s="1">
        <v>43918</v>
      </c>
      <c r="E866" t="s">
        <v>18</v>
      </c>
      <c r="F866" t="s">
        <v>64</v>
      </c>
      <c r="G866" t="s">
        <v>55</v>
      </c>
      <c r="H866" t="s">
        <v>144</v>
      </c>
      <c r="I866" t="s">
        <v>28</v>
      </c>
      <c r="J866" t="s">
        <v>1026</v>
      </c>
      <c r="K866" s="2">
        <f>Sales_Export_2019_2020__2[[#This Row],[order_value_GBP]]-Sales_Export_2019_2020__2[[#This Row],[ cost ]]</f>
        <v>3509.26</v>
      </c>
      <c r="L866" t="b">
        <f>COUNTIF(Sales_Export_2019_2020__2[order_id],Sales_Export_2019_2020__2[[#This Row],[order_id]])&gt;1</f>
        <v>0</v>
      </c>
      <c r="M866" t="str">
        <f t="shared" ref="M866:M909" si="14">TEXT(FLOOR(B866,5000),"£#,##0")&amp;" - "&amp;TEXT(FLOOR(B866,5000)+4999,"£#,##0")</f>
        <v>£15,000 - £19,999</v>
      </c>
      <c r="N866" t="str" cm="1">
        <f t="array" ref="N86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66">
        <f>FLOOR(Sales_Export_2019_2020__2[[#This Row],[order_value_GBP]],5000)</f>
        <v>15000</v>
      </c>
    </row>
    <row r="867" spans="1:15" x14ac:dyDescent="0.35">
      <c r="A867" t="s">
        <v>53</v>
      </c>
      <c r="B867" s="2">
        <v>45481.24</v>
      </c>
      <c r="C867" s="2">
        <v>37317.360000000001</v>
      </c>
      <c r="D867" s="1">
        <v>43763</v>
      </c>
      <c r="E867" t="s">
        <v>60</v>
      </c>
      <c r="F867" t="s">
        <v>126</v>
      </c>
      <c r="G867" t="s">
        <v>55</v>
      </c>
      <c r="H867" t="s">
        <v>128</v>
      </c>
      <c r="I867" t="s">
        <v>28</v>
      </c>
      <c r="J867" t="s">
        <v>1027</v>
      </c>
      <c r="K867" s="2">
        <f>Sales_Export_2019_2020__2[[#This Row],[order_value_GBP]]-Sales_Export_2019_2020__2[[#This Row],[ cost ]]</f>
        <v>8163.8799999999974</v>
      </c>
      <c r="L867" t="b">
        <f>COUNTIF(Sales_Export_2019_2020__2[order_id],Sales_Export_2019_2020__2[[#This Row],[order_id]])&gt;1</f>
        <v>0</v>
      </c>
      <c r="M867" t="str">
        <f t="shared" si="14"/>
        <v>£45,000 - £49,999</v>
      </c>
      <c r="N867" t="str" cm="1">
        <f t="array" ref="N86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67">
        <f>FLOOR(Sales_Export_2019_2020__2[[#This Row],[order_value_GBP]],5000)</f>
        <v>45000</v>
      </c>
    </row>
    <row r="868" spans="1:15" x14ac:dyDescent="0.35">
      <c r="A868" t="s">
        <v>10</v>
      </c>
      <c r="B868" s="2">
        <v>152747.92000000001</v>
      </c>
      <c r="C868" s="2">
        <v>130614.75</v>
      </c>
      <c r="D868" s="1">
        <v>43954</v>
      </c>
      <c r="E868" t="s">
        <v>51</v>
      </c>
      <c r="F868" t="s">
        <v>97</v>
      </c>
      <c r="G868" t="s">
        <v>13</v>
      </c>
      <c r="H868" t="s">
        <v>69</v>
      </c>
      <c r="I868" t="s">
        <v>28</v>
      </c>
      <c r="J868" t="s">
        <v>1028</v>
      </c>
      <c r="K868" s="2">
        <f>Sales_Export_2019_2020__2[[#This Row],[order_value_GBP]]-Sales_Export_2019_2020__2[[#This Row],[ cost ]]</f>
        <v>22133.170000000013</v>
      </c>
      <c r="L868" t="b">
        <f>COUNTIF(Sales_Export_2019_2020__2[order_id],Sales_Export_2019_2020__2[[#This Row],[order_id]])&gt;1</f>
        <v>0</v>
      </c>
      <c r="M868" t="str">
        <f t="shared" si="14"/>
        <v>£150,000 - £154,999</v>
      </c>
      <c r="N868" t="str" cm="1">
        <f t="array" ref="N86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68">
        <f>FLOOR(Sales_Export_2019_2020__2[[#This Row],[order_value_GBP]],5000)</f>
        <v>150000</v>
      </c>
    </row>
    <row r="869" spans="1:15" x14ac:dyDescent="0.35">
      <c r="A869" t="s">
        <v>10</v>
      </c>
      <c r="B869" s="2">
        <v>255216</v>
      </c>
      <c r="C869" s="2">
        <v>211446.46</v>
      </c>
      <c r="D869" s="1">
        <v>43827</v>
      </c>
      <c r="E869" t="s">
        <v>24</v>
      </c>
      <c r="F869" t="s">
        <v>94</v>
      </c>
      <c r="G869" t="s">
        <v>13</v>
      </c>
      <c r="H869" t="s">
        <v>170</v>
      </c>
      <c r="I869" t="s">
        <v>28</v>
      </c>
      <c r="J869" t="s">
        <v>1029</v>
      </c>
      <c r="K869" s="2">
        <f>Sales_Export_2019_2020__2[[#This Row],[order_value_GBP]]-Sales_Export_2019_2020__2[[#This Row],[ cost ]]</f>
        <v>43769.540000000008</v>
      </c>
      <c r="L869" t="b">
        <f>COUNTIF(Sales_Export_2019_2020__2[order_id],Sales_Export_2019_2020__2[[#This Row],[order_id]])&gt;1</f>
        <v>0</v>
      </c>
      <c r="M869" t="str">
        <f t="shared" si="14"/>
        <v>£255,000 - £259,999</v>
      </c>
      <c r="N869" t="str" cm="1">
        <f t="array" ref="N86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869">
        <f>FLOOR(Sales_Export_2019_2020__2[[#This Row],[order_value_GBP]],5000)</f>
        <v>255000</v>
      </c>
    </row>
    <row r="870" spans="1:15" x14ac:dyDescent="0.35">
      <c r="A870" t="s">
        <v>23</v>
      </c>
      <c r="B870" s="2">
        <v>154858</v>
      </c>
      <c r="C870" s="2">
        <v>135376.85999999999</v>
      </c>
      <c r="D870" s="1">
        <v>44034</v>
      </c>
      <c r="E870" t="s">
        <v>18</v>
      </c>
      <c r="F870" t="s">
        <v>210</v>
      </c>
      <c r="G870" t="s">
        <v>26</v>
      </c>
      <c r="H870" t="s">
        <v>27</v>
      </c>
      <c r="I870" t="s">
        <v>28</v>
      </c>
      <c r="J870" t="s">
        <v>1030</v>
      </c>
      <c r="K870" s="2">
        <f>Sales_Export_2019_2020__2[[#This Row],[order_value_GBP]]-Sales_Export_2019_2020__2[[#This Row],[ cost ]]</f>
        <v>19481.140000000014</v>
      </c>
      <c r="L870" t="b">
        <f>COUNTIF(Sales_Export_2019_2020__2[order_id],Sales_Export_2019_2020__2[[#This Row],[order_id]])&gt;1</f>
        <v>0</v>
      </c>
      <c r="M870" t="str">
        <f t="shared" si="14"/>
        <v>£150,000 - £154,999</v>
      </c>
      <c r="N870" t="str" cm="1">
        <f t="array" ref="N87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70">
        <f>FLOOR(Sales_Export_2019_2020__2[[#This Row],[order_value_GBP]],5000)</f>
        <v>150000</v>
      </c>
    </row>
    <row r="871" spans="1:15" x14ac:dyDescent="0.35">
      <c r="A871" t="s">
        <v>53</v>
      </c>
      <c r="B871" s="2">
        <v>250488.42</v>
      </c>
      <c r="C871" s="2">
        <v>214142.55</v>
      </c>
      <c r="D871" s="1">
        <v>43995</v>
      </c>
      <c r="E871" t="s">
        <v>51</v>
      </c>
      <c r="F871" t="s">
        <v>12</v>
      </c>
      <c r="G871" t="s">
        <v>55</v>
      </c>
      <c r="H871" t="s">
        <v>72</v>
      </c>
      <c r="I871" t="s">
        <v>28</v>
      </c>
      <c r="J871" t="s">
        <v>1031</v>
      </c>
      <c r="K871" s="2">
        <f>Sales_Export_2019_2020__2[[#This Row],[order_value_GBP]]-Sales_Export_2019_2020__2[[#This Row],[ cost ]]</f>
        <v>36345.870000000024</v>
      </c>
      <c r="L871" t="b">
        <f>COUNTIF(Sales_Export_2019_2020__2[order_id],Sales_Export_2019_2020__2[[#This Row],[order_id]])&gt;1</f>
        <v>0</v>
      </c>
      <c r="M871" t="str">
        <f t="shared" si="14"/>
        <v>£250,000 - £254,999</v>
      </c>
      <c r="N871" t="str" cm="1">
        <f t="array" ref="N87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871">
        <f>FLOOR(Sales_Export_2019_2020__2[[#This Row],[order_value_GBP]],5000)</f>
        <v>250000</v>
      </c>
    </row>
    <row r="872" spans="1:15" x14ac:dyDescent="0.35">
      <c r="A872" t="s">
        <v>10</v>
      </c>
      <c r="B872" s="2">
        <v>115151.22</v>
      </c>
      <c r="C872" s="2">
        <v>91430.07</v>
      </c>
      <c r="D872" s="1">
        <v>44129</v>
      </c>
      <c r="E872" t="s">
        <v>51</v>
      </c>
      <c r="F872" t="s">
        <v>40</v>
      </c>
      <c r="G872" t="s">
        <v>13</v>
      </c>
      <c r="H872" t="s">
        <v>14</v>
      </c>
      <c r="I872" t="s">
        <v>28</v>
      </c>
      <c r="J872" t="s">
        <v>1032</v>
      </c>
      <c r="K872" s="2">
        <f>Sales_Export_2019_2020__2[[#This Row],[order_value_GBP]]-Sales_Export_2019_2020__2[[#This Row],[ cost ]]</f>
        <v>23721.149999999994</v>
      </c>
      <c r="L872" t="b">
        <f>COUNTIF(Sales_Export_2019_2020__2[order_id],Sales_Export_2019_2020__2[[#This Row],[order_id]])&gt;1</f>
        <v>0</v>
      </c>
      <c r="M872" t="str">
        <f t="shared" si="14"/>
        <v>£115,000 - £119,999</v>
      </c>
      <c r="N872" t="str" cm="1">
        <f t="array" ref="N87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72">
        <f>FLOOR(Sales_Export_2019_2020__2[[#This Row],[order_value_GBP]],5000)</f>
        <v>115000</v>
      </c>
    </row>
    <row r="873" spans="1:15" x14ac:dyDescent="0.35">
      <c r="A873" t="s">
        <v>10</v>
      </c>
      <c r="B873" s="2">
        <v>57347.48</v>
      </c>
      <c r="C873" s="2">
        <v>50041.41</v>
      </c>
      <c r="D873" s="1">
        <v>44055</v>
      </c>
      <c r="E873" t="s">
        <v>30</v>
      </c>
      <c r="F873" t="s">
        <v>35</v>
      </c>
      <c r="G873" t="s">
        <v>13</v>
      </c>
      <c r="H873" t="s">
        <v>14</v>
      </c>
      <c r="I873" t="s">
        <v>28</v>
      </c>
      <c r="J873" t="s">
        <v>1033</v>
      </c>
      <c r="K873" s="2">
        <f>Sales_Export_2019_2020__2[[#This Row],[order_value_GBP]]-Sales_Export_2019_2020__2[[#This Row],[ cost ]]</f>
        <v>7306.07</v>
      </c>
      <c r="L873" t="b">
        <f>COUNTIF(Sales_Export_2019_2020__2[order_id],Sales_Export_2019_2020__2[[#This Row],[order_id]])&gt;1</f>
        <v>0</v>
      </c>
      <c r="M873" t="str">
        <f t="shared" si="14"/>
        <v>£55,000 - £59,999</v>
      </c>
      <c r="N873" t="str" cm="1">
        <f t="array" ref="N87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73">
        <f>FLOOR(Sales_Export_2019_2020__2[[#This Row],[order_value_GBP]],5000)</f>
        <v>55000</v>
      </c>
    </row>
    <row r="874" spans="1:15" x14ac:dyDescent="0.35">
      <c r="A874" t="s">
        <v>23</v>
      </c>
      <c r="B874" s="2">
        <v>74790.02</v>
      </c>
      <c r="C874" s="2">
        <v>64992.53</v>
      </c>
      <c r="D874" s="1">
        <v>44001</v>
      </c>
      <c r="E874" t="s">
        <v>30</v>
      </c>
      <c r="F874" t="s">
        <v>254</v>
      </c>
      <c r="G874" t="s">
        <v>26</v>
      </c>
      <c r="H874" t="s">
        <v>76</v>
      </c>
      <c r="I874" t="s">
        <v>28</v>
      </c>
      <c r="J874" t="s">
        <v>1034</v>
      </c>
      <c r="K874" s="2">
        <f>Sales_Export_2019_2020__2[[#This Row],[order_value_GBP]]-Sales_Export_2019_2020__2[[#This Row],[ cost ]]</f>
        <v>9797.4900000000052</v>
      </c>
      <c r="L874" t="b">
        <f>COUNTIF(Sales_Export_2019_2020__2[order_id],Sales_Export_2019_2020__2[[#This Row],[order_id]])&gt;1</f>
        <v>0</v>
      </c>
      <c r="M874" t="str">
        <f t="shared" si="14"/>
        <v>£70,000 - £74,999</v>
      </c>
      <c r="N874" t="str" cm="1">
        <f t="array" ref="N87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74">
        <f>FLOOR(Sales_Export_2019_2020__2[[#This Row],[order_value_GBP]],5000)</f>
        <v>70000</v>
      </c>
    </row>
    <row r="875" spans="1:15" x14ac:dyDescent="0.35">
      <c r="A875" t="s">
        <v>53</v>
      </c>
      <c r="B875" s="2">
        <v>72749.070000000007</v>
      </c>
      <c r="C875" s="2">
        <v>59108.62</v>
      </c>
      <c r="D875" s="1">
        <v>43485</v>
      </c>
      <c r="E875" t="s">
        <v>60</v>
      </c>
      <c r="F875" t="s">
        <v>35</v>
      </c>
      <c r="G875" t="s">
        <v>55</v>
      </c>
      <c r="H875" t="s">
        <v>72</v>
      </c>
      <c r="I875" t="s">
        <v>28</v>
      </c>
      <c r="J875" t="s">
        <v>1035</v>
      </c>
      <c r="K875" s="2">
        <f>Sales_Export_2019_2020__2[[#This Row],[order_value_GBP]]-Sales_Export_2019_2020__2[[#This Row],[ cost ]]</f>
        <v>13640.450000000004</v>
      </c>
      <c r="L875" t="b">
        <f>COUNTIF(Sales_Export_2019_2020__2[order_id],Sales_Export_2019_2020__2[[#This Row],[order_id]])&gt;1</f>
        <v>0</v>
      </c>
      <c r="M875" t="str">
        <f t="shared" si="14"/>
        <v>£70,000 - £74,999</v>
      </c>
      <c r="N875" t="str" cm="1">
        <f t="array" ref="N87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75">
        <f>FLOOR(Sales_Export_2019_2020__2[[#This Row],[order_value_GBP]],5000)</f>
        <v>70000</v>
      </c>
    </row>
    <row r="876" spans="1:15" x14ac:dyDescent="0.35">
      <c r="A876" t="s">
        <v>101</v>
      </c>
      <c r="B876" s="2">
        <v>128235.65</v>
      </c>
      <c r="C876" s="2">
        <v>103024.52</v>
      </c>
      <c r="D876" s="1">
        <v>44094</v>
      </c>
      <c r="E876" t="s">
        <v>11</v>
      </c>
      <c r="F876" t="s">
        <v>210</v>
      </c>
      <c r="G876" t="s">
        <v>103</v>
      </c>
      <c r="H876" t="s">
        <v>104</v>
      </c>
      <c r="I876" t="s">
        <v>28</v>
      </c>
      <c r="J876" t="s">
        <v>1036</v>
      </c>
      <c r="K876" s="2">
        <f>Sales_Export_2019_2020__2[[#This Row],[order_value_GBP]]-Sales_Export_2019_2020__2[[#This Row],[ cost ]]</f>
        <v>25211.12999999999</v>
      </c>
      <c r="L876" t="b">
        <f>COUNTIF(Sales_Export_2019_2020__2[order_id],Sales_Export_2019_2020__2[[#This Row],[order_id]])&gt;1</f>
        <v>0</v>
      </c>
      <c r="M876" t="str">
        <f t="shared" si="14"/>
        <v>£125,000 - £129,999</v>
      </c>
      <c r="N876" t="str" cm="1">
        <f t="array" ref="N87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76">
        <f>FLOOR(Sales_Export_2019_2020__2[[#This Row],[order_value_GBP]],5000)</f>
        <v>125000</v>
      </c>
    </row>
    <row r="877" spans="1:15" x14ac:dyDescent="0.35">
      <c r="A877" t="s">
        <v>10</v>
      </c>
      <c r="B877" s="2">
        <v>79088.7</v>
      </c>
      <c r="C877" s="2">
        <v>67415.210000000006</v>
      </c>
      <c r="D877" s="1">
        <v>43975</v>
      </c>
      <c r="E877" t="s">
        <v>30</v>
      </c>
      <c r="F877" t="s">
        <v>182</v>
      </c>
      <c r="G877" t="s">
        <v>13</v>
      </c>
      <c r="H877" t="s">
        <v>170</v>
      </c>
      <c r="I877" t="s">
        <v>28</v>
      </c>
      <c r="J877" t="s">
        <v>1037</v>
      </c>
      <c r="K877" s="2">
        <f>Sales_Export_2019_2020__2[[#This Row],[order_value_GBP]]-Sales_Export_2019_2020__2[[#This Row],[ cost ]]</f>
        <v>11673.489999999991</v>
      </c>
      <c r="L877" t="b">
        <f>COUNTIF(Sales_Export_2019_2020__2[order_id],Sales_Export_2019_2020__2[[#This Row],[order_id]])&gt;1</f>
        <v>0</v>
      </c>
      <c r="M877" t="str">
        <f t="shared" si="14"/>
        <v>£75,000 - £79,999</v>
      </c>
      <c r="N877" t="str" cm="1">
        <f t="array" ref="N87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77">
        <f>FLOOR(Sales_Export_2019_2020__2[[#This Row],[order_value_GBP]],5000)</f>
        <v>75000</v>
      </c>
    </row>
    <row r="878" spans="1:15" x14ac:dyDescent="0.35">
      <c r="A878" t="s">
        <v>45</v>
      </c>
      <c r="B878" s="2">
        <v>124537.47</v>
      </c>
      <c r="C878" s="2">
        <v>105881.76</v>
      </c>
      <c r="D878" s="1">
        <v>43732</v>
      </c>
      <c r="E878" t="s">
        <v>24</v>
      </c>
      <c r="F878" t="s">
        <v>19</v>
      </c>
      <c r="G878" t="s">
        <v>48</v>
      </c>
      <c r="H878" t="s">
        <v>49</v>
      </c>
      <c r="I878" t="s">
        <v>28</v>
      </c>
      <c r="J878" t="s">
        <v>1038</v>
      </c>
      <c r="K878" s="2">
        <f>Sales_Export_2019_2020__2[[#This Row],[order_value_GBP]]-Sales_Export_2019_2020__2[[#This Row],[ cost ]]</f>
        <v>18655.710000000006</v>
      </c>
      <c r="L878" t="b">
        <f>COUNTIF(Sales_Export_2019_2020__2[order_id],Sales_Export_2019_2020__2[[#This Row],[order_id]])&gt;1</f>
        <v>0</v>
      </c>
      <c r="M878" t="str">
        <f t="shared" si="14"/>
        <v>£120,000 - £124,999</v>
      </c>
      <c r="N878" t="str" cm="1">
        <f t="array" ref="N87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78">
        <f>FLOOR(Sales_Export_2019_2020__2[[#This Row],[order_value_GBP]],5000)</f>
        <v>120000</v>
      </c>
    </row>
    <row r="879" spans="1:15" x14ac:dyDescent="0.35">
      <c r="A879" t="s">
        <v>10</v>
      </c>
      <c r="B879" s="2">
        <v>161192.45000000001</v>
      </c>
      <c r="C879" s="2">
        <v>135965.82999999999</v>
      </c>
      <c r="D879" s="1">
        <v>43650</v>
      </c>
      <c r="E879" t="s">
        <v>24</v>
      </c>
      <c r="F879" t="s">
        <v>64</v>
      </c>
      <c r="G879" t="s">
        <v>13</v>
      </c>
      <c r="H879" t="s">
        <v>170</v>
      </c>
      <c r="I879" t="s">
        <v>28</v>
      </c>
      <c r="J879" t="s">
        <v>1039</v>
      </c>
      <c r="K879" s="2">
        <f>Sales_Export_2019_2020__2[[#This Row],[order_value_GBP]]-Sales_Export_2019_2020__2[[#This Row],[ cost ]]</f>
        <v>25226.620000000024</v>
      </c>
      <c r="L879" t="b">
        <f>COUNTIF(Sales_Export_2019_2020__2[order_id],Sales_Export_2019_2020__2[[#This Row],[order_id]])&gt;1</f>
        <v>0</v>
      </c>
      <c r="M879" t="str">
        <f t="shared" si="14"/>
        <v>£160,000 - £164,999</v>
      </c>
      <c r="N879" t="str" cm="1">
        <f t="array" ref="N87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79">
        <f>FLOOR(Sales_Export_2019_2020__2[[#This Row],[order_value_GBP]],5000)</f>
        <v>160000</v>
      </c>
    </row>
    <row r="880" spans="1:15" x14ac:dyDescent="0.35">
      <c r="A880" t="s">
        <v>53</v>
      </c>
      <c r="B880" s="2">
        <v>109697.86</v>
      </c>
      <c r="C880" s="2">
        <v>89853.52</v>
      </c>
      <c r="D880" s="1">
        <v>43670</v>
      </c>
      <c r="E880" t="s">
        <v>30</v>
      </c>
      <c r="F880" t="s">
        <v>110</v>
      </c>
      <c r="G880" t="s">
        <v>55</v>
      </c>
      <c r="H880" t="s">
        <v>128</v>
      </c>
      <c r="I880" t="s">
        <v>28</v>
      </c>
      <c r="J880" t="s">
        <v>1040</v>
      </c>
      <c r="K880" s="2">
        <f>Sales_Export_2019_2020__2[[#This Row],[order_value_GBP]]-Sales_Export_2019_2020__2[[#This Row],[ cost ]]</f>
        <v>19844.339999999997</v>
      </c>
      <c r="L880" t="b">
        <f>COUNTIF(Sales_Export_2019_2020__2[order_id],Sales_Export_2019_2020__2[[#This Row],[order_id]])&gt;1</f>
        <v>0</v>
      </c>
      <c r="M880" t="str">
        <f t="shared" si="14"/>
        <v>£105,000 - £109,999</v>
      </c>
      <c r="N880" t="str" cm="1">
        <f t="array" ref="N88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80">
        <f>FLOOR(Sales_Export_2019_2020__2[[#This Row],[order_value_GBP]],5000)</f>
        <v>105000</v>
      </c>
    </row>
    <row r="881" spans="1:15" x14ac:dyDescent="0.35">
      <c r="A881" t="s">
        <v>53</v>
      </c>
      <c r="B881" s="2">
        <v>57276.26</v>
      </c>
      <c r="C881" s="2">
        <v>49223.22</v>
      </c>
      <c r="D881" s="1">
        <v>43925</v>
      </c>
      <c r="E881" t="s">
        <v>51</v>
      </c>
      <c r="F881" t="s">
        <v>35</v>
      </c>
      <c r="G881" t="s">
        <v>55</v>
      </c>
      <c r="H881" t="s">
        <v>72</v>
      </c>
      <c r="I881" t="s">
        <v>28</v>
      </c>
      <c r="J881" t="s">
        <v>1041</v>
      </c>
      <c r="K881" s="2">
        <f>Sales_Export_2019_2020__2[[#This Row],[order_value_GBP]]-Sales_Export_2019_2020__2[[#This Row],[ cost ]]</f>
        <v>8053.0400000000009</v>
      </c>
      <c r="L881" t="b">
        <f>COUNTIF(Sales_Export_2019_2020__2[order_id],Sales_Export_2019_2020__2[[#This Row],[order_id]])&gt;1</f>
        <v>0</v>
      </c>
      <c r="M881" t="str">
        <f t="shared" si="14"/>
        <v>£55,000 - £59,999</v>
      </c>
      <c r="N881" t="str" cm="1">
        <f t="array" ref="N88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81">
        <f>FLOOR(Sales_Export_2019_2020__2[[#This Row],[order_value_GBP]],5000)</f>
        <v>55000</v>
      </c>
    </row>
    <row r="882" spans="1:15" x14ac:dyDescent="0.35">
      <c r="A882" t="s">
        <v>84</v>
      </c>
      <c r="B882" s="2">
        <v>149956.93</v>
      </c>
      <c r="C882" s="2">
        <v>130087.64</v>
      </c>
      <c r="D882" s="1">
        <v>44112</v>
      </c>
      <c r="E882" t="s">
        <v>18</v>
      </c>
      <c r="F882" t="s">
        <v>150</v>
      </c>
      <c r="G882" t="s">
        <v>85</v>
      </c>
      <c r="H882" t="s">
        <v>86</v>
      </c>
      <c r="I882" t="s">
        <v>28</v>
      </c>
      <c r="J882" t="s">
        <v>1042</v>
      </c>
      <c r="K882" s="2">
        <f>Sales_Export_2019_2020__2[[#This Row],[order_value_GBP]]-Sales_Export_2019_2020__2[[#This Row],[ cost ]]</f>
        <v>19869.289999999994</v>
      </c>
      <c r="L882" t="b">
        <f>COUNTIF(Sales_Export_2019_2020__2[order_id],Sales_Export_2019_2020__2[[#This Row],[order_id]])&gt;1</f>
        <v>0</v>
      </c>
      <c r="M882" t="str">
        <f t="shared" si="14"/>
        <v>£145,000 - £149,999</v>
      </c>
      <c r="N882" t="str" cm="1">
        <f t="array" ref="N88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82">
        <f>FLOOR(Sales_Export_2019_2020__2[[#This Row],[order_value_GBP]],5000)</f>
        <v>145000</v>
      </c>
    </row>
    <row r="883" spans="1:15" x14ac:dyDescent="0.35">
      <c r="A883" t="s">
        <v>138</v>
      </c>
      <c r="B883" s="2">
        <v>127075.41</v>
      </c>
      <c r="C883" s="2">
        <v>110924.13</v>
      </c>
      <c r="D883" s="1">
        <v>43732</v>
      </c>
      <c r="E883" t="s">
        <v>24</v>
      </c>
      <c r="F883" t="s">
        <v>123</v>
      </c>
      <c r="G883" t="s">
        <v>140</v>
      </c>
      <c r="H883" t="s">
        <v>141</v>
      </c>
      <c r="I883" t="s">
        <v>28</v>
      </c>
      <c r="J883" t="s">
        <v>1043</v>
      </c>
      <c r="K883" s="2">
        <f>Sales_Export_2019_2020__2[[#This Row],[order_value_GBP]]-Sales_Export_2019_2020__2[[#This Row],[ cost ]]</f>
        <v>16151.279999999999</v>
      </c>
      <c r="L883" t="b">
        <f>COUNTIF(Sales_Export_2019_2020__2[order_id],Sales_Export_2019_2020__2[[#This Row],[order_id]])&gt;1</f>
        <v>0</v>
      </c>
      <c r="M883" t="str">
        <f t="shared" si="14"/>
        <v>£125,000 - £129,999</v>
      </c>
      <c r="N883" t="str" cm="1">
        <f t="array" ref="N88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83">
        <f>FLOOR(Sales_Export_2019_2020__2[[#This Row],[order_value_GBP]],5000)</f>
        <v>125000</v>
      </c>
    </row>
    <row r="884" spans="1:15" x14ac:dyDescent="0.35">
      <c r="A884" t="s">
        <v>10</v>
      </c>
      <c r="B884" s="2">
        <v>28755.32</v>
      </c>
      <c r="C884" s="2">
        <v>23938.799999999999</v>
      </c>
      <c r="D884" s="1">
        <v>43748</v>
      </c>
      <c r="E884" t="s">
        <v>11</v>
      </c>
      <c r="F884" t="s">
        <v>102</v>
      </c>
      <c r="G884" t="s">
        <v>13</v>
      </c>
      <c r="H884" t="s">
        <v>14</v>
      </c>
      <c r="I884" t="s">
        <v>28</v>
      </c>
      <c r="J884" t="s">
        <v>1044</v>
      </c>
      <c r="K884" s="2">
        <f>Sales_Export_2019_2020__2[[#This Row],[order_value_GBP]]-Sales_Export_2019_2020__2[[#This Row],[ cost ]]</f>
        <v>4816.5200000000004</v>
      </c>
      <c r="L884" t="b">
        <f>COUNTIF(Sales_Export_2019_2020__2[order_id],Sales_Export_2019_2020__2[[#This Row],[order_id]])&gt;1</f>
        <v>0</v>
      </c>
      <c r="M884" t="str">
        <f t="shared" si="14"/>
        <v>£25,000 - £29,999</v>
      </c>
      <c r="N884" t="str" cm="1">
        <f t="array" ref="N88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84">
        <f>FLOOR(Sales_Export_2019_2020__2[[#This Row],[order_value_GBP]],5000)</f>
        <v>25000</v>
      </c>
    </row>
    <row r="885" spans="1:15" x14ac:dyDescent="0.35">
      <c r="A885" t="s">
        <v>23</v>
      </c>
      <c r="B885" s="2">
        <v>178027.46</v>
      </c>
      <c r="C885" s="2">
        <v>144985.56</v>
      </c>
      <c r="D885" s="1">
        <v>43834</v>
      </c>
      <c r="E885" t="s">
        <v>51</v>
      </c>
      <c r="F885" t="s">
        <v>64</v>
      </c>
      <c r="G885" t="s">
        <v>26</v>
      </c>
      <c r="H885" t="s">
        <v>76</v>
      </c>
      <c r="I885" t="s">
        <v>28</v>
      </c>
      <c r="J885" t="s">
        <v>1045</v>
      </c>
      <c r="K885" s="2">
        <f>Sales_Export_2019_2020__2[[#This Row],[order_value_GBP]]-Sales_Export_2019_2020__2[[#This Row],[ cost ]]</f>
        <v>33041.899999999994</v>
      </c>
      <c r="L885" t="b">
        <f>COUNTIF(Sales_Export_2019_2020__2[order_id],Sales_Export_2019_2020__2[[#This Row],[order_id]])&gt;1</f>
        <v>0</v>
      </c>
      <c r="M885" t="str">
        <f t="shared" si="14"/>
        <v>£175,000 - £179,999</v>
      </c>
      <c r="N885" t="str" cm="1">
        <f t="array" ref="N88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885">
        <f>FLOOR(Sales_Export_2019_2020__2[[#This Row],[order_value_GBP]],5000)</f>
        <v>175000</v>
      </c>
    </row>
    <row r="886" spans="1:15" x14ac:dyDescent="0.35">
      <c r="A886" t="s">
        <v>101</v>
      </c>
      <c r="B886" s="2">
        <v>152231.85999999999</v>
      </c>
      <c r="C886" s="2">
        <v>122303.08</v>
      </c>
      <c r="D886" s="1">
        <v>43593</v>
      </c>
      <c r="E886" t="s">
        <v>60</v>
      </c>
      <c r="F886" t="s">
        <v>174</v>
      </c>
      <c r="G886" t="s">
        <v>103</v>
      </c>
      <c r="H886" t="s">
        <v>104</v>
      </c>
      <c r="I886" t="s">
        <v>28</v>
      </c>
      <c r="J886" t="s">
        <v>1046</v>
      </c>
      <c r="K886" s="2">
        <f>Sales_Export_2019_2020__2[[#This Row],[order_value_GBP]]-Sales_Export_2019_2020__2[[#This Row],[ cost ]]</f>
        <v>29928.779999999984</v>
      </c>
      <c r="L886" t="b">
        <f>COUNTIF(Sales_Export_2019_2020__2[order_id],Sales_Export_2019_2020__2[[#This Row],[order_id]])&gt;1</f>
        <v>0</v>
      </c>
      <c r="M886" t="str">
        <f t="shared" si="14"/>
        <v>£150,000 - £154,999</v>
      </c>
      <c r="N886" t="str" cm="1">
        <f t="array" ref="N88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86">
        <f>FLOOR(Sales_Export_2019_2020__2[[#This Row],[order_value_GBP]],5000)</f>
        <v>150000</v>
      </c>
    </row>
    <row r="887" spans="1:15" x14ac:dyDescent="0.35">
      <c r="A887" t="s">
        <v>10</v>
      </c>
      <c r="B887" s="2">
        <v>53957.42</v>
      </c>
      <c r="C887" s="2">
        <v>46905.19</v>
      </c>
      <c r="D887" s="1">
        <v>43610</v>
      </c>
      <c r="E887" t="s">
        <v>60</v>
      </c>
      <c r="F887" t="s">
        <v>35</v>
      </c>
      <c r="G887" t="s">
        <v>13</v>
      </c>
      <c r="H887" t="s">
        <v>118</v>
      </c>
      <c r="I887" t="s">
        <v>28</v>
      </c>
      <c r="J887" t="s">
        <v>1047</v>
      </c>
      <c r="K887" s="2">
        <f>Sales_Export_2019_2020__2[[#This Row],[order_value_GBP]]-Sales_Export_2019_2020__2[[#This Row],[ cost ]]</f>
        <v>7052.2299999999959</v>
      </c>
      <c r="L887" t="b">
        <f>COUNTIF(Sales_Export_2019_2020__2[order_id],Sales_Export_2019_2020__2[[#This Row],[order_id]])&gt;1</f>
        <v>0</v>
      </c>
      <c r="M887" t="str">
        <f t="shared" si="14"/>
        <v>£50,000 - £54,999</v>
      </c>
      <c r="N887" t="str" cm="1">
        <f t="array" ref="N88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87">
        <f>FLOOR(Sales_Export_2019_2020__2[[#This Row],[order_value_GBP]],5000)</f>
        <v>50000</v>
      </c>
    </row>
    <row r="888" spans="1:15" x14ac:dyDescent="0.35">
      <c r="A888" t="s">
        <v>23</v>
      </c>
      <c r="B888" s="2">
        <v>80474.78</v>
      </c>
      <c r="C888" s="2">
        <v>66568.740000000005</v>
      </c>
      <c r="D888" s="1">
        <v>43607</v>
      </c>
      <c r="E888" t="s">
        <v>24</v>
      </c>
      <c r="F888" t="s">
        <v>40</v>
      </c>
      <c r="G888" t="s">
        <v>26</v>
      </c>
      <c r="H888" t="s">
        <v>90</v>
      </c>
      <c r="I888" t="s">
        <v>28</v>
      </c>
      <c r="J888" t="s">
        <v>1048</v>
      </c>
      <c r="K888" s="2">
        <f>Sales_Export_2019_2020__2[[#This Row],[order_value_GBP]]-Sales_Export_2019_2020__2[[#This Row],[ cost ]]</f>
        <v>13906.039999999994</v>
      </c>
      <c r="L888" t="b">
        <f>COUNTIF(Sales_Export_2019_2020__2[order_id],Sales_Export_2019_2020__2[[#This Row],[order_id]])&gt;1</f>
        <v>0</v>
      </c>
      <c r="M888" t="str">
        <f t="shared" si="14"/>
        <v>£80,000 - £84,999</v>
      </c>
      <c r="N888" t="str" cm="1">
        <f t="array" ref="N88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88">
        <f>FLOOR(Sales_Export_2019_2020__2[[#This Row],[order_value_GBP]],5000)</f>
        <v>80000</v>
      </c>
    </row>
    <row r="889" spans="1:15" x14ac:dyDescent="0.35">
      <c r="A889" t="s">
        <v>101</v>
      </c>
      <c r="B889" s="2">
        <v>145439.65</v>
      </c>
      <c r="C889" s="2">
        <v>123710.97</v>
      </c>
      <c r="D889" s="1">
        <v>44107</v>
      </c>
      <c r="E889" t="s">
        <v>60</v>
      </c>
      <c r="F889" t="s">
        <v>368</v>
      </c>
      <c r="G889" t="s">
        <v>103</v>
      </c>
      <c r="H889" t="s">
        <v>162</v>
      </c>
      <c r="I889" t="s">
        <v>28</v>
      </c>
      <c r="J889" t="s">
        <v>1049</v>
      </c>
      <c r="K889" s="2">
        <f>Sales_Export_2019_2020__2[[#This Row],[order_value_GBP]]-Sales_Export_2019_2020__2[[#This Row],[ cost ]]</f>
        <v>21728.679999999993</v>
      </c>
      <c r="L889" t="b">
        <f>COUNTIF(Sales_Export_2019_2020__2[order_id],Sales_Export_2019_2020__2[[#This Row],[order_id]])&gt;1</f>
        <v>0</v>
      </c>
      <c r="M889" t="str">
        <f t="shared" si="14"/>
        <v>£145,000 - £149,999</v>
      </c>
      <c r="N889" t="str" cm="1">
        <f t="array" ref="N88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89">
        <f>FLOOR(Sales_Export_2019_2020__2[[#This Row],[order_value_GBP]],5000)</f>
        <v>145000</v>
      </c>
    </row>
    <row r="890" spans="1:15" x14ac:dyDescent="0.35">
      <c r="A890" t="s">
        <v>53</v>
      </c>
      <c r="B890" s="2">
        <v>84035.82</v>
      </c>
      <c r="C890" s="2">
        <v>71329.600000000006</v>
      </c>
      <c r="D890" s="1">
        <v>44131</v>
      </c>
      <c r="E890" t="s">
        <v>11</v>
      </c>
      <c r="F890" t="s">
        <v>35</v>
      </c>
      <c r="G890" t="s">
        <v>55</v>
      </c>
      <c r="H890" t="s">
        <v>56</v>
      </c>
      <c r="I890" t="s">
        <v>38</v>
      </c>
      <c r="J890" t="s">
        <v>1050</v>
      </c>
      <c r="K890" s="2">
        <f>Sales_Export_2019_2020__2[[#This Row],[order_value_GBP]]-Sales_Export_2019_2020__2[[#This Row],[ cost ]]</f>
        <v>12706.220000000001</v>
      </c>
      <c r="L890" t="b">
        <f>COUNTIF(Sales_Export_2019_2020__2[order_id],Sales_Export_2019_2020__2[[#This Row],[order_id]])&gt;1</f>
        <v>0</v>
      </c>
      <c r="M890" t="str">
        <f t="shared" si="14"/>
        <v>£80,000 - £84,999</v>
      </c>
      <c r="N890" t="str" cm="1">
        <f t="array" ref="N89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90">
        <f>FLOOR(Sales_Export_2019_2020__2[[#This Row],[order_value_GBP]],5000)</f>
        <v>80000</v>
      </c>
    </row>
    <row r="891" spans="1:15" x14ac:dyDescent="0.35">
      <c r="A891" t="s">
        <v>34</v>
      </c>
      <c r="B891" s="2">
        <v>68288.679999999993</v>
      </c>
      <c r="C891" s="2">
        <v>56754.720000000001</v>
      </c>
      <c r="D891" s="1">
        <v>44101</v>
      </c>
      <c r="E891" t="s">
        <v>30</v>
      </c>
      <c r="F891" t="s">
        <v>35</v>
      </c>
      <c r="G891" t="s">
        <v>36</v>
      </c>
      <c r="H891" t="s">
        <v>37</v>
      </c>
      <c r="I891" t="s">
        <v>28</v>
      </c>
      <c r="J891" t="s">
        <v>1051</v>
      </c>
      <c r="K891" s="2">
        <f>Sales_Export_2019_2020__2[[#This Row],[order_value_GBP]]-Sales_Export_2019_2020__2[[#This Row],[ cost ]]</f>
        <v>11533.959999999992</v>
      </c>
      <c r="L891" t="b">
        <f>COUNTIF(Sales_Export_2019_2020__2[order_id],Sales_Export_2019_2020__2[[#This Row],[order_id]])&gt;1</f>
        <v>0</v>
      </c>
      <c r="M891" t="str">
        <f t="shared" si="14"/>
        <v>£65,000 - £69,999</v>
      </c>
      <c r="N891" t="str" cm="1">
        <f t="array" ref="N89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91">
        <f>FLOOR(Sales_Export_2019_2020__2[[#This Row],[order_value_GBP]],5000)</f>
        <v>65000</v>
      </c>
    </row>
    <row r="892" spans="1:15" x14ac:dyDescent="0.35">
      <c r="A892" t="s">
        <v>10</v>
      </c>
      <c r="B892" s="2">
        <v>100578.6</v>
      </c>
      <c r="C892" s="2">
        <v>83208.679999999993</v>
      </c>
      <c r="D892" s="1">
        <v>43479</v>
      </c>
      <c r="E892" t="s">
        <v>80</v>
      </c>
      <c r="F892" t="s">
        <v>123</v>
      </c>
      <c r="G892" t="s">
        <v>13</v>
      </c>
      <c r="H892" t="s">
        <v>118</v>
      </c>
      <c r="I892" t="s">
        <v>28</v>
      </c>
      <c r="J892" t="s">
        <v>1052</v>
      </c>
      <c r="K892" s="2">
        <f>Sales_Export_2019_2020__2[[#This Row],[order_value_GBP]]-Sales_Export_2019_2020__2[[#This Row],[ cost ]]</f>
        <v>17369.920000000013</v>
      </c>
      <c r="L892" t="b">
        <f>COUNTIF(Sales_Export_2019_2020__2[order_id],Sales_Export_2019_2020__2[[#This Row],[order_id]])&gt;1</f>
        <v>0</v>
      </c>
      <c r="M892" t="str">
        <f t="shared" si="14"/>
        <v>£100,000 - £104,999</v>
      </c>
      <c r="N892" t="str" cm="1">
        <f t="array" ref="N89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92">
        <f>FLOOR(Sales_Export_2019_2020__2[[#This Row],[order_value_GBP]],5000)</f>
        <v>100000</v>
      </c>
    </row>
    <row r="893" spans="1:15" x14ac:dyDescent="0.35">
      <c r="A893" t="s">
        <v>53</v>
      </c>
      <c r="B893" s="2">
        <v>94925</v>
      </c>
      <c r="C893" s="2">
        <v>77572.710000000006</v>
      </c>
      <c r="D893" s="1">
        <v>43738</v>
      </c>
      <c r="E893" t="s">
        <v>46</v>
      </c>
      <c r="F893" t="s">
        <v>43</v>
      </c>
      <c r="G893" t="s">
        <v>55</v>
      </c>
      <c r="H893" t="s">
        <v>144</v>
      </c>
      <c r="I893" t="s">
        <v>15</v>
      </c>
      <c r="J893" t="s">
        <v>1053</v>
      </c>
      <c r="K893" s="2">
        <f>Sales_Export_2019_2020__2[[#This Row],[order_value_GBP]]-Sales_Export_2019_2020__2[[#This Row],[ cost ]]</f>
        <v>17352.289999999994</v>
      </c>
      <c r="L893" t="b">
        <f>COUNTIF(Sales_Export_2019_2020__2[order_id],Sales_Export_2019_2020__2[[#This Row],[order_id]])&gt;1</f>
        <v>0</v>
      </c>
      <c r="M893" t="str">
        <f t="shared" si="14"/>
        <v>£90,000 - £94,999</v>
      </c>
      <c r="N893" t="str" cm="1">
        <f t="array" ref="N89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93">
        <f>FLOOR(Sales_Export_2019_2020__2[[#This Row],[order_value_GBP]],5000)</f>
        <v>90000</v>
      </c>
    </row>
    <row r="894" spans="1:15" x14ac:dyDescent="0.35">
      <c r="A894" t="s">
        <v>53</v>
      </c>
      <c r="B894" s="2">
        <v>105464.41</v>
      </c>
      <c r="C894" s="2">
        <v>84761.75</v>
      </c>
      <c r="D894" s="1">
        <v>43704</v>
      </c>
      <c r="E894" t="s">
        <v>11</v>
      </c>
      <c r="F894" t="s">
        <v>132</v>
      </c>
      <c r="G894" t="s">
        <v>55</v>
      </c>
      <c r="H894" t="s">
        <v>144</v>
      </c>
      <c r="I894" t="s">
        <v>28</v>
      </c>
      <c r="J894" t="s">
        <v>1054</v>
      </c>
      <c r="K894" s="2">
        <f>Sales_Export_2019_2020__2[[#This Row],[order_value_GBP]]-Sales_Export_2019_2020__2[[#This Row],[ cost ]]</f>
        <v>20702.660000000003</v>
      </c>
      <c r="L894" t="b">
        <f>COUNTIF(Sales_Export_2019_2020__2[order_id],Sales_Export_2019_2020__2[[#This Row],[order_id]])&gt;1</f>
        <v>0</v>
      </c>
      <c r="M894" t="str">
        <f t="shared" si="14"/>
        <v>£105,000 - £109,999</v>
      </c>
      <c r="N894" t="str" cm="1">
        <f t="array" ref="N89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94">
        <f>FLOOR(Sales_Export_2019_2020__2[[#This Row],[order_value_GBP]],5000)</f>
        <v>105000</v>
      </c>
    </row>
    <row r="895" spans="1:15" x14ac:dyDescent="0.35">
      <c r="A895" t="s">
        <v>53</v>
      </c>
      <c r="B895" s="2">
        <v>155827.29999999999</v>
      </c>
      <c r="C895" s="2">
        <v>126360.36</v>
      </c>
      <c r="D895" s="1">
        <v>43585</v>
      </c>
      <c r="E895" t="s">
        <v>51</v>
      </c>
      <c r="F895" t="s">
        <v>19</v>
      </c>
      <c r="G895" t="s">
        <v>55</v>
      </c>
      <c r="H895" t="s">
        <v>144</v>
      </c>
      <c r="I895" t="s">
        <v>38</v>
      </c>
      <c r="J895" t="s">
        <v>1055</v>
      </c>
      <c r="K895" s="2">
        <f>Sales_Export_2019_2020__2[[#This Row],[order_value_GBP]]-Sales_Export_2019_2020__2[[#This Row],[ cost ]]</f>
        <v>29466.939999999988</v>
      </c>
      <c r="L895" t="b">
        <f>COUNTIF(Sales_Export_2019_2020__2[order_id],Sales_Export_2019_2020__2[[#This Row],[order_id]])&gt;1</f>
        <v>0</v>
      </c>
      <c r="M895" t="str">
        <f t="shared" si="14"/>
        <v>£155,000 - £159,999</v>
      </c>
      <c r="N895" t="str" cm="1">
        <f t="array" ref="N89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95">
        <f>FLOOR(Sales_Export_2019_2020__2[[#This Row],[order_value_GBP]],5000)</f>
        <v>155000</v>
      </c>
    </row>
    <row r="896" spans="1:15" x14ac:dyDescent="0.35">
      <c r="A896" t="s">
        <v>23</v>
      </c>
      <c r="B896" s="2">
        <v>90994.31</v>
      </c>
      <c r="C896" s="2">
        <v>72540.66</v>
      </c>
      <c r="D896" s="1">
        <v>43960</v>
      </c>
      <c r="E896" t="s">
        <v>80</v>
      </c>
      <c r="F896" t="s">
        <v>178</v>
      </c>
      <c r="G896" t="s">
        <v>26</v>
      </c>
      <c r="H896" t="s">
        <v>219</v>
      </c>
      <c r="I896" t="s">
        <v>28</v>
      </c>
      <c r="J896" t="s">
        <v>1056</v>
      </c>
      <c r="K896" s="2">
        <f>Sales_Export_2019_2020__2[[#This Row],[order_value_GBP]]-Sales_Export_2019_2020__2[[#This Row],[ cost ]]</f>
        <v>18453.649999999994</v>
      </c>
      <c r="L896" t="b">
        <f>COUNTIF(Sales_Export_2019_2020__2[order_id],Sales_Export_2019_2020__2[[#This Row],[order_id]])&gt;1</f>
        <v>0</v>
      </c>
      <c r="M896" t="str">
        <f t="shared" si="14"/>
        <v>£90,000 - £94,999</v>
      </c>
      <c r="N896" t="str" cm="1">
        <f t="array" ref="N89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96">
        <f>FLOOR(Sales_Export_2019_2020__2[[#This Row],[order_value_GBP]],5000)</f>
        <v>90000</v>
      </c>
    </row>
    <row r="897" spans="1:15" x14ac:dyDescent="0.35">
      <c r="A897" t="s">
        <v>23</v>
      </c>
      <c r="B897" s="2">
        <v>32779.67</v>
      </c>
      <c r="C897" s="2">
        <v>26800.66</v>
      </c>
      <c r="D897" s="1">
        <v>43912</v>
      </c>
      <c r="E897" t="s">
        <v>62</v>
      </c>
      <c r="F897" t="s">
        <v>234</v>
      </c>
      <c r="G897" t="s">
        <v>26</v>
      </c>
      <c r="H897" t="s">
        <v>32</v>
      </c>
      <c r="I897" t="s">
        <v>28</v>
      </c>
      <c r="J897" t="s">
        <v>1057</v>
      </c>
      <c r="K897" s="2">
        <f>Sales_Export_2019_2020__2[[#This Row],[order_value_GBP]]-Sales_Export_2019_2020__2[[#This Row],[ cost ]]</f>
        <v>5979.0099999999984</v>
      </c>
      <c r="L897" t="b">
        <f>COUNTIF(Sales_Export_2019_2020__2[order_id],Sales_Export_2019_2020__2[[#This Row],[order_id]])&gt;1</f>
        <v>0</v>
      </c>
      <c r="M897" t="str">
        <f t="shared" si="14"/>
        <v>£30,000 - £34,999</v>
      </c>
      <c r="N897" t="str" cm="1">
        <f t="array" ref="N89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97">
        <f>FLOOR(Sales_Export_2019_2020__2[[#This Row],[order_value_GBP]],5000)</f>
        <v>30000</v>
      </c>
    </row>
    <row r="898" spans="1:15" x14ac:dyDescent="0.35">
      <c r="A898" t="s">
        <v>101</v>
      </c>
      <c r="B898" s="2">
        <v>40187.99</v>
      </c>
      <c r="C898" s="2">
        <v>32508.07</v>
      </c>
      <c r="D898" s="1">
        <v>43973</v>
      </c>
      <c r="E898" t="s">
        <v>18</v>
      </c>
      <c r="F898" t="s">
        <v>114</v>
      </c>
      <c r="G898" t="s">
        <v>103</v>
      </c>
      <c r="H898" t="s">
        <v>104</v>
      </c>
      <c r="I898" t="s">
        <v>28</v>
      </c>
      <c r="J898" t="s">
        <v>1058</v>
      </c>
      <c r="K898" s="2">
        <f>Sales_Export_2019_2020__2[[#This Row],[order_value_GBP]]-Sales_Export_2019_2020__2[[#This Row],[ cost ]]</f>
        <v>7679.9199999999983</v>
      </c>
      <c r="L898" t="b">
        <f>COUNTIF(Sales_Export_2019_2020__2[order_id],Sales_Export_2019_2020__2[[#This Row],[order_id]])&gt;1</f>
        <v>0</v>
      </c>
      <c r="M898" t="str">
        <f t="shared" si="14"/>
        <v>£40,000 - £44,999</v>
      </c>
      <c r="N898" t="str" cm="1">
        <f t="array" ref="N89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898">
        <f>FLOOR(Sales_Export_2019_2020__2[[#This Row],[order_value_GBP]],5000)</f>
        <v>40000</v>
      </c>
    </row>
    <row r="899" spans="1:15" x14ac:dyDescent="0.35">
      <c r="A899" t="s">
        <v>45</v>
      </c>
      <c r="B899" s="2">
        <v>91842.59</v>
      </c>
      <c r="C899" s="2">
        <v>73979.210000000006</v>
      </c>
      <c r="D899" s="1">
        <v>43553</v>
      </c>
      <c r="E899" t="s">
        <v>18</v>
      </c>
      <c r="F899" t="s">
        <v>294</v>
      </c>
      <c r="G899" t="s">
        <v>48</v>
      </c>
      <c r="H899" t="s">
        <v>66</v>
      </c>
      <c r="I899" t="s">
        <v>28</v>
      </c>
      <c r="J899" t="s">
        <v>1059</v>
      </c>
      <c r="K899" s="2">
        <f>Sales_Export_2019_2020__2[[#This Row],[order_value_GBP]]-Sales_Export_2019_2020__2[[#This Row],[ cost ]]</f>
        <v>17863.37999999999</v>
      </c>
      <c r="L899" t="b">
        <f>COUNTIF(Sales_Export_2019_2020__2[order_id],Sales_Export_2019_2020__2[[#This Row],[order_id]])&gt;1</f>
        <v>0</v>
      </c>
      <c r="M899" t="str">
        <f t="shared" si="14"/>
        <v>£90,000 - £94,999</v>
      </c>
      <c r="N899" t="str" cm="1">
        <f t="array" ref="N89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899">
        <f>FLOOR(Sales_Export_2019_2020__2[[#This Row],[order_value_GBP]],5000)</f>
        <v>90000</v>
      </c>
    </row>
    <row r="900" spans="1:15" x14ac:dyDescent="0.35">
      <c r="A900" t="s">
        <v>23</v>
      </c>
      <c r="B900" s="2">
        <v>38494.71</v>
      </c>
      <c r="C900" s="2">
        <v>33113.15</v>
      </c>
      <c r="D900" s="1">
        <v>43500</v>
      </c>
      <c r="E900" t="s">
        <v>18</v>
      </c>
      <c r="F900" t="s">
        <v>64</v>
      </c>
      <c r="G900" t="s">
        <v>26</v>
      </c>
      <c r="H900" t="s">
        <v>90</v>
      </c>
      <c r="I900" t="s">
        <v>28</v>
      </c>
      <c r="J900" t="s">
        <v>1060</v>
      </c>
      <c r="K900" s="2">
        <f>Sales_Export_2019_2020__2[[#This Row],[order_value_GBP]]-Sales_Export_2019_2020__2[[#This Row],[ cost ]]</f>
        <v>5381.5599999999977</v>
      </c>
      <c r="L900" t="b">
        <f>COUNTIF(Sales_Export_2019_2020__2[order_id],Sales_Export_2019_2020__2[[#This Row],[order_id]])&gt;1</f>
        <v>0</v>
      </c>
      <c r="M900" t="str">
        <f t="shared" si="14"/>
        <v>£35,000 - £39,999</v>
      </c>
      <c r="N900" t="str" cm="1">
        <f t="array" ref="N90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900">
        <f>FLOOR(Sales_Export_2019_2020__2[[#This Row],[order_value_GBP]],5000)</f>
        <v>35000</v>
      </c>
    </row>
    <row r="901" spans="1:15" x14ac:dyDescent="0.35">
      <c r="A901" t="s">
        <v>53</v>
      </c>
      <c r="B901" s="2">
        <v>86050.61</v>
      </c>
      <c r="C901" s="2">
        <v>75569.649999999994</v>
      </c>
      <c r="D901" s="1">
        <v>44077</v>
      </c>
      <c r="E901" t="s">
        <v>24</v>
      </c>
      <c r="F901" t="s">
        <v>224</v>
      </c>
      <c r="G901" t="s">
        <v>55</v>
      </c>
      <c r="H901" t="s">
        <v>128</v>
      </c>
      <c r="I901" t="s">
        <v>28</v>
      </c>
      <c r="J901" t="s">
        <v>1061</v>
      </c>
      <c r="K901" s="2">
        <f>Sales_Export_2019_2020__2[[#This Row],[order_value_GBP]]-Sales_Export_2019_2020__2[[#This Row],[ cost ]]</f>
        <v>10480.960000000006</v>
      </c>
      <c r="L901" t="b">
        <f>COUNTIF(Sales_Export_2019_2020__2[order_id],Sales_Export_2019_2020__2[[#This Row],[order_id]])&gt;1</f>
        <v>0</v>
      </c>
      <c r="M901" t="str">
        <f t="shared" si="14"/>
        <v>£85,000 - £89,999</v>
      </c>
      <c r="N901" t="str" cm="1">
        <f t="array" ref="N90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01">
        <f>FLOOR(Sales_Export_2019_2020__2[[#This Row],[order_value_GBP]],5000)</f>
        <v>85000</v>
      </c>
    </row>
    <row r="902" spans="1:15" x14ac:dyDescent="0.35">
      <c r="A902" t="s">
        <v>10</v>
      </c>
      <c r="B902" s="2">
        <v>36749.51</v>
      </c>
      <c r="C902" s="2">
        <v>30101.52</v>
      </c>
      <c r="D902" s="1">
        <v>44119</v>
      </c>
      <c r="E902" t="s">
        <v>18</v>
      </c>
      <c r="F902" t="s">
        <v>19</v>
      </c>
      <c r="G902" t="s">
        <v>13</v>
      </c>
      <c r="H902" t="s">
        <v>14</v>
      </c>
      <c r="I902" t="s">
        <v>28</v>
      </c>
      <c r="J902" t="s">
        <v>1062</v>
      </c>
      <c r="K902" s="2">
        <f>Sales_Export_2019_2020__2[[#This Row],[order_value_GBP]]-Sales_Export_2019_2020__2[[#This Row],[ cost ]]</f>
        <v>6647.9900000000016</v>
      </c>
      <c r="L902" t="b">
        <f>COUNTIF(Sales_Export_2019_2020__2[order_id],Sales_Export_2019_2020__2[[#This Row],[order_id]])&gt;1</f>
        <v>0</v>
      </c>
      <c r="M902" t="str">
        <f t="shared" si="14"/>
        <v>£35,000 - £39,999</v>
      </c>
      <c r="N902" t="str" cm="1">
        <f t="array" ref="N90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902">
        <f>FLOOR(Sales_Export_2019_2020__2[[#This Row],[order_value_GBP]],5000)</f>
        <v>35000</v>
      </c>
    </row>
    <row r="903" spans="1:15" x14ac:dyDescent="0.35">
      <c r="A903" t="s">
        <v>17</v>
      </c>
      <c r="B903" s="2">
        <v>194531.02</v>
      </c>
      <c r="C903" s="2">
        <v>158970.75</v>
      </c>
      <c r="D903" s="1">
        <v>43655</v>
      </c>
      <c r="E903" t="s">
        <v>24</v>
      </c>
      <c r="F903" t="s">
        <v>40</v>
      </c>
      <c r="G903" t="s">
        <v>20</v>
      </c>
      <c r="H903" t="s">
        <v>353</v>
      </c>
      <c r="I903" t="s">
        <v>38</v>
      </c>
      <c r="J903" t="s">
        <v>1063</v>
      </c>
      <c r="K903" s="2">
        <f>Sales_Export_2019_2020__2[[#This Row],[order_value_GBP]]-Sales_Export_2019_2020__2[[#This Row],[ cost ]]</f>
        <v>35560.26999999999</v>
      </c>
      <c r="L903" t="b">
        <f>COUNTIF(Sales_Export_2019_2020__2[order_id],Sales_Export_2019_2020__2[[#This Row],[order_id]])&gt;1</f>
        <v>0</v>
      </c>
      <c r="M903" t="str">
        <f t="shared" si="14"/>
        <v>£190,000 - £194,999</v>
      </c>
      <c r="N903" t="str" cm="1">
        <f t="array" ref="N90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03">
        <f>FLOOR(Sales_Export_2019_2020__2[[#This Row],[order_value_GBP]],5000)</f>
        <v>190000</v>
      </c>
    </row>
    <row r="904" spans="1:15" x14ac:dyDescent="0.35">
      <c r="A904" t="s">
        <v>53</v>
      </c>
      <c r="B904" s="2">
        <v>106730.16</v>
      </c>
      <c r="C904" s="2">
        <v>89503.91</v>
      </c>
      <c r="D904" s="1">
        <v>44042</v>
      </c>
      <c r="E904" t="s">
        <v>30</v>
      </c>
      <c r="F904" t="s">
        <v>40</v>
      </c>
      <c r="G904" t="s">
        <v>55</v>
      </c>
      <c r="H904" t="s">
        <v>133</v>
      </c>
      <c r="I904" t="s">
        <v>28</v>
      </c>
      <c r="J904" t="s">
        <v>1064</v>
      </c>
      <c r="K904" s="2">
        <f>Sales_Export_2019_2020__2[[#This Row],[order_value_GBP]]-Sales_Export_2019_2020__2[[#This Row],[ cost ]]</f>
        <v>17226.25</v>
      </c>
      <c r="L904" t="b">
        <f>COUNTIF(Sales_Export_2019_2020__2[order_id],Sales_Export_2019_2020__2[[#This Row],[order_id]])&gt;1</f>
        <v>0</v>
      </c>
      <c r="M904" t="str">
        <f t="shared" si="14"/>
        <v>£105,000 - £109,999</v>
      </c>
      <c r="N904" t="str" cm="1">
        <f t="array" ref="N90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04">
        <f>FLOOR(Sales_Export_2019_2020__2[[#This Row],[order_value_GBP]],5000)</f>
        <v>105000</v>
      </c>
    </row>
    <row r="905" spans="1:15" x14ac:dyDescent="0.35">
      <c r="A905" t="s">
        <v>215</v>
      </c>
      <c r="B905" s="2">
        <v>30177.8</v>
      </c>
      <c r="C905" s="2">
        <v>23924.959999999999</v>
      </c>
      <c r="D905" s="1">
        <v>44110</v>
      </c>
      <c r="E905" t="s">
        <v>80</v>
      </c>
      <c r="F905" t="s">
        <v>168</v>
      </c>
      <c r="G905" t="s">
        <v>216</v>
      </c>
      <c r="H905" t="s">
        <v>217</v>
      </c>
      <c r="I905" t="s">
        <v>15</v>
      </c>
      <c r="J905" t="s">
        <v>1065</v>
      </c>
      <c r="K905" s="2">
        <f>Sales_Export_2019_2020__2[[#This Row],[order_value_GBP]]-Sales_Export_2019_2020__2[[#This Row],[ cost ]]</f>
        <v>6252.84</v>
      </c>
      <c r="L905" t="b">
        <f>COUNTIF(Sales_Export_2019_2020__2[order_id],Sales_Export_2019_2020__2[[#This Row],[order_id]])&gt;1</f>
        <v>0</v>
      </c>
      <c r="M905" t="str">
        <f t="shared" si="14"/>
        <v>£30,000 - £34,999</v>
      </c>
      <c r="N905" t="str" cm="1">
        <f t="array" ref="N90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905">
        <f>FLOOR(Sales_Export_2019_2020__2[[#This Row],[order_value_GBP]],5000)</f>
        <v>30000</v>
      </c>
    </row>
    <row r="906" spans="1:15" x14ac:dyDescent="0.35">
      <c r="A906" t="s">
        <v>23</v>
      </c>
      <c r="B906" s="2">
        <v>93902.04</v>
      </c>
      <c r="C906" s="2">
        <v>80793.31</v>
      </c>
      <c r="D906" s="1">
        <v>43891</v>
      </c>
      <c r="E906" t="s">
        <v>24</v>
      </c>
      <c r="F906" t="s">
        <v>68</v>
      </c>
      <c r="G906" t="s">
        <v>26</v>
      </c>
      <c r="H906" t="s">
        <v>32</v>
      </c>
      <c r="I906" t="s">
        <v>28</v>
      </c>
      <c r="J906" t="s">
        <v>1066</v>
      </c>
      <c r="K906" s="2">
        <f>Sales_Export_2019_2020__2[[#This Row],[order_value_GBP]]-Sales_Export_2019_2020__2[[#This Row],[ cost ]]</f>
        <v>13108.729999999996</v>
      </c>
      <c r="L906" t="b">
        <f>COUNTIF(Sales_Export_2019_2020__2[order_id],Sales_Export_2019_2020__2[[#This Row],[order_id]])&gt;1</f>
        <v>0</v>
      </c>
      <c r="M906" t="str">
        <f t="shared" si="14"/>
        <v>£90,000 - £94,999</v>
      </c>
      <c r="N906" t="str" cm="1">
        <f t="array" ref="N90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06">
        <f>FLOOR(Sales_Export_2019_2020__2[[#This Row],[order_value_GBP]],5000)</f>
        <v>90000</v>
      </c>
    </row>
    <row r="907" spans="1:15" x14ac:dyDescent="0.35">
      <c r="A907" t="s">
        <v>215</v>
      </c>
      <c r="B907" s="2">
        <v>250483.63</v>
      </c>
      <c r="C907" s="2">
        <v>217269.5</v>
      </c>
      <c r="D907" s="1">
        <v>44015</v>
      </c>
      <c r="E907" t="s">
        <v>46</v>
      </c>
      <c r="F907" t="s">
        <v>110</v>
      </c>
      <c r="G907" t="s">
        <v>216</v>
      </c>
      <c r="H907" t="s">
        <v>217</v>
      </c>
      <c r="I907" t="s">
        <v>15</v>
      </c>
      <c r="J907" t="s">
        <v>1067</v>
      </c>
      <c r="K907" s="2">
        <f>Sales_Export_2019_2020__2[[#This Row],[order_value_GBP]]-Sales_Export_2019_2020__2[[#This Row],[ cost ]]</f>
        <v>33214.130000000005</v>
      </c>
      <c r="L907" t="b">
        <f>COUNTIF(Sales_Export_2019_2020__2[order_id],Sales_Export_2019_2020__2[[#This Row],[order_id]])&gt;1</f>
        <v>0</v>
      </c>
      <c r="M907" t="str">
        <f t="shared" si="14"/>
        <v>£250,000 - £254,999</v>
      </c>
      <c r="N907" t="str" cm="1">
        <f t="array" ref="N90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07">
        <f>FLOOR(Sales_Export_2019_2020__2[[#This Row],[order_value_GBP]],5000)</f>
        <v>250000</v>
      </c>
    </row>
    <row r="908" spans="1:15" x14ac:dyDescent="0.35">
      <c r="A908" t="s">
        <v>10</v>
      </c>
      <c r="B908" s="2">
        <v>162142.74</v>
      </c>
      <c r="C908" s="2">
        <v>136037.76000000001</v>
      </c>
      <c r="D908" s="1">
        <v>43494</v>
      </c>
      <c r="E908" t="s">
        <v>24</v>
      </c>
      <c r="F908" t="s">
        <v>112</v>
      </c>
      <c r="G908" t="s">
        <v>13</v>
      </c>
      <c r="H908" t="s">
        <v>82</v>
      </c>
      <c r="I908" t="s">
        <v>28</v>
      </c>
      <c r="J908" t="s">
        <v>1068</v>
      </c>
      <c r="K908" s="2">
        <f>Sales_Export_2019_2020__2[[#This Row],[order_value_GBP]]-Sales_Export_2019_2020__2[[#This Row],[ cost ]]</f>
        <v>26104.979999999981</v>
      </c>
      <c r="L908" t="b">
        <f>COUNTIF(Sales_Export_2019_2020__2[order_id],Sales_Export_2019_2020__2[[#This Row],[order_id]])&gt;1</f>
        <v>0</v>
      </c>
      <c r="M908" t="str">
        <f t="shared" si="14"/>
        <v>£160,000 - £164,999</v>
      </c>
      <c r="N908" t="str" cm="1">
        <f t="array" ref="N90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08">
        <f>FLOOR(Sales_Export_2019_2020__2[[#This Row],[order_value_GBP]],5000)</f>
        <v>160000</v>
      </c>
    </row>
    <row r="909" spans="1:15" x14ac:dyDescent="0.35">
      <c r="A909" t="s">
        <v>346</v>
      </c>
      <c r="B909" s="2">
        <v>31936.44</v>
      </c>
      <c r="C909" s="2">
        <v>27708.06</v>
      </c>
      <c r="D909" s="1">
        <v>44091</v>
      </c>
      <c r="E909" t="s">
        <v>11</v>
      </c>
      <c r="F909" t="s">
        <v>434</v>
      </c>
      <c r="G909" t="s">
        <v>347</v>
      </c>
      <c r="H909" t="s">
        <v>701</v>
      </c>
      <c r="I909" t="s">
        <v>28</v>
      </c>
      <c r="J909" t="s">
        <v>739</v>
      </c>
      <c r="K909" s="2">
        <f>Sales_Export_2019_2020__2[[#This Row],[order_value_GBP]]-Sales_Export_2019_2020__2[[#This Row],[ cost ]]</f>
        <v>4228.3799999999974</v>
      </c>
      <c r="L909" t="b">
        <f>COUNTIF(Sales_Export_2019_2020__2[order_id],Sales_Export_2019_2020__2[[#This Row],[order_id]])&gt;1</f>
        <v>0</v>
      </c>
      <c r="M909" t="str">
        <f t="shared" si="14"/>
        <v>£30,000 - £34,999</v>
      </c>
      <c r="N909" t="str" cm="1">
        <f t="array" ref="N90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909">
        <f>FLOOR(Sales_Export_2019_2020__2[[#This Row],[order_value_GBP]],5000)</f>
        <v>30000</v>
      </c>
    </row>
    <row r="910" spans="1:15" x14ac:dyDescent="0.35">
      <c r="A910" t="s">
        <v>215</v>
      </c>
      <c r="B910" s="2">
        <v>163546.81</v>
      </c>
      <c r="C910" s="2">
        <v>133307</v>
      </c>
      <c r="D910" s="1">
        <v>43592</v>
      </c>
      <c r="E910" t="s">
        <v>80</v>
      </c>
      <c r="F910" t="s">
        <v>265</v>
      </c>
      <c r="G910" t="s">
        <v>216</v>
      </c>
      <c r="H910" t="s">
        <v>217</v>
      </c>
      <c r="I910" t="s">
        <v>28</v>
      </c>
      <c r="J910" t="s">
        <v>1070</v>
      </c>
      <c r="K910" s="2">
        <f>Sales_Export_2019_2020__2[[#This Row],[order_value_GBP]]-Sales_Export_2019_2020__2[[#This Row],[ cost ]]</f>
        <v>30239.809999999998</v>
      </c>
      <c r="L910" t="b">
        <f>COUNTIF(Sales_Export_2019_2020__2[order_id],Sales_Export_2019_2020__2[[#This Row],[order_id]])&gt;1</f>
        <v>0</v>
      </c>
      <c r="M910" t="str">
        <f t="shared" ref="M910:M961" si="15">TEXT(FLOOR(B910,5000),"£#,##0")&amp;" - "&amp;TEXT(FLOOR(B910,5000)+4999,"£#,##0")</f>
        <v>£160,000 - £164,999</v>
      </c>
      <c r="N910" t="str" cm="1">
        <f t="array" ref="N91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10">
        <f>FLOOR(Sales_Export_2019_2020__2[[#This Row],[order_value_GBP]],5000)</f>
        <v>160000</v>
      </c>
    </row>
    <row r="911" spans="1:15" x14ac:dyDescent="0.35">
      <c r="A911" t="s">
        <v>53</v>
      </c>
      <c r="B911" s="2">
        <v>35437.89</v>
      </c>
      <c r="C911" s="2">
        <v>30412.799999999999</v>
      </c>
      <c r="D911" s="1">
        <v>43864</v>
      </c>
      <c r="E911" t="s">
        <v>24</v>
      </c>
      <c r="F911" t="s">
        <v>341</v>
      </c>
      <c r="G911" t="s">
        <v>55</v>
      </c>
      <c r="H911" t="s">
        <v>133</v>
      </c>
      <c r="I911" t="s">
        <v>28</v>
      </c>
      <c r="J911" t="s">
        <v>1071</v>
      </c>
      <c r="K911" s="2">
        <f>Sales_Export_2019_2020__2[[#This Row],[order_value_GBP]]-Sales_Export_2019_2020__2[[#This Row],[ cost ]]</f>
        <v>5025.09</v>
      </c>
      <c r="L911" t="b">
        <f>COUNTIF(Sales_Export_2019_2020__2[order_id],Sales_Export_2019_2020__2[[#This Row],[order_id]])&gt;1</f>
        <v>0</v>
      </c>
      <c r="M911" t="str">
        <f t="shared" si="15"/>
        <v>£35,000 - £39,999</v>
      </c>
      <c r="N911" t="str" cm="1">
        <f t="array" ref="N91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911">
        <f>FLOOR(Sales_Export_2019_2020__2[[#This Row],[order_value_GBP]],5000)</f>
        <v>35000</v>
      </c>
    </row>
    <row r="912" spans="1:15" x14ac:dyDescent="0.35">
      <c r="A912" t="s">
        <v>96</v>
      </c>
      <c r="B912" s="2">
        <v>122889.28</v>
      </c>
      <c r="C912" s="2">
        <v>103042.66</v>
      </c>
      <c r="D912" s="1">
        <v>44162</v>
      </c>
      <c r="E912" t="s">
        <v>60</v>
      </c>
      <c r="F912" t="s">
        <v>123</v>
      </c>
      <c r="G912" t="s">
        <v>98</v>
      </c>
      <c r="H912" t="s">
        <v>99</v>
      </c>
      <c r="I912" t="s">
        <v>28</v>
      </c>
      <c r="J912" t="s">
        <v>1072</v>
      </c>
      <c r="K912" s="2">
        <f>Sales_Export_2019_2020__2[[#This Row],[order_value_GBP]]-Sales_Export_2019_2020__2[[#This Row],[ cost ]]</f>
        <v>19846.619999999995</v>
      </c>
      <c r="L912" t="b">
        <f>COUNTIF(Sales_Export_2019_2020__2[order_id],Sales_Export_2019_2020__2[[#This Row],[order_id]])&gt;1</f>
        <v>0</v>
      </c>
      <c r="M912" t="str">
        <f t="shared" si="15"/>
        <v>£120,000 - £124,999</v>
      </c>
      <c r="N912" t="str" cm="1">
        <f t="array" ref="N91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12">
        <f>FLOOR(Sales_Export_2019_2020__2[[#This Row],[order_value_GBP]],5000)</f>
        <v>120000</v>
      </c>
    </row>
    <row r="913" spans="1:15" x14ac:dyDescent="0.35">
      <c r="A913" t="s">
        <v>106</v>
      </c>
      <c r="B913" s="2">
        <v>26490.47</v>
      </c>
      <c r="C913" s="2">
        <v>21168.53</v>
      </c>
      <c r="D913" s="1">
        <v>43773</v>
      </c>
      <c r="E913" t="s">
        <v>51</v>
      </c>
      <c r="F913" t="s">
        <v>31</v>
      </c>
      <c r="G913" t="s">
        <v>107</v>
      </c>
      <c r="H913" t="s">
        <v>108</v>
      </c>
      <c r="I913" t="s">
        <v>28</v>
      </c>
      <c r="J913" t="s">
        <v>1073</v>
      </c>
      <c r="K913" s="2">
        <f>Sales_Export_2019_2020__2[[#This Row],[order_value_GBP]]-Sales_Export_2019_2020__2[[#This Row],[ cost ]]</f>
        <v>5321.9400000000023</v>
      </c>
      <c r="L913" t="b">
        <f>COUNTIF(Sales_Export_2019_2020__2[order_id],Sales_Export_2019_2020__2[[#This Row],[order_id]])&gt;1</f>
        <v>0</v>
      </c>
      <c r="M913" t="str">
        <f t="shared" si="15"/>
        <v>£25,000 - £29,999</v>
      </c>
      <c r="N913" t="str" cm="1">
        <f t="array" ref="N91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913">
        <f>FLOOR(Sales_Export_2019_2020__2[[#This Row],[order_value_GBP]],5000)</f>
        <v>25000</v>
      </c>
    </row>
    <row r="914" spans="1:15" x14ac:dyDescent="0.35">
      <c r="A914" t="s">
        <v>45</v>
      </c>
      <c r="B914" s="2">
        <v>173722.59</v>
      </c>
      <c r="C914" s="2">
        <v>148063.76</v>
      </c>
      <c r="D914" s="1">
        <v>43564</v>
      </c>
      <c r="E914" t="s">
        <v>18</v>
      </c>
      <c r="F914" t="s">
        <v>237</v>
      </c>
      <c r="G914" t="s">
        <v>48</v>
      </c>
      <c r="H914" t="s">
        <v>74</v>
      </c>
      <c r="I914" t="s">
        <v>28</v>
      </c>
      <c r="J914" t="s">
        <v>1074</v>
      </c>
      <c r="K914" s="2">
        <f>Sales_Export_2019_2020__2[[#This Row],[order_value_GBP]]-Sales_Export_2019_2020__2[[#This Row],[ cost ]]</f>
        <v>25658.829999999987</v>
      </c>
      <c r="L914" t="b">
        <f>COUNTIF(Sales_Export_2019_2020__2[order_id],Sales_Export_2019_2020__2[[#This Row],[order_id]])&gt;1</f>
        <v>0</v>
      </c>
      <c r="M914" t="str">
        <f t="shared" si="15"/>
        <v>£170,000 - £174,999</v>
      </c>
      <c r="N914" t="str" cm="1">
        <f t="array" ref="N91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14">
        <f>FLOOR(Sales_Export_2019_2020__2[[#This Row],[order_value_GBP]],5000)</f>
        <v>170000</v>
      </c>
    </row>
    <row r="915" spans="1:15" x14ac:dyDescent="0.35">
      <c r="A915" t="s">
        <v>53</v>
      </c>
      <c r="B915" s="2">
        <v>76543.360000000001</v>
      </c>
      <c r="C915" s="2">
        <v>65819.64</v>
      </c>
      <c r="D915" s="1">
        <v>43545</v>
      </c>
      <c r="E915" t="s">
        <v>46</v>
      </c>
      <c r="F915" t="s">
        <v>47</v>
      </c>
      <c r="G915" t="s">
        <v>55</v>
      </c>
      <c r="H915" t="s">
        <v>133</v>
      </c>
      <c r="I915" t="s">
        <v>28</v>
      </c>
      <c r="J915" t="s">
        <v>1075</v>
      </c>
      <c r="K915" s="2">
        <f>Sales_Export_2019_2020__2[[#This Row],[order_value_GBP]]-Sales_Export_2019_2020__2[[#This Row],[ cost ]]</f>
        <v>10723.720000000001</v>
      </c>
      <c r="L915" t="b">
        <f>COUNTIF(Sales_Export_2019_2020__2[order_id],Sales_Export_2019_2020__2[[#This Row],[order_id]])&gt;1</f>
        <v>0</v>
      </c>
      <c r="M915" t="str">
        <f t="shared" si="15"/>
        <v>£75,000 - £79,999</v>
      </c>
      <c r="N915" t="str" cm="1">
        <f t="array" ref="N91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15">
        <f>FLOOR(Sales_Export_2019_2020__2[[#This Row],[order_value_GBP]],5000)</f>
        <v>75000</v>
      </c>
    </row>
    <row r="916" spans="1:15" x14ac:dyDescent="0.35">
      <c r="A916" t="s">
        <v>10</v>
      </c>
      <c r="B916" s="2">
        <v>69626.39</v>
      </c>
      <c r="C916" s="2">
        <v>57295.56</v>
      </c>
      <c r="D916" s="1">
        <v>43631</v>
      </c>
      <c r="E916" t="s">
        <v>80</v>
      </c>
      <c r="F916" t="s">
        <v>135</v>
      </c>
      <c r="G916" t="s">
        <v>13</v>
      </c>
      <c r="H916" t="s">
        <v>14</v>
      </c>
      <c r="I916" t="s">
        <v>28</v>
      </c>
      <c r="J916" t="s">
        <v>1076</v>
      </c>
      <c r="K916" s="2">
        <f>Sales_Export_2019_2020__2[[#This Row],[order_value_GBP]]-Sales_Export_2019_2020__2[[#This Row],[ cost ]]</f>
        <v>12330.830000000002</v>
      </c>
      <c r="L916" t="b">
        <f>COUNTIF(Sales_Export_2019_2020__2[order_id],Sales_Export_2019_2020__2[[#This Row],[order_id]])&gt;1</f>
        <v>0</v>
      </c>
      <c r="M916" t="str">
        <f t="shared" si="15"/>
        <v>£65,000 - £69,999</v>
      </c>
      <c r="N916" t="str" cm="1">
        <f t="array" ref="N91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16">
        <f>FLOOR(Sales_Export_2019_2020__2[[#This Row],[order_value_GBP]],5000)</f>
        <v>65000</v>
      </c>
    </row>
    <row r="917" spans="1:15" x14ac:dyDescent="0.35">
      <c r="A917" t="s">
        <v>53</v>
      </c>
      <c r="B917" s="2">
        <v>249915.21</v>
      </c>
      <c r="C917" s="2">
        <v>215326.95</v>
      </c>
      <c r="D917" s="1">
        <v>44180</v>
      </c>
      <c r="E917" t="s">
        <v>51</v>
      </c>
      <c r="F917" t="s">
        <v>97</v>
      </c>
      <c r="G917" t="s">
        <v>55</v>
      </c>
      <c r="H917" t="s">
        <v>128</v>
      </c>
      <c r="I917" t="s">
        <v>28</v>
      </c>
      <c r="J917" t="s">
        <v>1077</v>
      </c>
      <c r="K917" s="2">
        <f>Sales_Export_2019_2020__2[[#This Row],[order_value_GBP]]-Sales_Export_2019_2020__2[[#This Row],[ cost ]]</f>
        <v>34588.25999999998</v>
      </c>
      <c r="L917" t="b">
        <f>COUNTIF(Sales_Export_2019_2020__2[order_id],Sales_Export_2019_2020__2[[#This Row],[order_id]])&gt;1</f>
        <v>0</v>
      </c>
      <c r="M917" t="str">
        <f t="shared" si="15"/>
        <v>£245,000 - £249,999</v>
      </c>
      <c r="N917" t="str" cm="1">
        <f t="array" ref="N91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17">
        <f>FLOOR(Sales_Export_2019_2020__2[[#This Row],[order_value_GBP]],5000)</f>
        <v>245000</v>
      </c>
    </row>
    <row r="918" spans="1:15" x14ac:dyDescent="0.35">
      <c r="A918" t="s">
        <v>23</v>
      </c>
      <c r="B918" s="2">
        <v>55790.71</v>
      </c>
      <c r="C918" s="2">
        <v>48783.4</v>
      </c>
      <c r="D918" s="1">
        <v>44112</v>
      </c>
      <c r="E918" t="s">
        <v>51</v>
      </c>
      <c r="F918" t="s">
        <v>35</v>
      </c>
      <c r="G918" t="s">
        <v>26</v>
      </c>
      <c r="H918" t="s">
        <v>76</v>
      </c>
      <c r="I918" t="s">
        <v>28</v>
      </c>
      <c r="J918" t="s">
        <v>1078</v>
      </c>
      <c r="K918" s="2">
        <f>Sales_Export_2019_2020__2[[#This Row],[order_value_GBP]]-Sales_Export_2019_2020__2[[#This Row],[ cost ]]</f>
        <v>7007.3099999999977</v>
      </c>
      <c r="L918" t="b">
        <f>COUNTIF(Sales_Export_2019_2020__2[order_id],Sales_Export_2019_2020__2[[#This Row],[order_id]])&gt;1</f>
        <v>0</v>
      </c>
      <c r="M918" t="str">
        <f t="shared" si="15"/>
        <v>£55,000 - £59,999</v>
      </c>
      <c r="N918" t="str" cm="1">
        <f t="array" ref="N91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18">
        <f>FLOOR(Sales_Export_2019_2020__2[[#This Row],[order_value_GBP]],5000)</f>
        <v>55000</v>
      </c>
    </row>
    <row r="919" spans="1:15" x14ac:dyDescent="0.35">
      <c r="A919" t="s">
        <v>84</v>
      </c>
      <c r="B919" s="2">
        <v>77896.83</v>
      </c>
      <c r="C919" s="2">
        <v>62714.74</v>
      </c>
      <c r="D919" s="1">
        <v>43903</v>
      </c>
      <c r="E919" t="s">
        <v>24</v>
      </c>
      <c r="F919" t="s">
        <v>121</v>
      </c>
      <c r="G919" t="s">
        <v>85</v>
      </c>
      <c r="H919" t="s">
        <v>86</v>
      </c>
      <c r="I919" t="s">
        <v>28</v>
      </c>
      <c r="J919" t="s">
        <v>1079</v>
      </c>
      <c r="K919" s="2">
        <f>Sales_Export_2019_2020__2[[#This Row],[order_value_GBP]]-Sales_Export_2019_2020__2[[#This Row],[ cost ]]</f>
        <v>15182.090000000004</v>
      </c>
      <c r="L919" t="b">
        <f>COUNTIF(Sales_Export_2019_2020__2[order_id],Sales_Export_2019_2020__2[[#This Row],[order_id]])&gt;1</f>
        <v>0</v>
      </c>
      <c r="M919" t="str">
        <f t="shared" si="15"/>
        <v>£75,000 - £79,999</v>
      </c>
      <c r="N919" t="str" cm="1">
        <f t="array" ref="N91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19">
        <f>FLOOR(Sales_Export_2019_2020__2[[#This Row],[order_value_GBP]],5000)</f>
        <v>75000</v>
      </c>
    </row>
    <row r="920" spans="1:15" x14ac:dyDescent="0.35">
      <c r="A920" t="s">
        <v>23</v>
      </c>
      <c r="B920" s="2">
        <v>104391.93</v>
      </c>
      <c r="C920" s="2">
        <v>86770.57</v>
      </c>
      <c r="D920" s="1">
        <v>43834</v>
      </c>
      <c r="E920" t="s">
        <v>30</v>
      </c>
      <c r="F920" t="s">
        <v>102</v>
      </c>
      <c r="G920" t="s">
        <v>26</v>
      </c>
      <c r="H920" t="s">
        <v>219</v>
      </c>
      <c r="I920" t="s">
        <v>28</v>
      </c>
      <c r="J920" t="s">
        <v>1080</v>
      </c>
      <c r="K920" s="2">
        <f>Sales_Export_2019_2020__2[[#This Row],[order_value_GBP]]-Sales_Export_2019_2020__2[[#This Row],[ cost ]]</f>
        <v>17621.359999999986</v>
      </c>
      <c r="L920" t="b">
        <f>COUNTIF(Sales_Export_2019_2020__2[order_id],Sales_Export_2019_2020__2[[#This Row],[order_id]])&gt;1</f>
        <v>0</v>
      </c>
      <c r="M920" t="str">
        <f t="shared" si="15"/>
        <v>£100,000 - £104,999</v>
      </c>
      <c r="N920" t="str" cm="1">
        <f t="array" ref="N92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20">
        <f>FLOOR(Sales_Export_2019_2020__2[[#This Row],[order_value_GBP]],5000)</f>
        <v>100000</v>
      </c>
    </row>
    <row r="921" spans="1:15" x14ac:dyDescent="0.35">
      <c r="A921" t="s">
        <v>23</v>
      </c>
      <c r="B921" s="2">
        <v>57115.99</v>
      </c>
      <c r="C921" s="2">
        <v>48976.959999999999</v>
      </c>
      <c r="D921" s="1">
        <v>43551</v>
      </c>
      <c r="E921" t="s">
        <v>11</v>
      </c>
      <c r="F921" t="s">
        <v>1081</v>
      </c>
      <c r="G921" t="s">
        <v>26</v>
      </c>
      <c r="H921" t="s">
        <v>32</v>
      </c>
      <c r="I921" t="s">
        <v>15</v>
      </c>
      <c r="J921" t="s">
        <v>1082</v>
      </c>
      <c r="K921" s="2">
        <f>Sales_Export_2019_2020__2[[#This Row],[order_value_GBP]]-Sales_Export_2019_2020__2[[#This Row],[ cost ]]</f>
        <v>8139.0299999999988</v>
      </c>
      <c r="L921" t="b">
        <f>COUNTIF(Sales_Export_2019_2020__2[order_id],Sales_Export_2019_2020__2[[#This Row],[order_id]])&gt;1</f>
        <v>0</v>
      </c>
      <c r="M921" t="str">
        <f t="shared" si="15"/>
        <v>£55,000 - £59,999</v>
      </c>
      <c r="N921" t="str" cm="1">
        <f t="array" ref="N92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21">
        <f>FLOOR(Sales_Export_2019_2020__2[[#This Row],[order_value_GBP]],5000)</f>
        <v>55000</v>
      </c>
    </row>
    <row r="922" spans="1:15" x14ac:dyDescent="0.35">
      <c r="A922" t="s">
        <v>53</v>
      </c>
      <c r="B922" s="2">
        <v>74685.850000000006</v>
      </c>
      <c r="C922" s="2">
        <v>59166.13</v>
      </c>
      <c r="D922" s="1">
        <v>43974</v>
      </c>
      <c r="E922" t="s">
        <v>18</v>
      </c>
      <c r="F922" t="s">
        <v>203</v>
      </c>
      <c r="G922" t="s">
        <v>55</v>
      </c>
      <c r="H922" t="s">
        <v>144</v>
      </c>
      <c r="I922" t="s">
        <v>28</v>
      </c>
      <c r="J922" t="s">
        <v>1083</v>
      </c>
      <c r="K922" s="2">
        <f>Sales_Export_2019_2020__2[[#This Row],[order_value_GBP]]-Sales_Export_2019_2020__2[[#This Row],[ cost ]]</f>
        <v>15519.720000000008</v>
      </c>
      <c r="L922" t="b">
        <f>COUNTIF(Sales_Export_2019_2020__2[order_id],Sales_Export_2019_2020__2[[#This Row],[order_id]])&gt;1</f>
        <v>0</v>
      </c>
      <c r="M922" t="str">
        <f t="shared" si="15"/>
        <v>£70,000 - £74,999</v>
      </c>
      <c r="N922" t="str" cm="1">
        <f t="array" ref="N92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22">
        <f>FLOOR(Sales_Export_2019_2020__2[[#This Row],[order_value_GBP]],5000)</f>
        <v>70000</v>
      </c>
    </row>
    <row r="923" spans="1:15" x14ac:dyDescent="0.35">
      <c r="A923" t="s">
        <v>53</v>
      </c>
      <c r="B923" s="2">
        <v>74103.820000000007</v>
      </c>
      <c r="C923" s="2">
        <v>64811.199999999997</v>
      </c>
      <c r="D923" s="1">
        <v>43832</v>
      </c>
      <c r="E923" t="s">
        <v>51</v>
      </c>
      <c r="F923" t="s">
        <v>35</v>
      </c>
      <c r="G923" t="s">
        <v>55</v>
      </c>
      <c r="H923" t="s">
        <v>133</v>
      </c>
      <c r="I923" t="s">
        <v>28</v>
      </c>
      <c r="J923" t="s">
        <v>1084</v>
      </c>
      <c r="K923" s="2">
        <f>Sales_Export_2019_2020__2[[#This Row],[order_value_GBP]]-Sales_Export_2019_2020__2[[#This Row],[ cost ]]</f>
        <v>9292.6200000000099</v>
      </c>
      <c r="L923" t="b">
        <f>COUNTIF(Sales_Export_2019_2020__2[order_id],Sales_Export_2019_2020__2[[#This Row],[order_id]])&gt;1</f>
        <v>0</v>
      </c>
      <c r="M923" t="str">
        <f t="shared" si="15"/>
        <v>£70,000 - £74,999</v>
      </c>
      <c r="N923" t="str" cm="1">
        <f t="array" ref="N92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23">
        <f>FLOOR(Sales_Export_2019_2020__2[[#This Row],[order_value_GBP]],5000)</f>
        <v>70000</v>
      </c>
    </row>
    <row r="924" spans="1:15" x14ac:dyDescent="0.35">
      <c r="A924" t="s">
        <v>53</v>
      </c>
      <c r="B924" s="2">
        <v>176190.16</v>
      </c>
      <c r="C924" s="2">
        <v>142273.54999999999</v>
      </c>
      <c r="D924" s="1">
        <v>43710</v>
      </c>
      <c r="E924" t="s">
        <v>51</v>
      </c>
      <c r="F924" t="s">
        <v>35</v>
      </c>
      <c r="G924" t="s">
        <v>55</v>
      </c>
      <c r="H924" t="s">
        <v>56</v>
      </c>
      <c r="I924" t="s">
        <v>28</v>
      </c>
      <c r="J924" t="s">
        <v>1085</v>
      </c>
      <c r="K924" s="2">
        <f>Sales_Export_2019_2020__2[[#This Row],[order_value_GBP]]-Sales_Export_2019_2020__2[[#This Row],[ cost ]]</f>
        <v>33916.610000000015</v>
      </c>
      <c r="L924" t="b">
        <f>COUNTIF(Sales_Export_2019_2020__2[order_id],Sales_Export_2019_2020__2[[#This Row],[order_id]])&gt;1</f>
        <v>0</v>
      </c>
      <c r="M924" t="str">
        <f t="shared" si="15"/>
        <v>£175,000 - £179,999</v>
      </c>
      <c r="N924" t="str" cm="1">
        <f t="array" ref="N92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24">
        <f>FLOOR(Sales_Export_2019_2020__2[[#This Row],[order_value_GBP]],5000)</f>
        <v>175000</v>
      </c>
    </row>
    <row r="925" spans="1:15" x14ac:dyDescent="0.35">
      <c r="A925" t="s">
        <v>10</v>
      </c>
      <c r="B925" s="2">
        <v>185778.3</v>
      </c>
      <c r="C925" s="2">
        <v>154734.75</v>
      </c>
      <c r="D925" s="1">
        <v>44007</v>
      </c>
      <c r="E925" t="s">
        <v>80</v>
      </c>
      <c r="F925" t="s">
        <v>94</v>
      </c>
      <c r="G925" t="s">
        <v>13</v>
      </c>
      <c r="H925" t="s">
        <v>170</v>
      </c>
      <c r="I925" t="s">
        <v>28</v>
      </c>
      <c r="J925" t="s">
        <v>1086</v>
      </c>
      <c r="K925" s="2">
        <f>Sales_Export_2019_2020__2[[#This Row],[order_value_GBP]]-Sales_Export_2019_2020__2[[#This Row],[ cost ]]</f>
        <v>31043.549999999988</v>
      </c>
      <c r="L925" t="b">
        <f>COUNTIF(Sales_Export_2019_2020__2[order_id],Sales_Export_2019_2020__2[[#This Row],[order_id]])&gt;1</f>
        <v>0</v>
      </c>
      <c r="M925" t="str">
        <f t="shared" si="15"/>
        <v>£185,000 - £189,999</v>
      </c>
      <c r="N925" t="str" cm="1">
        <f t="array" ref="N92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25">
        <f>FLOOR(Sales_Export_2019_2020__2[[#This Row],[order_value_GBP]],5000)</f>
        <v>185000</v>
      </c>
    </row>
    <row r="926" spans="1:15" x14ac:dyDescent="0.35">
      <c r="A926" t="s">
        <v>53</v>
      </c>
      <c r="B926" s="2">
        <v>212521.26</v>
      </c>
      <c r="C926" s="2">
        <v>172014.71</v>
      </c>
      <c r="D926" s="1">
        <v>43636</v>
      </c>
      <c r="E926" t="s">
        <v>11</v>
      </c>
      <c r="F926" t="s">
        <v>35</v>
      </c>
      <c r="G926" t="s">
        <v>55</v>
      </c>
      <c r="H926" t="s">
        <v>128</v>
      </c>
      <c r="I926" t="s">
        <v>28</v>
      </c>
      <c r="J926" t="s">
        <v>1087</v>
      </c>
      <c r="K926" s="2">
        <f>Sales_Export_2019_2020__2[[#This Row],[order_value_GBP]]-Sales_Export_2019_2020__2[[#This Row],[ cost ]]</f>
        <v>40506.550000000017</v>
      </c>
      <c r="L926" t="b">
        <f>COUNTIF(Sales_Export_2019_2020__2[order_id],Sales_Export_2019_2020__2[[#This Row],[order_id]])&gt;1</f>
        <v>0</v>
      </c>
      <c r="M926" t="str">
        <f t="shared" si="15"/>
        <v>£210,000 - £214,999</v>
      </c>
      <c r="N926" t="str" cm="1">
        <f t="array" ref="N92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26">
        <f>FLOOR(Sales_Export_2019_2020__2[[#This Row],[order_value_GBP]],5000)</f>
        <v>210000</v>
      </c>
    </row>
    <row r="927" spans="1:15" x14ac:dyDescent="0.35">
      <c r="A927" t="s">
        <v>53</v>
      </c>
      <c r="B927" s="2">
        <v>40148.49</v>
      </c>
      <c r="C927" s="2">
        <v>31954.18</v>
      </c>
      <c r="D927" s="1">
        <v>43498</v>
      </c>
      <c r="E927" t="s">
        <v>80</v>
      </c>
      <c r="F927" t="s">
        <v>231</v>
      </c>
      <c r="G927" t="s">
        <v>55</v>
      </c>
      <c r="H927" t="s">
        <v>72</v>
      </c>
      <c r="I927" t="s">
        <v>28</v>
      </c>
      <c r="J927" t="s">
        <v>1088</v>
      </c>
      <c r="K927" s="2">
        <f>Sales_Export_2019_2020__2[[#This Row],[order_value_GBP]]-Sales_Export_2019_2020__2[[#This Row],[ cost ]]</f>
        <v>8194.3099999999977</v>
      </c>
      <c r="L927" t="b">
        <f>COUNTIF(Sales_Export_2019_2020__2[order_id],Sales_Export_2019_2020__2[[#This Row],[order_id]])&gt;1</f>
        <v>0</v>
      </c>
      <c r="M927" t="str">
        <f t="shared" si="15"/>
        <v>£40,000 - £44,999</v>
      </c>
      <c r="N927" t="str" cm="1">
        <f t="array" ref="N92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927">
        <f>FLOOR(Sales_Export_2019_2020__2[[#This Row],[order_value_GBP]],5000)</f>
        <v>40000</v>
      </c>
    </row>
    <row r="928" spans="1:15" x14ac:dyDescent="0.35">
      <c r="A928" t="s">
        <v>23</v>
      </c>
      <c r="B928" s="2">
        <v>157942.65</v>
      </c>
      <c r="C928" s="2">
        <v>136620.39000000001</v>
      </c>
      <c r="D928" s="1">
        <v>44005</v>
      </c>
      <c r="E928" t="s">
        <v>80</v>
      </c>
      <c r="F928" t="s">
        <v>31</v>
      </c>
      <c r="G928" t="s">
        <v>26</v>
      </c>
      <c r="H928" t="s">
        <v>219</v>
      </c>
      <c r="I928" t="s">
        <v>28</v>
      </c>
      <c r="J928" t="s">
        <v>1089</v>
      </c>
      <c r="K928" s="2">
        <f>Sales_Export_2019_2020__2[[#This Row],[order_value_GBP]]-Sales_Export_2019_2020__2[[#This Row],[ cost ]]</f>
        <v>21322.25999999998</v>
      </c>
      <c r="L928" t="b">
        <f>COUNTIF(Sales_Export_2019_2020__2[order_id],Sales_Export_2019_2020__2[[#This Row],[order_id]])&gt;1</f>
        <v>0</v>
      </c>
      <c r="M928" t="str">
        <f t="shared" si="15"/>
        <v>£155,000 - £159,999</v>
      </c>
      <c r="N928" t="str" cm="1">
        <f t="array" ref="N92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28">
        <f>FLOOR(Sales_Export_2019_2020__2[[#This Row],[order_value_GBP]],5000)</f>
        <v>155000</v>
      </c>
    </row>
    <row r="929" spans="1:15" x14ac:dyDescent="0.35">
      <c r="A929" t="s">
        <v>84</v>
      </c>
      <c r="B929" s="2">
        <v>172453.1</v>
      </c>
      <c r="C929" s="2">
        <v>145688.38</v>
      </c>
      <c r="D929" s="1">
        <v>44006</v>
      </c>
      <c r="E929" t="s">
        <v>62</v>
      </c>
      <c r="F929" t="s">
        <v>112</v>
      </c>
      <c r="G929" t="s">
        <v>85</v>
      </c>
      <c r="H929" t="s">
        <v>86</v>
      </c>
      <c r="I929" t="s">
        <v>28</v>
      </c>
      <c r="J929" t="s">
        <v>1090</v>
      </c>
      <c r="K929" s="2">
        <f>Sales_Export_2019_2020__2[[#This Row],[order_value_GBP]]-Sales_Export_2019_2020__2[[#This Row],[ cost ]]</f>
        <v>26764.720000000001</v>
      </c>
      <c r="L929" t="b">
        <f>COUNTIF(Sales_Export_2019_2020__2[order_id],Sales_Export_2019_2020__2[[#This Row],[order_id]])&gt;1</f>
        <v>0</v>
      </c>
      <c r="M929" t="str">
        <f t="shared" si="15"/>
        <v>£170,000 - £174,999</v>
      </c>
      <c r="N929" t="str" cm="1">
        <f t="array" ref="N92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29">
        <f>FLOOR(Sales_Export_2019_2020__2[[#This Row],[order_value_GBP]],5000)</f>
        <v>170000</v>
      </c>
    </row>
    <row r="930" spans="1:15" x14ac:dyDescent="0.35">
      <c r="A930" t="s">
        <v>53</v>
      </c>
      <c r="B930" s="2">
        <v>203604.46</v>
      </c>
      <c r="C930" s="2">
        <v>175344.16</v>
      </c>
      <c r="D930" s="1">
        <v>43642</v>
      </c>
      <c r="E930" t="s">
        <v>80</v>
      </c>
      <c r="F930" t="s">
        <v>112</v>
      </c>
      <c r="G930" t="s">
        <v>55</v>
      </c>
      <c r="H930" t="s">
        <v>128</v>
      </c>
      <c r="I930" t="s">
        <v>15</v>
      </c>
      <c r="J930" t="s">
        <v>1091</v>
      </c>
      <c r="K930" s="2">
        <f>Sales_Export_2019_2020__2[[#This Row],[order_value_GBP]]-Sales_Export_2019_2020__2[[#This Row],[ cost ]]</f>
        <v>28260.299999999988</v>
      </c>
      <c r="L930" t="b">
        <f>COUNTIF(Sales_Export_2019_2020__2[order_id],Sales_Export_2019_2020__2[[#This Row],[order_id]])&gt;1</f>
        <v>0</v>
      </c>
      <c r="M930" t="str">
        <f t="shared" si="15"/>
        <v>£200,000 - £204,999</v>
      </c>
      <c r="N930" t="str" cm="1">
        <f t="array" ref="N93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30">
        <f>FLOOR(Sales_Export_2019_2020__2[[#This Row],[order_value_GBP]],5000)</f>
        <v>200000</v>
      </c>
    </row>
    <row r="931" spans="1:15" x14ac:dyDescent="0.35">
      <c r="A931" t="s">
        <v>10</v>
      </c>
      <c r="B931" s="2">
        <v>251587.20000000001</v>
      </c>
      <c r="C931" s="2">
        <v>201848.41</v>
      </c>
      <c r="D931" s="1">
        <v>43630</v>
      </c>
      <c r="E931" t="s">
        <v>60</v>
      </c>
      <c r="F931" t="s">
        <v>237</v>
      </c>
      <c r="G931" t="s">
        <v>13</v>
      </c>
      <c r="H931" t="s">
        <v>82</v>
      </c>
      <c r="I931" t="s">
        <v>15</v>
      </c>
      <c r="J931" t="s">
        <v>1092</v>
      </c>
      <c r="K931" s="2">
        <f>Sales_Export_2019_2020__2[[#This Row],[order_value_GBP]]-Sales_Export_2019_2020__2[[#This Row],[ cost ]]</f>
        <v>49738.790000000008</v>
      </c>
      <c r="L931" t="b">
        <f>COUNTIF(Sales_Export_2019_2020__2[order_id],Sales_Export_2019_2020__2[[#This Row],[order_id]])&gt;1</f>
        <v>0</v>
      </c>
      <c r="M931" t="str">
        <f t="shared" si="15"/>
        <v>£250,000 - £254,999</v>
      </c>
      <c r="N931" t="str" cm="1">
        <f t="array" ref="N93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31">
        <f>FLOOR(Sales_Export_2019_2020__2[[#This Row],[order_value_GBP]],5000)</f>
        <v>250000</v>
      </c>
    </row>
    <row r="932" spans="1:15" x14ac:dyDescent="0.35">
      <c r="A932" t="s">
        <v>10</v>
      </c>
      <c r="B932" s="2">
        <v>19930.04</v>
      </c>
      <c r="C932" s="2">
        <v>16543.93</v>
      </c>
      <c r="D932" s="1">
        <v>43533</v>
      </c>
      <c r="E932" t="s">
        <v>60</v>
      </c>
      <c r="F932" t="s">
        <v>35</v>
      </c>
      <c r="G932" t="s">
        <v>13</v>
      </c>
      <c r="H932" t="s">
        <v>69</v>
      </c>
      <c r="I932" t="s">
        <v>38</v>
      </c>
      <c r="J932" t="s">
        <v>1093</v>
      </c>
      <c r="K932" s="2">
        <f>Sales_Export_2019_2020__2[[#This Row],[order_value_GBP]]-Sales_Export_2019_2020__2[[#This Row],[ cost ]]</f>
        <v>3386.1100000000006</v>
      </c>
      <c r="L932" t="b">
        <f>COUNTIF(Sales_Export_2019_2020__2[order_id],Sales_Export_2019_2020__2[[#This Row],[order_id]])&gt;1</f>
        <v>0</v>
      </c>
      <c r="M932" t="str">
        <f t="shared" si="15"/>
        <v>£15,000 - £19,999</v>
      </c>
      <c r="N932" t="str" cm="1">
        <f t="array" ref="N93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932">
        <f>FLOOR(Sales_Export_2019_2020__2[[#This Row],[order_value_GBP]],5000)</f>
        <v>15000</v>
      </c>
    </row>
    <row r="933" spans="1:15" x14ac:dyDescent="0.35">
      <c r="A933" t="s">
        <v>101</v>
      </c>
      <c r="B933" s="2">
        <v>149372.32</v>
      </c>
      <c r="C933" s="2">
        <v>130611.16</v>
      </c>
      <c r="D933" s="1">
        <v>44185</v>
      </c>
      <c r="E933" t="s">
        <v>80</v>
      </c>
      <c r="F933" t="s">
        <v>999</v>
      </c>
      <c r="G933" t="s">
        <v>103</v>
      </c>
      <c r="H933" t="s">
        <v>104</v>
      </c>
      <c r="I933" t="s">
        <v>15</v>
      </c>
      <c r="J933" t="s">
        <v>1094</v>
      </c>
      <c r="K933" s="2">
        <f>Sales_Export_2019_2020__2[[#This Row],[order_value_GBP]]-Sales_Export_2019_2020__2[[#This Row],[ cost ]]</f>
        <v>18761.160000000003</v>
      </c>
      <c r="L933" t="b">
        <f>COUNTIF(Sales_Export_2019_2020__2[order_id],Sales_Export_2019_2020__2[[#This Row],[order_id]])&gt;1</f>
        <v>0</v>
      </c>
      <c r="M933" t="str">
        <f t="shared" si="15"/>
        <v>£145,000 - £149,999</v>
      </c>
      <c r="N933" t="str" cm="1">
        <f t="array" ref="N93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33">
        <f>FLOOR(Sales_Export_2019_2020__2[[#This Row],[order_value_GBP]],5000)</f>
        <v>145000</v>
      </c>
    </row>
    <row r="934" spans="1:15" x14ac:dyDescent="0.35">
      <c r="A934" t="s">
        <v>10</v>
      </c>
      <c r="B934" s="2">
        <v>25907.52</v>
      </c>
      <c r="C934" s="2">
        <v>22454.05</v>
      </c>
      <c r="D934" s="1">
        <v>43515</v>
      </c>
      <c r="E934" t="s">
        <v>11</v>
      </c>
      <c r="F934" t="s">
        <v>40</v>
      </c>
      <c r="G934" t="s">
        <v>13</v>
      </c>
      <c r="H934" t="s">
        <v>82</v>
      </c>
      <c r="I934" t="s">
        <v>28</v>
      </c>
      <c r="J934" t="s">
        <v>1095</v>
      </c>
      <c r="K934" s="2">
        <f>Sales_Export_2019_2020__2[[#This Row],[order_value_GBP]]-Sales_Export_2019_2020__2[[#This Row],[ cost ]]</f>
        <v>3453.4700000000012</v>
      </c>
      <c r="L934" t="b">
        <f>COUNTIF(Sales_Export_2019_2020__2[order_id],Sales_Export_2019_2020__2[[#This Row],[order_id]])&gt;1</f>
        <v>0</v>
      </c>
      <c r="M934" t="str">
        <f t="shared" si="15"/>
        <v>£25,000 - £29,999</v>
      </c>
      <c r="N934" t="str" cm="1">
        <f t="array" ref="N93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934">
        <f>FLOOR(Sales_Export_2019_2020__2[[#This Row],[order_value_GBP]],5000)</f>
        <v>25000</v>
      </c>
    </row>
    <row r="935" spans="1:15" x14ac:dyDescent="0.35">
      <c r="A935" t="s">
        <v>23</v>
      </c>
      <c r="B935" s="2">
        <v>64762.89</v>
      </c>
      <c r="C935" s="2">
        <v>54238.92</v>
      </c>
      <c r="D935" s="1">
        <v>43502</v>
      </c>
      <c r="E935" t="s">
        <v>80</v>
      </c>
      <c r="F935" t="s">
        <v>43</v>
      </c>
      <c r="G935" t="s">
        <v>26</v>
      </c>
      <c r="H935" t="s">
        <v>90</v>
      </c>
      <c r="I935" t="s">
        <v>28</v>
      </c>
      <c r="J935" t="s">
        <v>1096</v>
      </c>
      <c r="K935" s="2">
        <f>Sales_Export_2019_2020__2[[#This Row],[order_value_GBP]]-Sales_Export_2019_2020__2[[#This Row],[ cost ]]</f>
        <v>10523.970000000001</v>
      </c>
      <c r="L935" t="b">
        <f>COUNTIF(Sales_Export_2019_2020__2[order_id],Sales_Export_2019_2020__2[[#This Row],[order_id]])&gt;1</f>
        <v>0</v>
      </c>
      <c r="M935" t="str">
        <f t="shared" si="15"/>
        <v>£60,000 - £64,999</v>
      </c>
      <c r="N935" t="str" cm="1">
        <f t="array" ref="N93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35">
        <f>FLOOR(Sales_Export_2019_2020__2[[#This Row],[order_value_GBP]],5000)</f>
        <v>60000</v>
      </c>
    </row>
    <row r="936" spans="1:15" x14ac:dyDescent="0.35">
      <c r="A936" t="s">
        <v>17</v>
      </c>
      <c r="B936" s="2">
        <v>65211.07</v>
      </c>
      <c r="C936" s="2">
        <v>56883.62</v>
      </c>
      <c r="D936" s="1">
        <v>44132</v>
      </c>
      <c r="E936" t="s">
        <v>18</v>
      </c>
      <c r="F936" t="s">
        <v>19</v>
      </c>
      <c r="G936" t="s">
        <v>20</v>
      </c>
      <c r="H936" t="s">
        <v>353</v>
      </c>
      <c r="I936" t="s">
        <v>28</v>
      </c>
      <c r="J936" t="s">
        <v>1097</v>
      </c>
      <c r="K936" s="2">
        <f>Sales_Export_2019_2020__2[[#This Row],[order_value_GBP]]-Sales_Export_2019_2020__2[[#This Row],[ cost ]]</f>
        <v>8327.4499999999971</v>
      </c>
      <c r="L936" t="b">
        <f>COUNTIF(Sales_Export_2019_2020__2[order_id],Sales_Export_2019_2020__2[[#This Row],[order_id]])&gt;1</f>
        <v>0</v>
      </c>
      <c r="M936" t="str">
        <f t="shared" si="15"/>
        <v>£65,000 - £69,999</v>
      </c>
      <c r="N936" t="str" cm="1">
        <f t="array" ref="N93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36">
        <f>FLOOR(Sales_Export_2019_2020__2[[#This Row],[order_value_GBP]],5000)</f>
        <v>65000</v>
      </c>
    </row>
    <row r="937" spans="1:15" x14ac:dyDescent="0.35">
      <c r="A937" t="s">
        <v>34</v>
      </c>
      <c r="B937" s="2">
        <v>42475.6</v>
      </c>
      <c r="C937" s="2">
        <v>35802.68</v>
      </c>
      <c r="D937" s="1">
        <v>43509</v>
      </c>
      <c r="E937" t="s">
        <v>11</v>
      </c>
      <c r="F937" t="s">
        <v>35</v>
      </c>
      <c r="G937" t="s">
        <v>36</v>
      </c>
      <c r="H937" t="s">
        <v>41</v>
      </c>
      <c r="I937" t="s">
        <v>28</v>
      </c>
      <c r="J937" t="s">
        <v>1098</v>
      </c>
      <c r="K937" s="2">
        <f>Sales_Export_2019_2020__2[[#This Row],[order_value_GBP]]-Sales_Export_2019_2020__2[[#This Row],[ cost ]]</f>
        <v>6672.9199999999983</v>
      </c>
      <c r="L937" t="b">
        <f>COUNTIF(Sales_Export_2019_2020__2[order_id],Sales_Export_2019_2020__2[[#This Row],[order_id]])&gt;1</f>
        <v>0</v>
      </c>
      <c r="M937" t="str">
        <f t="shared" si="15"/>
        <v>£40,000 - £44,999</v>
      </c>
      <c r="N937" t="str" cm="1">
        <f t="array" ref="N93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937">
        <f>FLOOR(Sales_Export_2019_2020__2[[#This Row],[order_value_GBP]],5000)</f>
        <v>40000</v>
      </c>
    </row>
    <row r="938" spans="1:15" x14ac:dyDescent="0.35">
      <c r="A938" t="s">
        <v>23</v>
      </c>
      <c r="B938" s="2">
        <v>172340.86</v>
      </c>
      <c r="C938" s="2">
        <v>136562.9</v>
      </c>
      <c r="D938" s="1">
        <v>43930</v>
      </c>
      <c r="E938" t="s">
        <v>30</v>
      </c>
      <c r="F938" t="s">
        <v>291</v>
      </c>
      <c r="G938" t="s">
        <v>26</v>
      </c>
      <c r="H938" t="s">
        <v>90</v>
      </c>
      <c r="I938" t="s">
        <v>28</v>
      </c>
      <c r="J938" t="s">
        <v>1099</v>
      </c>
      <c r="K938" s="2">
        <f>Sales_Export_2019_2020__2[[#This Row],[order_value_GBP]]-Sales_Export_2019_2020__2[[#This Row],[ cost ]]</f>
        <v>35777.959999999992</v>
      </c>
      <c r="L938" t="b">
        <f>COUNTIF(Sales_Export_2019_2020__2[order_id],Sales_Export_2019_2020__2[[#This Row],[order_id]])&gt;1</f>
        <v>0</v>
      </c>
      <c r="M938" t="str">
        <f t="shared" si="15"/>
        <v>£170,000 - £174,999</v>
      </c>
      <c r="N938" t="str" cm="1">
        <f t="array" ref="N93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38">
        <f>FLOOR(Sales_Export_2019_2020__2[[#This Row],[order_value_GBP]],5000)</f>
        <v>170000</v>
      </c>
    </row>
    <row r="939" spans="1:15" x14ac:dyDescent="0.35">
      <c r="A939" t="s">
        <v>173</v>
      </c>
      <c r="B939" s="2">
        <v>165709.19</v>
      </c>
      <c r="C939" s="2">
        <v>138102.04</v>
      </c>
      <c r="D939" s="1">
        <v>44113</v>
      </c>
      <c r="E939" t="s">
        <v>60</v>
      </c>
      <c r="F939" t="s">
        <v>110</v>
      </c>
      <c r="G939" t="s">
        <v>175</v>
      </c>
      <c r="H939" t="s">
        <v>176</v>
      </c>
      <c r="I939" t="s">
        <v>28</v>
      </c>
      <c r="J939" t="s">
        <v>1100</v>
      </c>
      <c r="K939" s="2">
        <f>Sales_Export_2019_2020__2[[#This Row],[order_value_GBP]]-Sales_Export_2019_2020__2[[#This Row],[ cost ]]</f>
        <v>27607.149999999994</v>
      </c>
      <c r="L939" t="b">
        <f>COUNTIF(Sales_Export_2019_2020__2[order_id],Sales_Export_2019_2020__2[[#This Row],[order_id]])&gt;1</f>
        <v>0</v>
      </c>
      <c r="M939" t="str">
        <f t="shared" si="15"/>
        <v>£165,000 - £169,999</v>
      </c>
      <c r="N939" t="str" cm="1">
        <f t="array" ref="N93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39">
        <f>FLOOR(Sales_Export_2019_2020__2[[#This Row],[order_value_GBP]],5000)</f>
        <v>165000</v>
      </c>
    </row>
    <row r="940" spans="1:15" x14ac:dyDescent="0.35">
      <c r="A940" t="s">
        <v>138</v>
      </c>
      <c r="B940" s="2">
        <v>118409.59</v>
      </c>
      <c r="C940" s="2">
        <v>96030.18</v>
      </c>
      <c r="D940" s="1">
        <v>44110</v>
      </c>
      <c r="E940" t="s">
        <v>18</v>
      </c>
      <c r="F940" t="s">
        <v>180</v>
      </c>
      <c r="G940" t="s">
        <v>140</v>
      </c>
      <c r="H940" t="s">
        <v>141</v>
      </c>
      <c r="I940" t="s">
        <v>28</v>
      </c>
      <c r="J940" t="s">
        <v>1101</v>
      </c>
      <c r="K940" s="2">
        <f>Sales_Export_2019_2020__2[[#This Row],[order_value_GBP]]-Sales_Export_2019_2020__2[[#This Row],[ cost ]]</f>
        <v>22379.410000000003</v>
      </c>
      <c r="L940" t="b">
        <f>COUNTIF(Sales_Export_2019_2020__2[order_id],Sales_Export_2019_2020__2[[#This Row],[order_id]])&gt;1</f>
        <v>0</v>
      </c>
      <c r="M940" t="str">
        <f t="shared" si="15"/>
        <v>£115,000 - £119,999</v>
      </c>
      <c r="N940" t="str" cm="1">
        <f t="array" ref="N94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40">
        <f>FLOOR(Sales_Export_2019_2020__2[[#This Row],[order_value_GBP]],5000)</f>
        <v>115000</v>
      </c>
    </row>
    <row r="941" spans="1:15" x14ac:dyDescent="0.35">
      <c r="A941" t="s">
        <v>53</v>
      </c>
      <c r="B941" s="2">
        <v>58416.11</v>
      </c>
      <c r="C941" s="2">
        <v>48076.46</v>
      </c>
      <c r="D941" s="1">
        <v>43967</v>
      </c>
      <c r="E941" t="s">
        <v>51</v>
      </c>
      <c r="F941" t="s">
        <v>327</v>
      </c>
      <c r="G941" t="s">
        <v>55</v>
      </c>
      <c r="H941" t="s">
        <v>56</v>
      </c>
      <c r="I941" t="s">
        <v>28</v>
      </c>
      <c r="J941" t="s">
        <v>1102</v>
      </c>
      <c r="K941" s="2">
        <f>Sales_Export_2019_2020__2[[#This Row],[order_value_GBP]]-Sales_Export_2019_2020__2[[#This Row],[ cost ]]</f>
        <v>10339.650000000001</v>
      </c>
      <c r="L941" t="b">
        <f>COUNTIF(Sales_Export_2019_2020__2[order_id],Sales_Export_2019_2020__2[[#This Row],[order_id]])&gt;1</f>
        <v>0</v>
      </c>
      <c r="M941" t="str">
        <f t="shared" si="15"/>
        <v>£55,000 - £59,999</v>
      </c>
      <c r="N941" t="str" cm="1">
        <f t="array" ref="N94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41">
        <f>FLOOR(Sales_Export_2019_2020__2[[#This Row],[order_value_GBP]],5000)</f>
        <v>55000</v>
      </c>
    </row>
    <row r="942" spans="1:15" x14ac:dyDescent="0.35">
      <c r="A942" t="s">
        <v>53</v>
      </c>
      <c r="B942" s="2">
        <v>78629.19</v>
      </c>
      <c r="C942" s="2">
        <v>63359.4</v>
      </c>
      <c r="D942" s="1">
        <v>43517</v>
      </c>
      <c r="E942" t="s">
        <v>51</v>
      </c>
      <c r="F942" t="s">
        <v>35</v>
      </c>
      <c r="G942" t="s">
        <v>55</v>
      </c>
      <c r="H942" t="s">
        <v>72</v>
      </c>
      <c r="I942" t="s">
        <v>15</v>
      </c>
      <c r="J942" t="s">
        <v>1103</v>
      </c>
      <c r="K942" s="2">
        <f>Sales_Export_2019_2020__2[[#This Row],[order_value_GBP]]-Sales_Export_2019_2020__2[[#This Row],[ cost ]]</f>
        <v>15269.79</v>
      </c>
      <c r="L942" t="b">
        <f>COUNTIF(Sales_Export_2019_2020__2[order_id],Sales_Export_2019_2020__2[[#This Row],[order_id]])&gt;1</f>
        <v>0</v>
      </c>
      <c r="M942" t="str">
        <f t="shared" si="15"/>
        <v>£75,000 - £79,999</v>
      </c>
      <c r="N942" t="str" cm="1">
        <f t="array" ref="N94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42">
        <f>FLOOR(Sales_Export_2019_2020__2[[#This Row],[order_value_GBP]],5000)</f>
        <v>75000</v>
      </c>
    </row>
    <row r="943" spans="1:15" x14ac:dyDescent="0.35">
      <c r="A943" t="s">
        <v>10</v>
      </c>
      <c r="B943" s="2">
        <v>64842.92</v>
      </c>
      <c r="C943" s="2">
        <v>56439.28</v>
      </c>
      <c r="D943" s="1">
        <v>43737</v>
      </c>
      <c r="E943" t="s">
        <v>51</v>
      </c>
      <c r="F943" t="s">
        <v>25</v>
      </c>
      <c r="G943" t="s">
        <v>13</v>
      </c>
      <c r="H943" t="s">
        <v>82</v>
      </c>
      <c r="I943" t="s">
        <v>15</v>
      </c>
      <c r="J943" t="s">
        <v>1104</v>
      </c>
      <c r="K943" s="2">
        <f>Sales_Export_2019_2020__2[[#This Row],[order_value_GBP]]-Sales_Export_2019_2020__2[[#This Row],[ cost ]]</f>
        <v>8403.64</v>
      </c>
      <c r="L943" t="b">
        <f>COUNTIF(Sales_Export_2019_2020__2[order_id],Sales_Export_2019_2020__2[[#This Row],[order_id]])&gt;1</f>
        <v>0</v>
      </c>
      <c r="M943" t="str">
        <f t="shared" si="15"/>
        <v>£60,000 - £64,999</v>
      </c>
      <c r="N943" t="str" cm="1">
        <f t="array" ref="N94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43">
        <f>FLOOR(Sales_Export_2019_2020__2[[#This Row],[order_value_GBP]],5000)</f>
        <v>60000</v>
      </c>
    </row>
    <row r="944" spans="1:15" x14ac:dyDescent="0.35">
      <c r="A944" t="s">
        <v>96</v>
      </c>
      <c r="B944" s="2">
        <v>76183.740000000005</v>
      </c>
      <c r="C944" s="2">
        <v>61617.41</v>
      </c>
      <c r="D944" s="1">
        <v>43619</v>
      </c>
      <c r="E944" t="s">
        <v>24</v>
      </c>
      <c r="F944" t="s">
        <v>47</v>
      </c>
      <c r="G944" t="s">
        <v>98</v>
      </c>
      <c r="H944" t="s">
        <v>99</v>
      </c>
      <c r="I944" t="s">
        <v>15</v>
      </c>
      <c r="J944" t="s">
        <v>1105</v>
      </c>
      <c r="K944" s="2">
        <f>Sales_Export_2019_2020__2[[#This Row],[order_value_GBP]]-Sales_Export_2019_2020__2[[#This Row],[ cost ]]</f>
        <v>14566.330000000002</v>
      </c>
      <c r="L944" t="b">
        <f>COUNTIF(Sales_Export_2019_2020__2[order_id],Sales_Export_2019_2020__2[[#This Row],[order_id]])&gt;1</f>
        <v>0</v>
      </c>
      <c r="M944" t="str">
        <f t="shared" si="15"/>
        <v>£75,000 - £79,999</v>
      </c>
      <c r="N944" t="str" cm="1">
        <f t="array" ref="N94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44">
        <f>FLOOR(Sales_Export_2019_2020__2[[#This Row],[order_value_GBP]],5000)</f>
        <v>75000</v>
      </c>
    </row>
    <row r="945" spans="1:15" x14ac:dyDescent="0.35">
      <c r="A945" t="s">
        <v>10</v>
      </c>
      <c r="B945" s="2">
        <v>131839.16</v>
      </c>
      <c r="C945" s="2">
        <v>115372.45</v>
      </c>
      <c r="D945" s="1">
        <v>43948</v>
      </c>
      <c r="E945" t="s">
        <v>11</v>
      </c>
      <c r="F945" t="s">
        <v>182</v>
      </c>
      <c r="G945" t="s">
        <v>13</v>
      </c>
      <c r="H945" t="s">
        <v>14</v>
      </c>
      <c r="I945" t="s">
        <v>28</v>
      </c>
      <c r="J945" t="s">
        <v>1106</v>
      </c>
      <c r="K945" s="2">
        <f>Sales_Export_2019_2020__2[[#This Row],[order_value_GBP]]-Sales_Export_2019_2020__2[[#This Row],[ cost ]]</f>
        <v>16466.710000000006</v>
      </c>
      <c r="L945" t="b">
        <f>COUNTIF(Sales_Export_2019_2020__2[order_id],Sales_Export_2019_2020__2[[#This Row],[order_id]])&gt;1</f>
        <v>0</v>
      </c>
      <c r="M945" t="str">
        <f t="shared" si="15"/>
        <v>£130,000 - £134,999</v>
      </c>
      <c r="N945" t="str" cm="1">
        <f t="array" ref="N94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45">
        <f>FLOOR(Sales_Export_2019_2020__2[[#This Row],[order_value_GBP]],5000)</f>
        <v>130000</v>
      </c>
    </row>
    <row r="946" spans="1:15" x14ac:dyDescent="0.35">
      <c r="A946" t="s">
        <v>23</v>
      </c>
      <c r="B946" s="2">
        <v>147092.62</v>
      </c>
      <c r="C946" s="2">
        <v>117806.48</v>
      </c>
      <c r="D946" s="1">
        <v>44135</v>
      </c>
      <c r="E946" t="s">
        <v>24</v>
      </c>
      <c r="F946" t="s">
        <v>146</v>
      </c>
      <c r="G946" t="s">
        <v>26</v>
      </c>
      <c r="H946" t="s">
        <v>90</v>
      </c>
      <c r="I946" t="s">
        <v>28</v>
      </c>
      <c r="J946" t="s">
        <v>1107</v>
      </c>
      <c r="K946" s="2">
        <f>Sales_Export_2019_2020__2[[#This Row],[order_value_GBP]]-Sales_Export_2019_2020__2[[#This Row],[ cost ]]</f>
        <v>29286.14</v>
      </c>
      <c r="L946" t="b">
        <f>COUNTIF(Sales_Export_2019_2020__2[order_id],Sales_Export_2019_2020__2[[#This Row],[order_id]])&gt;1</f>
        <v>0</v>
      </c>
      <c r="M946" t="str">
        <f t="shared" si="15"/>
        <v>£145,000 - £149,999</v>
      </c>
      <c r="N946" t="str" cm="1">
        <f t="array" ref="N94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46">
        <f>FLOOR(Sales_Export_2019_2020__2[[#This Row],[order_value_GBP]],5000)</f>
        <v>145000</v>
      </c>
    </row>
    <row r="947" spans="1:15" x14ac:dyDescent="0.35">
      <c r="A947" t="s">
        <v>17</v>
      </c>
      <c r="B947" s="2">
        <v>62011.86</v>
      </c>
      <c r="C947" s="2">
        <v>49324.23</v>
      </c>
      <c r="D947" s="1">
        <v>43482</v>
      </c>
      <c r="E947" t="s">
        <v>30</v>
      </c>
      <c r="F947" t="s">
        <v>35</v>
      </c>
      <c r="G947" t="s">
        <v>20</v>
      </c>
      <c r="H947" t="s">
        <v>353</v>
      </c>
      <c r="I947" t="s">
        <v>38</v>
      </c>
      <c r="J947" t="s">
        <v>1108</v>
      </c>
      <c r="K947" s="2">
        <f>Sales_Export_2019_2020__2[[#This Row],[order_value_GBP]]-Sales_Export_2019_2020__2[[#This Row],[ cost ]]</f>
        <v>12687.629999999997</v>
      </c>
      <c r="L947" t="b">
        <f>COUNTIF(Sales_Export_2019_2020__2[order_id],Sales_Export_2019_2020__2[[#This Row],[order_id]])&gt;1</f>
        <v>0</v>
      </c>
      <c r="M947" t="str">
        <f t="shared" si="15"/>
        <v>£60,000 - £64,999</v>
      </c>
      <c r="N947" t="str" cm="1">
        <f t="array" ref="N94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47">
        <f>FLOOR(Sales_Export_2019_2020__2[[#This Row],[order_value_GBP]],5000)</f>
        <v>60000</v>
      </c>
    </row>
    <row r="948" spans="1:15" x14ac:dyDescent="0.35">
      <c r="A948" t="s">
        <v>23</v>
      </c>
      <c r="B948" s="2">
        <v>56763.040000000001</v>
      </c>
      <c r="C948" s="2">
        <v>47663.92</v>
      </c>
      <c r="D948" s="1">
        <v>43688</v>
      </c>
      <c r="E948" t="s">
        <v>60</v>
      </c>
      <c r="F948" t="s">
        <v>112</v>
      </c>
      <c r="G948" t="s">
        <v>26</v>
      </c>
      <c r="H948" t="s">
        <v>32</v>
      </c>
      <c r="I948" t="s">
        <v>15</v>
      </c>
      <c r="J948" t="s">
        <v>1109</v>
      </c>
      <c r="K948" s="2">
        <f>Sales_Export_2019_2020__2[[#This Row],[order_value_GBP]]-Sales_Export_2019_2020__2[[#This Row],[ cost ]]</f>
        <v>9099.1200000000026</v>
      </c>
      <c r="L948" t="b">
        <f>COUNTIF(Sales_Export_2019_2020__2[order_id],Sales_Export_2019_2020__2[[#This Row],[order_id]])&gt;1</f>
        <v>0</v>
      </c>
      <c r="M948" t="str">
        <f t="shared" si="15"/>
        <v>£55,000 - £59,999</v>
      </c>
      <c r="N948" t="str" cm="1">
        <f t="array" ref="N94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48">
        <f>FLOOR(Sales_Export_2019_2020__2[[#This Row],[order_value_GBP]],5000)</f>
        <v>55000</v>
      </c>
    </row>
    <row r="949" spans="1:15" x14ac:dyDescent="0.35">
      <c r="A949" t="s">
        <v>23</v>
      </c>
      <c r="B949" s="2">
        <v>78057.960000000006</v>
      </c>
      <c r="C949" s="2">
        <v>67161.070000000007</v>
      </c>
      <c r="D949" s="1">
        <v>44164</v>
      </c>
      <c r="E949" t="s">
        <v>30</v>
      </c>
      <c r="F949" t="s">
        <v>58</v>
      </c>
      <c r="G949" t="s">
        <v>26</v>
      </c>
      <c r="H949" t="s">
        <v>90</v>
      </c>
      <c r="I949" t="s">
        <v>38</v>
      </c>
      <c r="J949" t="s">
        <v>1110</v>
      </c>
      <c r="K949" s="2">
        <f>Sales_Export_2019_2020__2[[#This Row],[order_value_GBP]]-Sales_Export_2019_2020__2[[#This Row],[ cost ]]</f>
        <v>10896.89</v>
      </c>
      <c r="L949" t="b">
        <f>COUNTIF(Sales_Export_2019_2020__2[order_id],Sales_Export_2019_2020__2[[#This Row],[order_id]])&gt;1</f>
        <v>0</v>
      </c>
      <c r="M949" t="str">
        <f t="shared" si="15"/>
        <v>£75,000 - £79,999</v>
      </c>
      <c r="N949" t="str" cm="1">
        <f t="array" ref="N94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49">
        <f>FLOOR(Sales_Export_2019_2020__2[[#This Row],[order_value_GBP]],5000)</f>
        <v>75000</v>
      </c>
    </row>
    <row r="950" spans="1:15" x14ac:dyDescent="0.35">
      <c r="A950" t="s">
        <v>45</v>
      </c>
      <c r="B950" s="2">
        <v>96358.45</v>
      </c>
      <c r="C950" s="2">
        <v>80700.2</v>
      </c>
      <c r="D950" s="1">
        <v>43628</v>
      </c>
      <c r="E950" t="s">
        <v>62</v>
      </c>
      <c r="F950" t="s">
        <v>648</v>
      </c>
      <c r="G950" t="s">
        <v>48</v>
      </c>
      <c r="H950" t="s">
        <v>66</v>
      </c>
      <c r="I950" t="s">
        <v>28</v>
      </c>
      <c r="J950" t="s">
        <v>1111</v>
      </c>
      <c r="K950" s="2">
        <f>Sales_Export_2019_2020__2[[#This Row],[order_value_GBP]]-Sales_Export_2019_2020__2[[#This Row],[ cost ]]</f>
        <v>15658.25</v>
      </c>
      <c r="L950" t="b">
        <f>COUNTIF(Sales_Export_2019_2020__2[order_id],Sales_Export_2019_2020__2[[#This Row],[order_id]])&gt;1</f>
        <v>0</v>
      </c>
      <c r="M950" t="str">
        <f t="shared" si="15"/>
        <v>£95,000 - £99,999</v>
      </c>
      <c r="N950" t="str" cm="1">
        <f t="array" ref="N95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50">
        <f>FLOOR(Sales_Export_2019_2020__2[[#This Row],[order_value_GBP]],5000)</f>
        <v>95000</v>
      </c>
    </row>
    <row r="951" spans="1:15" x14ac:dyDescent="0.35">
      <c r="A951" t="s">
        <v>53</v>
      </c>
      <c r="B951" s="2">
        <v>40535.64</v>
      </c>
      <c r="C951" s="2">
        <v>35480.85</v>
      </c>
      <c r="D951" s="1">
        <v>43478</v>
      </c>
      <c r="E951" t="s">
        <v>80</v>
      </c>
      <c r="F951" t="s">
        <v>234</v>
      </c>
      <c r="G951" t="s">
        <v>55</v>
      </c>
      <c r="H951" t="s">
        <v>128</v>
      </c>
      <c r="I951" t="s">
        <v>28</v>
      </c>
      <c r="J951" t="s">
        <v>1112</v>
      </c>
      <c r="K951" s="2">
        <f>Sales_Export_2019_2020__2[[#This Row],[order_value_GBP]]-Sales_Export_2019_2020__2[[#This Row],[ cost ]]</f>
        <v>5054.7900000000009</v>
      </c>
      <c r="L951" t="b">
        <f>COUNTIF(Sales_Export_2019_2020__2[order_id],Sales_Export_2019_2020__2[[#This Row],[order_id]])&gt;1</f>
        <v>0</v>
      </c>
      <c r="M951" t="str">
        <f t="shared" si="15"/>
        <v>£40,000 - £44,999</v>
      </c>
      <c r="N951" t="str" cm="1">
        <f t="array" ref="N95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951">
        <f>FLOOR(Sales_Export_2019_2020__2[[#This Row],[order_value_GBP]],5000)</f>
        <v>40000</v>
      </c>
    </row>
    <row r="952" spans="1:15" x14ac:dyDescent="0.35">
      <c r="A952" t="s">
        <v>53</v>
      </c>
      <c r="B952" s="2">
        <v>96795.99</v>
      </c>
      <c r="C952" s="2">
        <v>81395.75</v>
      </c>
      <c r="D952" s="1">
        <v>43637</v>
      </c>
      <c r="E952" t="s">
        <v>51</v>
      </c>
      <c r="F952" t="s">
        <v>395</v>
      </c>
      <c r="G952" t="s">
        <v>55</v>
      </c>
      <c r="H952" t="s">
        <v>144</v>
      </c>
      <c r="I952" t="s">
        <v>28</v>
      </c>
      <c r="J952" t="s">
        <v>1113</v>
      </c>
      <c r="K952" s="2">
        <f>Sales_Export_2019_2020__2[[#This Row],[order_value_GBP]]-Sales_Export_2019_2020__2[[#This Row],[ cost ]]</f>
        <v>15400.240000000005</v>
      </c>
      <c r="L952" t="b">
        <f>COUNTIF(Sales_Export_2019_2020__2[order_id],Sales_Export_2019_2020__2[[#This Row],[order_id]])&gt;1</f>
        <v>0</v>
      </c>
      <c r="M952" t="str">
        <f t="shared" si="15"/>
        <v>£95,000 - £99,999</v>
      </c>
      <c r="N952" t="str" cm="1">
        <f t="array" ref="N95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52">
        <f>FLOOR(Sales_Export_2019_2020__2[[#This Row],[order_value_GBP]],5000)</f>
        <v>95000</v>
      </c>
    </row>
    <row r="953" spans="1:15" x14ac:dyDescent="0.35">
      <c r="A953" t="s">
        <v>23</v>
      </c>
      <c r="B953" s="2">
        <v>122035.93</v>
      </c>
      <c r="C953" s="2">
        <v>97897.22</v>
      </c>
      <c r="D953" s="1">
        <v>44003</v>
      </c>
      <c r="E953" t="s">
        <v>46</v>
      </c>
      <c r="F953" t="s">
        <v>25</v>
      </c>
      <c r="G953" t="s">
        <v>26</v>
      </c>
      <c r="H953" t="s">
        <v>32</v>
      </c>
      <c r="I953" t="s">
        <v>28</v>
      </c>
      <c r="J953" t="s">
        <v>1114</v>
      </c>
      <c r="K953" s="2">
        <f>Sales_Export_2019_2020__2[[#This Row],[order_value_GBP]]-Sales_Export_2019_2020__2[[#This Row],[ cost ]]</f>
        <v>24138.709999999992</v>
      </c>
      <c r="L953" t="b">
        <f>COUNTIF(Sales_Export_2019_2020__2[order_id],Sales_Export_2019_2020__2[[#This Row],[order_id]])&gt;1</f>
        <v>0</v>
      </c>
      <c r="M953" t="str">
        <f t="shared" si="15"/>
        <v>£120,000 - £124,999</v>
      </c>
      <c r="N953" t="str" cm="1">
        <f t="array" ref="N95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53">
        <f>FLOOR(Sales_Export_2019_2020__2[[#This Row],[order_value_GBP]],5000)</f>
        <v>120000</v>
      </c>
    </row>
    <row r="954" spans="1:15" x14ac:dyDescent="0.35">
      <c r="A954" t="s">
        <v>10</v>
      </c>
      <c r="B954" s="2">
        <v>89502.53</v>
      </c>
      <c r="C954" s="2">
        <v>72488.100000000006</v>
      </c>
      <c r="D954" s="1">
        <v>44135</v>
      </c>
      <c r="E954" t="s">
        <v>24</v>
      </c>
      <c r="F954" t="s">
        <v>446</v>
      </c>
      <c r="G954" t="s">
        <v>13</v>
      </c>
      <c r="H954" t="s">
        <v>170</v>
      </c>
      <c r="I954" t="s">
        <v>28</v>
      </c>
      <c r="J954" t="s">
        <v>1115</v>
      </c>
      <c r="K954" s="2">
        <f>Sales_Export_2019_2020__2[[#This Row],[order_value_GBP]]-Sales_Export_2019_2020__2[[#This Row],[ cost ]]</f>
        <v>17014.429999999993</v>
      </c>
      <c r="L954" t="b">
        <f>COUNTIF(Sales_Export_2019_2020__2[order_id],Sales_Export_2019_2020__2[[#This Row],[order_id]])&gt;1</f>
        <v>0</v>
      </c>
      <c r="M954" t="str">
        <f t="shared" si="15"/>
        <v>£85,000 - £89,999</v>
      </c>
      <c r="N954" t="str" cm="1">
        <f t="array" ref="N95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54">
        <f>FLOOR(Sales_Export_2019_2020__2[[#This Row],[order_value_GBP]],5000)</f>
        <v>85000</v>
      </c>
    </row>
    <row r="955" spans="1:15" x14ac:dyDescent="0.35">
      <c r="A955" t="s">
        <v>23</v>
      </c>
      <c r="B955" s="2">
        <v>223233.32</v>
      </c>
      <c r="C955" s="2">
        <v>179100.09</v>
      </c>
      <c r="D955" s="1">
        <v>43644</v>
      </c>
      <c r="E955" t="s">
        <v>18</v>
      </c>
      <c r="F955" t="s">
        <v>89</v>
      </c>
      <c r="G955" t="s">
        <v>26</v>
      </c>
      <c r="H955" t="s">
        <v>76</v>
      </c>
      <c r="I955" t="s">
        <v>28</v>
      </c>
      <c r="J955" t="s">
        <v>1116</v>
      </c>
      <c r="K955" s="2">
        <f>Sales_Export_2019_2020__2[[#This Row],[order_value_GBP]]-Sales_Export_2019_2020__2[[#This Row],[ cost ]]</f>
        <v>44133.23000000001</v>
      </c>
      <c r="L955" t="b">
        <f>COUNTIF(Sales_Export_2019_2020__2[order_id],Sales_Export_2019_2020__2[[#This Row],[order_id]])&gt;1</f>
        <v>0</v>
      </c>
      <c r="M955" t="str">
        <f t="shared" si="15"/>
        <v>£220,000 - £224,999</v>
      </c>
      <c r="N955" t="str" cm="1">
        <f t="array" ref="N95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55">
        <f>FLOOR(Sales_Export_2019_2020__2[[#This Row],[order_value_GBP]],5000)</f>
        <v>220000</v>
      </c>
    </row>
    <row r="956" spans="1:15" x14ac:dyDescent="0.35">
      <c r="A956" t="s">
        <v>17</v>
      </c>
      <c r="B956" s="2">
        <v>33190.03</v>
      </c>
      <c r="C956" s="2">
        <v>28397.39</v>
      </c>
      <c r="D956" s="1">
        <v>44061</v>
      </c>
      <c r="E956" t="s">
        <v>80</v>
      </c>
      <c r="F956" t="s">
        <v>341</v>
      </c>
      <c r="G956" t="s">
        <v>20</v>
      </c>
      <c r="H956" t="s">
        <v>21</v>
      </c>
      <c r="I956" t="s">
        <v>38</v>
      </c>
      <c r="J956" t="s">
        <v>1117</v>
      </c>
      <c r="K956" s="2">
        <f>Sales_Export_2019_2020__2[[#This Row],[order_value_GBP]]-Sales_Export_2019_2020__2[[#This Row],[ cost ]]</f>
        <v>4792.6399999999994</v>
      </c>
      <c r="L956" t="b">
        <f>COUNTIF(Sales_Export_2019_2020__2[order_id],Sales_Export_2019_2020__2[[#This Row],[order_id]])&gt;1</f>
        <v>0</v>
      </c>
      <c r="M956" t="str">
        <f t="shared" si="15"/>
        <v>£30,000 - £34,999</v>
      </c>
      <c r="N956" t="str" cm="1">
        <f t="array" ref="N95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956">
        <f>FLOOR(Sales_Export_2019_2020__2[[#This Row],[order_value_GBP]],5000)</f>
        <v>30000</v>
      </c>
    </row>
    <row r="957" spans="1:15" x14ac:dyDescent="0.35">
      <c r="A957" t="s">
        <v>23</v>
      </c>
      <c r="B957" s="2">
        <v>82357.570000000007</v>
      </c>
      <c r="C957" s="2">
        <v>65474.27</v>
      </c>
      <c r="D957" s="1">
        <v>43515</v>
      </c>
      <c r="E957" t="s">
        <v>11</v>
      </c>
      <c r="F957" t="s">
        <v>234</v>
      </c>
      <c r="G957" t="s">
        <v>26</v>
      </c>
      <c r="H957" t="s">
        <v>32</v>
      </c>
      <c r="I957" t="s">
        <v>28</v>
      </c>
      <c r="J957" t="s">
        <v>1118</v>
      </c>
      <c r="K957" s="2">
        <f>Sales_Export_2019_2020__2[[#This Row],[order_value_GBP]]-Sales_Export_2019_2020__2[[#This Row],[ cost ]]</f>
        <v>16883.30000000001</v>
      </c>
      <c r="L957" t="b">
        <f>COUNTIF(Sales_Export_2019_2020__2[order_id],Sales_Export_2019_2020__2[[#This Row],[order_id]])&gt;1</f>
        <v>0</v>
      </c>
      <c r="M957" t="str">
        <f t="shared" si="15"/>
        <v>£80,000 - £84,999</v>
      </c>
      <c r="N957" t="str" cm="1">
        <f t="array" ref="N95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57">
        <f>FLOOR(Sales_Export_2019_2020__2[[#This Row],[order_value_GBP]],5000)</f>
        <v>80000</v>
      </c>
    </row>
    <row r="958" spans="1:15" x14ac:dyDescent="0.35">
      <c r="A958" t="s">
        <v>173</v>
      </c>
      <c r="B958" s="2">
        <v>46857.77</v>
      </c>
      <c r="C958" s="2">
        <v>39116.870000000003</v>
      </c>
      <c r="D958" s="1">
        <v>44001</v>
      </c>
      <c r="E958" t="s">
        <v>18</v>
      </c>
      <c r="F958" t="s">
        <v>35</v>
      </c>
      <c r="G958" t="s">
        <v>175</v>
      </c>
      <c r="H958" t="s">
        <v>212</v>
      </c>
      <c r="I958" t="s">
        <v>15</v>
      </c>
      <c r="J958" t="s">
        <v>1119</v>
      </c>
      <c r="K958" s="2">
        <f>Sales_Export_2019_2020__2[[#This Row],[order_value_GBP]]-Sales_Export_2019_2020__2[[#This Row],[ cost ]]</f>
        <v>7740.8999999999942</v>
      </c>
      <c r="L958" t="b">
        <f>COUNTIF(Sales_Export_2019_2020__2[order_id],Sales_Export_2019_2020__2[[#This Row],[order_id]])&gt;1</f>
        <v>0</v>
      </c>
      <c r="M958" t="str">
        <f t="shared" si="15"/>
        <v>£45,000 - £49,999</v>
      </c>
      <c r="N958" t="str" cm="1">
        <f t="array" ref="N95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958">
        <f>FLOOR(Sales_Export_2019_2020__2[[#This Row],[order_value_GBP]],5000)</f>
        <v>45000</v>
      </c>
    </row>
    <row r="959" spans="1:15" x14ac:dyDescent="0.35">
      <c r="A959" t="s">
        <v>45</v>
      </c>
      <c r="B959" s="2">
        <v>178560.1</v>
      </c>
      <c r="C959" s="2">
        <v>150383.32</v>
      </c>
      <c r="D959" s="1">
        <v>44014</v>
      </c>
      <c r="E959" t="s">
        <v>11</v>
      </c>
      <c r="F959" t="s">
        <v>185</v>
      </c>
      <c r="G959" t="s">
        <v>48</v>
      </c>
      <c r="H959" t="s">
        <v>49</v>
      </c>
      <c r="I959" t="s">
        <v>15</v>
      </c>
      <c r="J959" t="s">
        <v>1120</v>
      </c>
      <c r="K959" s="2">
        <f>Sales_Export_2019_2020__2[[#This Row],[order_value_GBP]]-Sales_Export_2019_2020__2[[#This Row],[ cost ]]</f>
        <v>28176.78</v>
      </c>
      <c r="L959" t="b">
        <f>COUNTIF(Sales_Export_2019_2020__2[order_id],Sales_Export_2019_2020__2[[#This Row],[order_id]])&gt;1</f>
        <v>0</v>
      </c>
      <c r="M959" t="str">
        <f t="shared" si="15"/>
        <v>£175,000 - £179,999</v>
      </c>
      <c r="N959" t="str" cm="1">
        <f t="array" ref="N95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59">
        <f>FLOOR(Sales_Export_2019_2020__2[[#This Row],[order_value_GBP]],5000)</f>
        <v>175000</v>
      </c>
    </row>
    <row r="960" spans="1:15" x14ac:dyDescent="0.35">
      <c r="A960" t="s">
        <v>10</v>
      </c>
      <c r="B960" s="2">
        <v>173944.47</v>
      </c>
      <c r="C960" s="2">
        <v>139729.59</v>
      </c>
      <c r="D960" s="1">
        <v>44085</v>
      </c>
      <c r="E960" t="s">
        <v>11</v>
      </c>
      <c r="F960" t="s">
        <v>35</v>
      </c>
      <c r="G960" t="s">
        <v>13</v>
      </c>
      <c r="H960" t="s">
        <v>14</v>
      </c>
      <c r="I960" t="s">
        <v>28</v>
      </c>
      <c r="J960" t="s">
        <v>1121</v>
      </c>
      <c r="K960" s="2">
        <f>Sales_Export_2019_2020__2[[#This Row],[order_value_GBP]]-Sales_Export_2019_2020__2[[#This Row],[ cost ]]</f>
        <v>34214.880000000005</v>
      </c>
      <c r="L960" t="b">
        <f>COUNTIF(Sales_Export_2019_2020__2[order_id],Sales_Export_2019_2020__2[[#This Row],[order_id]])&gt;1</f>
        <v>0</v>
      </c>
      <c r="M960" t="str">
        <f t="shared" si="15"/>
        <v>£170,000 - £174,999</v>
      </c>
      <c r="N960" t="str" cm="1">
        <f t="array" ref="N96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60">
        <f>FLOOR(Sales_Export_2019_2020__2[[#This Row],[order_value_GBP]],5000)</f>
        <v>170000</v>
      </c>
    </row>
    <row r="961" spans="1:15" x14ac:dyDescent="0.35">
      <c r="A961" t="s">
        <v>45</v>
      </c>
      <c r="B961" s="2">
        <v>176662.26</v>
      </c>
      <c r="C961" s="2">
        <v>146859.34</v>
      </c>
      <c r="D961" s="1">
        <v>44010</v>
      </c>
      <c r="E961" t="s">
        <v>80</v>
      </c>
      <c r="F961" t="s">
        <v>114</v>
      </c>
      <c r="G961" t="s">
        <v>48</v>
      </c>
      <c r="H961" t="s">
        <v>66</v>
      </c>
      <c r="I961" t="s">
        <v>28</v>
      </c>
      <c r="J961" t="s">
        <v>1122</v>
      </c>
      <c r="K961" s="2">
        <f>Sales_Export_2019_2020__2[[#This Row],[order_value_GBP]]-Sales_Export_2019_2020__2[[#This Row],[ cost ]]</f>
        <v>29802.920000000013</v>
      </c>
      <c r="L961" t="b">
        <f>COUNTIF(Sales_Export_2019_2020__2[order_id],Sales_Export_2019_2020__2[[#This Row],[order_id]])&gt;1</f>
        <v>0</v>
      </c>
      <c r="M961" t="str">
        <f t="shared" si="15"/>
        <v>£175,000 - £179,999</v>
      </c>
      <c r="N961" t="str" cm="1">
        <f t="array" ref="N96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61">
        <f>FLOOR(Sales_Export_2019_2020__2[[#This Row],[order_value_GBP]],5000)</f>
        <v>175000</v>
      </c>
    </row>
    <row r="962" spans="1:15" x14ac:dyDescent="0.35">
      <c r="A962" t="s">
        <v>53</v>
      </c>
      <c r="B962" s="2">
        <v>133754.65</v>
      </c>
      <c r="C962" s="2">
        <v>106147.69</v>
      </c>
      <c r="D962" s="1">
        <v>44092</v>
      </c>
      <c r="E962" t="s">
        <v>18</v>
      </c>
      <c r="F962" t="s">
        <v>97</v>
      </c>
      <c r="G962" t="s">
        <v>55</v>
      </c>
      <c r="H962" t="s">
        <v>133</v>
      </c>
      <c r="I962" t="s">
        <v>28</v>
      </c>
      <c r="J962" t="s">
        <v>1123</v>
      </c>
      <c r="K962" s="2">
        <f>Sales_Export_2019_2020__2[[#This Row],[order_value_GBP]]-Sales_Export_2019_2020__2[[#This Row],[ cost ]]</f>
        <v>27606.959999999992</v>
      </c>
      <c r="L962" t="b">
        <f>COUNTIF(Sales_Export_2019_2020__2[order_id],Sales_Export_2019_2020__2[[#This Row],[order_id]])&gt;1</f>
        <v>0</v>
      </c>
      <c r="M962" t="str">
        <f t="shared" ref="M962:M1001" si="16">TEXT(FLOOR(B962,5000),"£#,##0")&amp;" - "&amp;TEXT(FLOOR(B962,5000)+4999,"£#,##0")</f>
        <v>£130,000 - £134,999</v>
      </c>
      <c r="N962" t="str" cm="1">
        <f t="array" ref="N96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62">
        <f>FLOOR(Sales_Export_2019_2020__2[[#This Row],[order_value_GBP]],5000)</f>
        <v>130000</v>
      </c>
    </row>
    <row r="963" spans="1:15" x14ac:dyDescent="0.35">
      <c r="A963" t="s">
        <v>101</v>
      </c>
      <c r="B963" s="2">
        <v>159294.28</v>
      </c>
      <c r="C963" s="2">
        <v>130605.38</v>
      </c>
      <c r="D963" s="1">
        <v>44052</v>
      </c>
      <c r="E963" t="s">
        <v>24</v>
      </c>
      <c r="F963" t="s">
        <v>135</v>
      </c>
      <c r="G963" t="s">
        <v>103</v>
      </c>
      <c r="H963" t="s">
        <v>104</v>
      </c>
      <c r="I963" t="s">
        <v>28</v>
      </c>
      <c r="J963" t="s">
        <v>1124</v>
      </c>
      <c r="K963" s="2">
        <f>Sales_Export_2019_2020__2[[#This Row],[order_value_GBP]]-Sales_Export_2019_2020__2[[#This Row],[ cost ]]</f>
        <v>28688.899999999994</v>
      </c>
      <c r="L963" t="b">
        <f>COUNTIF(Sales_Export_2019_2020__2[order_id],Sales_Export_2019_2020__2[[#This Row],[order_id]])&gt;1</f>
        <v>0</v>
      </c>
      <c r="M963" t="str">
        <f t="shared" si="16"/>
        <v>£155,000 - £159,999</v>
      </c>
      <c r="N963" t="str" cm="1">
        <f t="array" ref="N96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63">
        <f>FLOOR(Sales_Export_2019_2020__2[[#This Row],[order_value_GBP]],5000)</f>
        <v>155000</v>
      </c>
    </row>
    <row r="964" spans="1:15" x14ac:dyDescent="0.35">
      <c r="A964" t="s">
        <v>53</v>
      </c>
      <c r="B964" s="2">
        <v>123562.02</v>
      </c>
      <c r="C964" s="2">
        <v>102927.16</v>
      </c>
      <c r="D964" s="1">
        <v>43943</v>
      </c>
      <c r="E964" t="s">
        <v>24</v>
      </c>
      <c r="F964" t="s">
        <v>148</v>
      </c>
      <c r="G964" t="s">
        <v>55</v>
      </c>
      <c r="H964" t="s">
        <v>72</v>
      </c>
      <c r="I964" t="s">
        <v>28</v>
      </c>
      <c r="J964" t="s">
        <v>1125</v>
      </c>
      <c r="K964" s="2">
        <f>Sales_Export_2019_2020__2[[#This Row],[order_value_GBP]]-Sales_Export_2019_2020__2[[#This Row],[ cost ]]</f>
        <v>20634.86</v>
      </c>
      <c r="L964" t="b">
        <f>COUNTIF(Sales_Export_2019_2020__2[order_id],Sales_Export_2019_2020__2[[#This Row],[order_id]])&gt;1</f>
        <v>0</v>
      </c>
      <c r="M964" t="str">
        <f t="shared" si="16"/>
        <v>£120,000 - £124,999</v>
      </c>
      <c r="N964" t="str" cm="1">
        <f t="array" ref="N96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64">
        <f>FLOOR(Sales_Export_2019_2020__2[[#This Row],[order_value_GBP]],5000)</f>
        <v>120000</v>
      </c>
    </row>
    <row r="965" spans="1:15" x14ac:dyDescent="0.35">
      <c r="A965" t="s">
        <v>53</v>
      </c>
      <c r="B965" s="2">
        <v>33013.08</v>
      </c>
      <c r="C965" s="2">
        <v>26743.9</v>
      </c>
      <c r="D965" s="1">
        <v>44163</v>
      </c>
      <c r="E965" t="s">
        <v>80</v>
      </c>
      <c r="F965" t="s">
        <v>89</v>
      </c>
      <c r="G965" t="s">
        <v>55</v>
      </c>
      <c r="H965" t="s">
        <v>72</v>
      </c>
      <c r="I965" t="s">
        <v>28</v>
      </c>
      <c r="J965" t="s">
        <v>1126</v>
      </c>
      <c r="K965" s="2">
        <f>Sales_Export_2019_2020__2[[#This Row],[order_value_GBP]]-Sales_Export_2019_2020__2[[#This Row],[ cost ]]</f>
        <v>6269.18</v>
      </c>
      <c r="L965" t="b">
        <f>COUNTIF(Sales_Export_2019_2020__2[order_id],Sales_Export_2019_2020__2[[#This Row],[order_id]])&gt;1</f>
        <v>0</v>
      </c>
      <c r="M965" t="str">
        <f t="shared" si="16"/>
        <v>£30,000 - £34,999</v>
      </c>
      <c r="N965" t="str" cm="1">
        <f t="array" ref="N96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965">
        <f>FLOOR(Sales_Export_2019_2020__2[[#This Row],[order_value_GBP]],5000)</f>
        <v>30000</v>
      </c>
    </row>
    <row r="966" spans="1:15" x14ac:dyDescent="0.35">
      <c r="A966" t="s">
        <v>23</v>
      </c>
      <c r="B966" s="2">
        <v>105340.85</v>
      </c>
      <c r="C966" s="2">
        <v>87285.43</v>
      </c>
      <c r="D966" s="1">
        <v>44061</v>
      </c>
      <c r="E966" t="s">
        <v>11</v>
      </c>
      <c r="F966" t="s">
        <v>40</v>
      </c>
      <c r="G966" t="s">
        <v>26</v>
      </c>
      <c r="H966" t="s">
        <v>219</v>
      </c>
      <c r="I966" t="s">
        <v>28</v>
      </c>
      <c r="J966" t="s">
        <v>1127</v>
      </c>
      <c r="K966" s="2">
        <f>Sales_Export_2019_2020__2[[#This Row],[order_value_GBP]]-Sales_Export_2019_2020__2[[#This Row],[ cost ]]</f>
        <v>18055.420000000013</v>
      </c>
      <c r="L966" t="b">
        <f>COUNTIF(Sales_Export_2019_2020__2[order_id],Sales_Export_2019_2020__2[[#This Row],[order_id]])&gt;1</f>
        <v>0</v>
      </c>
      <c r="M966" t="str">
        <f t="shared" si="16"/>
        <v>£105,000 - £109,999</v>
      </c>
      <c r="N966" t="str" cm="1">
        <f t="array" ref="N96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66">
        <f>FLOOR(Sales_Export_2019_2020__2[[#This Row],[order_value_GBP]],5000)</f>
        <v>105000</v>
      </c>
    </row>
    <row r="967" spans="1:15" x14ac:dyDescent="0.35">
      <c r="A967" t="s">
        <v>34</v>
      </c>
      <c r="B967" s="2">
        <v>127143.54</v>
      </c>
      <c r="C967" s="2">
        <v>105033.28</v>
      </c>
      <c r="D967" s="1">
        <v>43741</v>
      </c>
      <c r="E967" t="s">
        <v>80</v>
      </c>
      <c r="F967" t="s">
        <v>102</v>
      </c>
      <c r="G967" t="s">
        <v>36</v>
      </c>
      <c r="H967" t="s">
        <v>37</v>
      </c>
      <c r="I967" t="s">
        <v>28</v>
      </c>
      <c r="J967" t="s">
        <v>1128</v>
      </c>
      <c r="K967" s="2">
        <f>Sales_Export_2019_2020__2[[#This Row],[order_value_GBP]]-Sales_Export_2019_2020__2[[#This Row],[ cost ]]</f>
        <v>22110.259999999995</v>
      </c>
      <c r="L967" t="b">
        <f>COUNTIF(Sales_Export_2019_2020__2[order_id],Sales_Export_2019_2020__2[[#This Row],[order_id]])&gt;1</f>
        <v>0</v>
      </c>
      <c r="M967" t="str">
        <f t="shared" si="16"/>
        <v>£125,000 - £129,999</v>
      </c>
      <c r="N967" t="str" cm="1">
        <f t="array" ref="N96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67">
        <f>FLOOR(Sales_Export_2019_2020__2[[#This Row],[order_value_GBP]],5000)</f>
        <v>125000</v>
      </c>
    </row>
    <row r="968" spans="1:15" x14ac:dyDescent="0.35">
      <c r="A968" t="s">
        <v>23</v>
      </c>
      <c r="B968" s="2">
        <v>56570.64</v>
      </c>
      <c r="C968" s="2">
        <v>46993.23</v>
      </c>
      <c r="D968" s="1">
        <v>44109</v>
      </c>
      <c r="E968" t="s">
        <v>11</v>
      </c>
      <c r="F968" t="s">
        <v>78</v>
      </c>
      <c r="G968" t="s">
        <v>26</v>
      </c>
      <c r="H968" t="s">
        <v>27</v>
      </c>
      <c r="I968" t="s">
        <v>28</v>
      </c>
      <c r="J968" t="s">
        <v>1129</v>
      </c>
      <c r="K968" s="2">
        <f>Sales_Export_2019_2020__2[[#This Row],[order_value_GBP]]-Sales_Export_2019_2020__2[[#This Row],[ cost ]]</f>
        <v>9577.4099999999962</v>
      </c>
      <c r="L968" t="b">
        <f>COUNTIF(Sales_Export_2019_2020__2[order_id],Sales_Export_2019_2020__2[[#This Row],[order_id]])&gt;1</f>
        <v>0</v>
      </c>
      <c r="M968" t="str">
        <f t="shared" si="16"/>
        <v>£55,000 - £59,999</v>
      </c>
      <c r="N968" t="str" cm="1">
        <f t="array" ref="N96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68">
        <f>FLOOR(Sales_Export_2019_2020__2[[#This Row],[order_value_GBP]],5000)</f>
        <v>55000</v>
      </c>
    </row>
    <row r="969" spans="1:15" x14ac:dyDescent="0.35">
      <c r="A969" t="s">
        <v>53</v>
      </c>
      <c r="B969" s="2">
        <v>75522.66</v>
      </c>
      <c r="C969" s="2">
        <v>60448.34</v>
      </c>
      <c r="D969" s="1">
        <v>43537</v>
      </c>
      <c r="E969" t="s">
        <v>60</v>
      </c>
      <c r="F969" t="s">
        <v>254</v>
      </c>
      <c r="G969" t="s">
        <v>55</v>
      </c>
      <c r="H969" t="s">
        <v>128</v>
      </c>
      <c r="I969" t="s">
        <v>28</v>
      </c>
      <c r="J969" t="s">
        <v>1130</v>
      </c>
      <c r="K969" s="2">
        <f>Sales_Export_2019_2020__2[[#This Row],[order_value_GBP]]-Sales_Export_2019_2020__2[[#This Row],[ cost ]]</f>
        <v>15074.320000000007</v>
      </c>
      <c r="L969" t="b">
        <f>COUNTIF(Sales_Export_2019_2020__2[order_id],Sales_Export_2019_2020__2[[#This Row],[order_id]])&gt;1</f>
        <v>0</v>
      </c>
      <c r="M969" t="str">
        <f t="shared" si="16"/>
        <v>£75,000 - £79,999</v>
      </c>
      <c r="N969" t="str" cm="1">
        <f t="array" ref="N96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69">
        <f>FLOOR(Sales_Export_2019_2020__2[[#This Row],[order_value_GBP]],5000)</f>
        <v>75000</v>
      </c>
    </row>
    <row r="970" spans="1:15" x14ac:dyDescent="0.35">
      <c r="A970" t="s">
        <v>23</v>
      </c>
      <c r="B970" s="2">
        <v>87085.71</v>
      </c>
      <c r="C970" s="2">
        <v>76548.34</v>
      </c>
      <c r="D970" s="1">
        <v>44070</v>
      </c>
      <c r="E970" t="s">
        <v>62</v>
      </c>
      <c r="F970" t="s">
        <v>188</v>
      </c>
      <c r="G970" t="s">
        <v>26</v>
      </c>
      <c r="H970" t="s">
        <v>27</v>
      </c>
      <c r="I970" t="s">
        <v>28</v>
      </c>
      <c r="J970" t="s">
        <v>1131</v>
      </c>
      <c r="K970" s="2">
        <f>Sales_Export_2019_2020__2[[#This Row],[order_value_GBP]]-Sales_Export_2019_2020__2[[#This Row],[ cost ]]</f>
        <v>10537.37000000001</v>
      </c>
      <c r="L970" t="b">
        <f>COUNTIF(Sales_Export_2019_2020__2[order_id],Sales_Export_2019_2020__2[[#This Row],[order_id]])&gt;1</f>
        <v>0</v>
      </c>
      <c r="M970" t="str">
        <f t="shared" si="16"/>
        <v>£85,000 - £89,999</v>
      </c>
      <c r="N970" t="str" cm="1">
        <f t="array" ref="N97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70">
        <f>FLOOR(Sales_Export_2019_2020__2[[#This Row],[order_value_GBP]],5000)</f>
        <v>85000</v>
      </c>
    </row>
    <row r="971" spans="1:15" x14ac:dyDescent="0.35">
      <c r="A971" t="s">
        <v>45</v>
      </c>
      <c r="B971" s="2">
        <v>290010.78999999998</v>
      </c>
      <c r="C971" s="2">
        <v>234444.72</v>
      </c>
      <c r="D971" s="1">
        <v>43824</v>
      </c>
      <c r="E971" t="s">
        <v>60</v>
      </c>
      <c r="F971" t="s">
        <v>174</v>
      </c>
      <c r="G971" t="s">
        <v>48</v>
      </c>
      <c r="H971" t="s">
        <v>66</v>
      </c>
      <c r="I971" t="s">
        <v>28</v>
      </c>
      <c r="J971" t="s">
        <v>1132</v>
      </c>
      <c r="K971" s="2">
        <f>Sales_Export_2019_2020__2[[#This Row],[order_value_GBP]]-Sales_Export_2019_2020__2[[#This Row],[ cost ]]</f>
        <v>55566.069999999978</v>
      </c>
      <c r="L971" t="b">
        <f>COUNTIF(Sales_Export_2019_2020__2[order_id],Sales_Export_2019_2020__2[[#This Row],[order_id]])&gt;1</f>
        <v>0</v>
      </c>
      <c r="M971" t="str">
        <f t="shared" si="16"/>
        <v>£290,000 - £294,999</v>
      </c>
      <c r="N971" t="str" cm="1">
        <f t="array" ref="N97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71">
        <f>FLOOR(Sales_Export_2019_2020__2[[#This Row],[order_value_GBP]],5000)</f>
        <v>290000</v>
      </c>
    </row>
    <row r="972" spans="1:15" x14ac:dyDescent="0.35">
      <c r="A972" t="s">
        <v>106</v>
      </c>
      <c r="B972" s="2">
        <v>256603.66</v>
      </c>
      <c r="C972" s="2">
        <v>209799.15</v>
      </c>
      <c r="D972" s="1">
        <v>43673</v>
      </c>
      <c r="E972" t="s">
        <v>60</v>
      </c>
      <c r="F972" t="s">
        <v>185</v>
      </c>
      <c r="G972" t="s">
        <v>107</v>
      </c>
      <c r="H972" t="s">
        <v>108</v>
      </c>
      <c r="I972" t="s">
        <v>38</v>
      </c>
      <c r="J972" t="s">
        <v>1133</v>
      </c>
      <c r="K972" s="2">
        <f>Sales_Export_2019_2020__2[[#This Row],[order_value_GBP]]-Sales_Export_2019_2020__2[[#This Row],[ cost ]]</f>
        <v>46804.510000000009</v>
      </c>
      <c r="L972" t="b">
        <f>COUNTIF(Sales_Export_2019_2020__2[order_id],Sales_Export_2019_2020__2[[#This Row],[order_id]])&gt;1</f>
        <v>0</v>
      </c>
      <c r="M972" t="str">
        <f t="shared" si="16"/>
        <v>£255,000 - £259,999</v>
      </c>
      <c r="N972" t="str" cm="1">
        <f t="array" ref="N97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72">
        <f>FLOOR(Sales_Export_2019_2020__2[[#This Row],[order_value_GBP]],5000)</f>
        <v>255000</v>
      </c>
    </row>
    <row r="973" spans="1:15" x14ac:dyDescent="0.35">
      <c r="A973" t="s">
        <v>45</v>
      </c>
      <c r="B973" s="2">
        <v>126074.62</v>
      </c>
      <c r="C973" s="2">
        <v>100027.6</v>
      </c>
      <c r="D973" s="1">
        <v>44142</v>
      </c>
      <c r="E973" t="s">
        <v>11</v>
      </c>
      <c r="F973" t="s">
        <v>54</v>
      </c>
      <c r="G973" t="s">
        <v>48</v>
      </c>
      <c r="H973" t="s">
        <v>49</v>
      </c>
      <c r="I973" t="s">
        <v>28</v>
      </c>
      <c r="J973" t="s">
        <v>1134</v>
      </c>
      <c r="K973" s="2">
        <f>Sales_Export_2019_2020__2[[#This Row],[order_value_GBP]]-Sales_Export_2019_2020__2[[#This Row],[ cost ]]</f>
        <v>26047.01999999999</v>
      </c>
      <c r="L973" t="b">
        <f>COUNTIF(Sales_Export_2019_2020__2[order_id],Sales_Export_2019_2020__2[[#This Row],[order_id]])&gt;1</f>
        <v>0</v>
      </c>
      <c r="M973" t="str">
        <f t="shared" si="16"/>
        <v>£125,000 - £129,999</v>
      </c>
      <c r="N973" t="str" cm="1">
        <f t="array" ref="N97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73">
        <f>FLOOR(Sales_Export_2019_2020__2[[#This Row],[order_value_GBP]],5000)</f>
        <v>125000</v>
      </c>
    </row>
    <row r="974" spans="1:15" x14ac:dyDescent="0.35">
      <c r="A974" t="s">
        <v>10</v>
      </c>
      <c r="B974" s="2">
        <v>94085.5</v>
      </c>
      <c r="C974" s="2">
        <v>77498.23</v>
      </c>
      <c r="D974" s="1">
        <v>43849</v>
      </c>
      <c r="E974" t="s">
        <v>80</v>
      </c>
      <c r="F974" t="s">
        <v>178</v>
      </c>
      <c r="G974" t="s">
        <v>13</v>
      </c>
      <c r="H974" t="s">
        <v>118</v>
      </c>
      <c r="I974" t="s">
        <v>28</v>
      </c>
      <c r="J974" t="s">
        <v>1135</v>
      </c>
      <c r="K974" s="2">
        <f>Sales_Export_2019_2020__2[[#This Row],[order_value_GBP]]-Sales_Export_2019_2020__2[[#This Row],[ cost ]]</f>
        <v>16587.270000000004</v>
      </c>
      <c r="L974" t="b">
        <f>COUNTIF(Sales_Export_2019_2020__2[order_id],Sales_Export_2019_2020__2[[#This Row],[order_id]])&gt;1</f>
        <v>0</v>
      </c>
      <c r="M974" t="str">
        <f t="shared" si="16"/>
        <v>£90,000 - £94,999</v>
      </c>
      <c r="N974" t="str" cm="1">
        <f t="array" ref="N97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74">
        <f>FLOOR(Sales_Export_2019_2020__2[[#This Row],[order_value_GBP]],5000)</f>
        <v>90000</v>
      </c>
    </row>
    <row r="975" spans="1:15" x14ac:dyDescent="0.35">
      <c r="A975" t="s">
        <v>23</v>
      </c>
      <c r="B975" s="2">
        <v>159216.47</v>
      </c>
      <c r="C975" s="2">
        <v>137419.74</v>
      </c>
      <c r="D975" s="1">
        <v>44008</v>
      </c>
      <c r="E975" t="s">
        <v>18</v>
      </c>
      <c r="F975" t="s">
        <v>35</v>
      </c>
      <c r="G975" t="s">
        <v>26</v>
      </c>
      <c r="H975" t="s">
        <v>27</v>
      </c>
      <c r="I975" t="s">
        <v>28</v>
      </c>
      <c r="J975" t="s">
        <v>1136</v>
      </c>
      <c r="K975" s="2">
        <f>Sales_Export_2019_2020__2[[#This Row],[order_value_GBP]]-Sales_Export_2019_2020__2[[#This Row],[ cost ]]</f>
        <v>21796.73000000001</v>
      </c>
      <c r="L975" t="b">
        <f>COUNTIF(Sales_Export_2019_2020__2[order_id],Sales_Export_2019_2020__2[[#This Row],[order_id]])&gt;1</f>
        <v>0</v>
      </c>
      <c r="M975" t="str">
        <f t="shared" si="16"/>
        <v>£155,000 - £159,999</v>
      </c>
      <c r="N975" t="str" cm="1">
        <f t="array" ref="N97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75">
        <f>FLOOR(Sales_Export_2019_2020__2[[#This Row],[order_value_GBP]],5000)</f>
        <v>155000</v>
      </c>
    </row>
    <row r="976" spans="1:15" x14ac:dyDescent="0.35">
      <c r="A976" t="s">
        <v>23</v>
      </c>
      <c r="B976" s="2">
        <v>74958.460000000006</v>
      </c>
      <c r="C976" s="2">
        <v>65806.03</v>
      </c>
      <c r="D976" s="1">
        <v>44048</v>
      </c>
      <c r="E976" t="s">
        <v>80</v>
      </c>
      <c r="F976" t="s">
        <v>31</v>
      </c>
      <c r="G976" t="s">
        <v>26</v>
      </c>
      <c r="H976" t="s">
        <v>27</v>
      </c>
      <c r="I976" t="s">
        <v>28</v>
      </c>
      <c r="J976" t="s">
        <v>1137</v>
      </c>
      <c r="K976" s="2">
        <f>Sales_Export_2019_2020__2[[#This Row],[order_value_GBP]]-Sales_Export_2019_2020__2[[#This Row],[ cost ]]</f>
        <v>9152.4300000000076</v>
      </c>
      <c r="L976" t="b">
        <f>COUNTIF(Sales_Export_2019_2020__2[order_id],Sales_Export_2019_2020__2[[#This Row],[order_id]])&gt;1</f>
        <v>0</v>
      </c>
      <c r="M976" t="str">
        <f t="shared" si="16"/>
        <v>£70,000 - £74,999</v>
      </c>
      <c r="N976" t="str" cm="1">
        <f t="array" ref="N97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76">
        <f>FLOOR(Sales_Export_2019_2020__2[[#This Row],[order_value_GBP]],5000)</f>
        <v>70000</v>
      </c>
    </row>
    <row r="977" spans="1:15" x14ac:dyDescent="0.35">
      <c r="A977" t="s">
        <v>10</v>
      </c>
      <c r="B977" s="2">
        <v>83897.88</v>
      </c>
      <c r="C977" s="2">
        <v>69559.73</v>
      </c>
      <c r="D977" s="1">
        <v>43542</v>
      </c>
      <c r="E977" t="s">
        <v>51</v>
      </c>
      <c r="F977" t="s">
        <v>92</v>
      </c>
      <c r="G977" t="s">
        <v>13</v>
      </c>
      <c r="H977" t="s">
        <v>69</v>
      </c>
      <c r="I977" t="s">
        <v>15</v>
      </c>
      <c r="J977" t="s">
        <v>1138</v>
      </c>
      <c r="K977" s="2">
        <f>Sales_Export_2019_2020__2[[#This Row],[order_value_GBP]]-Sales_Export_2019_2020__2[[#This Row],[ cost ]]</f>
        <v>14338.150000000009</v>
      </c>
      <c r="L977" t="b">
        <f>COUNTIF(Sales_Export_2019_2020__2[order_id],Sales_Export_2019_2020__2[[#This Row],[order_id]])&gt;1</f>
        <v>0</v>
      </c>
      <c r="M977" t="str">
        <f t="shared" si="16"/>
        <v>£80,000 - £84,999</v>
      </c>
      <c r="N977" t="str" cm="1">
        <f t="array" ref="N97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77">
        <f>FLOOR(Sales_Export_2019_2020__2[[#This Row],[order_value_GBP]],5000)</f>
        <v>80000</v>
      </c>
    </row>
    <row r="978" spans="1:15" x14ac:dyDescent="0.35">
      <c r="A978" t="s">
        <v>10</v>
      </c>
      <c r="B978" s="2">
        <v>133055.04000000001</v>
      </c>
      <c r="C978" s="2">
        <v>105366.29</v>
      </c>
      <c r="D978" s="1">
        <v>43779</v>
      </c>
      <c r="E978" t="s">
        <v>11</v>
      </c>
      <c r="F978" t="s">
        <v>166</v>
      </c>
      <c r="G978" t="s">
        <v>13</v>
      </c>
      <c r="H978" t="s">
        <v>170</v>
      </c>
      <c r="I978" t="s">
        <v>28</v>
      </c>
      <c r="J978" t="s">
        <v>1139</v>
      </c>
      <c r="K978" s="2">
        <f>Sales_Export_2019_2020__2[[#This Row],[order_value_GBP]]-Sales_Export_2019_2020__2[[#This Row],[ cost ]]</f>
        <v>27688.750000000015</v>
      </c>
      <c r="L978" t="b">
        <f>COUNTIF(Sales_Export_2019_2020__2[order_id],Sales_Export_2019_2020__2[[#This Row],[order_id]])&gt;1</f>
        <v>0</v>
      </c>
      <c r="M978" t="str">
        <f t="shared" si="16"/>
        <v>£130,000 - £134,999</v>
      </c>
      <c r="N978" t="str" cm="1">
        <f t="array" ref="N97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78">
        <f>FLOOR(Sales_Export_2019_2020__2[[#This Row],[order_value_GBP]],5000)</f>
        <v>130000</v>
      </c>
    </row>
    <row r="979" spans="1:15" x14ac:dyDescent="0.35">
      <c r="A979" t="s">
        <v>10</v>
      </c>
      <c r="B979" s="2">
        <v>94115.99</v>
      </c>
      <c r="C979" s="2">
        <v>75669.259999999995</v>
      </c>
      <c r="D979" s="1">
        <v>43724</v>
      </c>
      <c r="E979" t="s">
        <v>51</v>
      </c>
      <c r="F979" t="s">
        <v>58</v>
      </c>
      <c r="G979" t="s">
        <v>13</v>
      </c>
      <c r="H979" t="s">
        <v>170</v>
      </c>
      <c r="I979" t="s">
        <v>28</v>
      </c>
      <c r="J979" t="s">
        <v>1140</v>
      </c>
      <c r="K979" s="2">
        <f>Sales_Export_2019_2020__2[[#This Row],[order_value_GBP]]-Sales_Export_2019_2020__2[[#This Row],[ cost ]]</f>
        <v>18446.73000000001</v>
      </c>
      <c r="L979" t="b">
        <f>COUNTIF(Sales_Export_2019_2020__2[order_id],Sales_Export_2019_2020__2[[#This Row],[order_id]])&gt;1</f>
        <v>0</v>
      </c>
      <c r="M979" t="str">
        <f t="shared" si="16"/>
        <v>£90,000 - £94,999</v>
      </c>
      <c r="N979" t="str" cm="1">
        <f t="array" ref="N97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79">
        <f>FLOOR(Sales_Export_2019_2020__2[[#This Row],[order_value_GBP]],5000)</f>
        <v>90000</v>
      </c>
    </row>
    <row r="980" spans="1:15" x14ac:dyDescent="0.35">
      <c r="A980" t="s">
        <v>17</v>
      </c>
      <c r="B980" s="2">
        <v>125851.79</v>
      </c>
      <c r="C980" s="2">
        <v>103777.39</v>
      </c>
      <c r="D980" s="1">
        <v>44150</v>
      </c>
      <c r="E980" t="s">
        <v>18</v>
      </c>
      <c r="F980" t="s">
        <v>153</v>
      </c>
      <c r="G980" t="s">
        <v>20</v>
      </c>
      <c r="H980" t="s">
        <v>353</v>
      </c>
      <c r="I980" t="s">
        <v>28</v>
      </c>
      <c r="J980" t="s">
        <v>1141</v>
      </c>
      <c r="K980" s="2">
        <f>Sales_Export_2019_2020__2[[#This Row],[order_value_GBP]]-Sales_Export_2019_2020__2[[#This Row],[ cost ]]</f>
        <v>22074.399999999994</v>
      </c>
      <c r="L980" t="b">
        <f>COUNTIF(Sales_Export_2019_2020__2[order_id],Sales_Export_2019_2020__2[[#This Row],[order_id]])&gt;1</f>
        <v>0</v>
      </c>
      <c r="M980" t="str">
        <f t="shared" si="16"/>
        <v>£125,000 - £129,999</v>
      </c>
      <c r="N980" t="str" cm="1">
        <f t="array" ref="N98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80">
        <f>FLOOR(Sales_Export_2019_2020__2[[#This Row],[order_value_GBP]],5000)</f>
        <v>125000</v>
      </c>
    </row>
    <row r="981" spans="1:15" x14ac:dyDescent="0.35">
      <c r="A981" t="s">
        <v>84</v>
      </c>
      <c r="B981" s="2">
        <v>60917.85</v>
      </c>
      <c r="C981" s="2">
        <v>52736.58</v>
      </c>
      <c r="D981" s="1">
        <v>43513</v>
      </c>
      <c r="E981" t="s">
        <v>60</v>
      </c>
      <c r="F981" t="s">
        <v>174</v>
      </c>
      <c r="G981" t="s">
        <v>85</v>
      </c>
      <c r="H981" t="s">
        <v>86</v>
      </c>
      <c r="I981" t="s">
        <v>28</v>
      </c>
      <c r="J981" t="s">
        <v>1142</v>
      </c>
      <c r="K981" s="2">
        <f>Sales_Export_2019_2020__2[[#This Row],[order_value_GBP]]-Sales_Export_2019_2020__2[[#This Row],[ cost ]]</f>
        <v>8181.2699999999968</v>
      </c>
      <c r="L981" t="b">
        <f>COUNTIF(Sales_Export_2019_2020__2[order_id],Sales_Export_2019_2020__2[[#This Row],[order_id]])&gt;1</f>
        <v>0</v>
      </c>
      <c r="M981" t="str">
        <f t="shared" si="16"/>
        <v>£60,000 - £64,999</v>
      </c>
      <c r="N981" t="str" cm="1">
        <f t="array" ref="N98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81">
        <f>FLOOR(Sales_Export_2019_2020__2[[#This Row],[order_value_GBP]],5000)</f>
        <v>60000</v>
      </c>
    </row>
    <row r="982" spans="1:15" x14ac:dyDescent="0.35">
      <c r="A982" t="s">
        <v>53</v>
      </c>
      <c r="B982" s="2">
        <v>101318.72</v>
      </c>
      <c r="C982" s="2">
        <v>86657.9</v>
      </c>
      <c r="D982" s="1">
        <v>43568</v>
      </c>
      <c r="E982" t="s">
        <v>18</v>
      </c>
      <c r="F982" t="s">
        <v>19</v>
      </c>
      <c r="G982" t="s">
        <v>55</v>
      </c>
      <c r="H982" t="s">
        <v>56</v>
      </c>
      <c r="I982" t="s">
        <v>28</v>
      </c>
      <c r="J982" t="s">
        <v>1143</v>
      </c>
      <c r="K982" s="2">
        <f>Sales_Export_2019_2020__2[[#This Row],[order_value_GBP]]-Sales_Export_2019_2020__2[[#This Row],[ cost ]]</f>
        <v>14660.820000000007</v>
      </c>
      <c r="L982" t="b">
        <f>COUNTIF(Sales_Export_2019_2020__2[order_id],Sales_Export_2019_2020__2[[#This Row],[order_id]])&gt;1</f>
        <v>0</v>
      </c>
      <c r="M982" t="str">
        <f t="shared" si="16"/>
        <v>£100,000 - £104,999</v>
      </c>
      <c r="N982" t="str" cm="1">
        <f t="array" ref="N98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82">
        <f>FLOOR(Sales_Export_2019_2020__2[[#This Row],[order_value_GBP]],5000)</f>
        <v>100000</v>
      </c>
    </row>
    <row r="983" spans="1:15" x14ac:dyDescent="0.35">
      <c r="A983" t="s">
        <v>23</v>
      </c>
      <c r="B983" s="2">
        <v>131610.37</v>
      </c>
      <c r="C983" s="2">
        <v>106406.98</v>
      </c>
      <c r="D983" s="1">
        <v>43951</v>
      </c>
      <c r="E983" t="s">
        <v>30</v>
      </c>
      <c r="F983" t="s">
        <v>185</v>
      </c>
      <c r="G983" t="s">
        <v>26</v>
      </c>
      <c r="H983" t="s">
        <v>76</v>
      </c>
      <c r="I983" t="s">
        <v>28</v>
      </c>
      <c r="J983" t="s">
        <v>1144</v>
      </c>
      <c r="K983" s="2">
        <f>Sales_Export_2019_2020__2[[#This Row],[order_value_GBP]]-Sales_Export_2019_2020__2[[#This Row],[ cost ]]</f>
        <v>25203.39</v>
      </c>
      <c r="L983" t="b">
        <f>COUNTIF(Sales_Export_2019_2020__2[order_id],Sales_Export_2019_2020__2[[#This Row],[order_id]])&gt;1</f>
        <v>0</v>
      </c>
      <c r="M983" t="str">
        <f t="shared" si="16"/>
        <v>£130,000 - £134,999</v>
      </c>
      <c r="N983" t="str" cm="1">
        <f t="array" ref="N98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83">
        <f>FLOOR(Sales_Export_2019_2020__2[[#This Row],[order_value_GBP]],5000)</f>
        <v>130000</v>
      </c>
    </row>
    <row r="984" spans="1:15" x14ac:dyDescent="0.35">
      <c r="A984" t="s">
        <v>53</v>
      </c>
      <c r="B984" s="2">
        <v>235042.75</v>
      </c>
      <c r="C984" s="2">
        <v>187446.59</v>
      </c>
      <c r="D984" s="1">
        <v>43824</v>
      </c>
      <c r="E984" t="s">
        <v>11</v>
      </c>
      <c r="F984" t="s">
        <v>158</v>
      </c>
      <c r="G984" t="s">
        <v>55</v>
      </c>
      <c r="H984" t="s">
        <v>56</v>
      </c>
      <c r="I984" t="s">
        <v>28</v>
      </c>
      <c r="J984" t="s">
        <v>1145</v>
      </c>
      <c r="K984" s="2">
        <f>Sales_Export_2019_2020__2[[#This Row],[order_value_GBP]]-Sales_Export_2019_2020__2[[#This Row],[ cost ]]</f>
        <v>47596.160000000003</v>
      </c>
      <c r="L984" t="b">
        <f>COUNTIF(Sales_Export_2019_2020__2[order_id],Sales_Export_2019_2020__2[[#This Row],[order_id]])&gt;1</f>
        <v>0</v>
      </c>
      <c r="M984" t="str">
        <f t="shared" si="16"/>
        <v>£235,000 - £239,999</v>
      </c>
      <c r="N984" t="str" cm="1">
        <f t="array" ref="N98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84">
        <f>FLOOR(Sales_Export_2019_2020__2[[#This Row],[order_value_GBP]],5000)</f>
        <v>235000</v>
      </c>
    </row>
    <row r="985" spans="1:15" x14ac:dyDescent="0.35">
      <c r="A985" t="s">
        <v>173</v>
      </c>
      <c r="B985" s="2">
        <v>58921.31</v>
      </c>
      <c r="C985" s="2">
        <v>51715.23</v>
      </c>
      <c r="D985" s="1">
        <v>44178</v>
      </c>
      <c r="E985" t="s">
        <v>18</v>
      </c>
      <c r="F985" t="s">
        <v>35</v>
      </c>
      <c r="G985" t="s">
        <v>175</v>
      </c>
      <c r="H985" t="s">
        <v>176</v>
      </c>
      <c r="I985" t="s">
        <v>28</v>
      </c>
      <c r="J985" t="s">
        <v>1146</v>
      </c>
      <c r="K985" s="2">
        <f>Sales_Export_2019_2020__2[[#This Row],[order_value_GBP]]-Sales_Export_2019_2020__2[[#This Row],[ cost ]]</f>
        <v>7206.0799999999945</v>
      </c>
      <c r="L985" t="b">
        <f>COUNTIF(Sales_Export_2019_2020__2[order_id],Sales_Export_2019_2020__2[[#This Row],[order_id]])&gt;1</f>
        <v>0</v>
      </c>
      <c r="M985" t="str">
        <f t="shared" si="16"/>
        <v>£55,000 - £59,999</v>
      </c>
      <c r="N985" t="str" cm="1">
        <f t="array" ref="N98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85">
        <f>FLOOR(Sales_Export_2019_2020__2[[#This Row],[order_value_GBP]],5000)</f>
        <v>55000</v>
      </c>
    </row>
    <row r="986" spans="1:15" x14ac:dyDescent="0.35">
      <c r="A986" t="s">
        <v>23</v>
      </c>
      <c r="B986" s="2">
        <v>101846.87</v>
      </c>
      <c r="C986" s="2">
        <v>88066.99</v>
      </c>
      <c r="D986" s="1">
        <v>43472</v>
      </c>
      <c r="E986" t="s">
        <v>24</v>
      </c>
      <c r="F986" t="s">
        <v>254</v>
      </c>
      <c r="G986" t="s">
        <v>26</v>
      </c>
      <c r="H986" t="s">
        <v>32</v>
      </c>
      <c r="I986" t="s">
        <v>28</v>
      </c>
      <c r="J986" t="s">
        <v>1147</v>
      </c>
      <c r="K986" s="2">
        <f>Sales_Export_2019_2020__2[[#This Row],[order_value_GBP]]-Sales_Export_2019_2020__2[[#This Row],[ cost ]]</f>
        <v>13779.87999999999</v>
      </c>
      <c r="L986" t="b">
        <f>COUNTIF(Sales_Export_2019_2020__2[order_id],Sales_Export_2019_2020__2[[#This Row],[order_id]])&gt;1</f>
        <v>0</v>
      </c>
      <c r="M986" t="str">
        <f t="shared" si="16"/>
        <v>£100,000 - £104,999</v>
      </c>
      <c r="N986" t="str" cm="1">
        <f t="array" ref="N98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86">
        <f>FLOOR(Sales_Export_2019_2020__2[[#This Row],[order_value_GBP]],5000)</f>
        <v>100000</v>
      </c>
    </row>
    <row r="987" spans="1:15" x14ac:dyDescent="0.35">
      <c r="A987" t="s">
        <v>53</v>
      </c>
      <c r="B987" s="2">
        <v>95307.21</v>
      </c>
      <c r="C987" s="2">
        <v>78533.14</v>
      </c>
      <c r="D987" s="1">
        <v>43916</v>
      </c>
      <c r="E987" t="s">
        <v>11</v>
      </c>
      <c r="F987" t="s">
        <v>97</v>
      </c>
      <c r="G987" t="s">
        <v>55</v>
      </c>
      <c r="H987" t="s">
        <v>72</v>
      </c>
      <c r="I987" t="s">
        <v>28</v>
      </c>
      <c r="J987" t="s">
        <v>1148</v>
      </c>
      <c r="K987" s="2">
        <f>Sales_Export_2019_2020__2[[#This Row],[order_value_GBP]]-Sales_Export_2019_2020__2[[#This Row],[ cost ]]</f>
        <v>16774.070000000007</v>
      </c>
      <c r="L987" t="b">
        <f>COUNTIF(Sales_Export_2019_2020__2[order_id],Sales_Export_2019_2020__2[[#This Row],[order_id]])&gt;1</f>
        <v>0</v>
      </c>
      <c r="M987" t="str">
        <f t="shared" si="16"/>
        <v>£95,000 - £99,999</v>
      </c>
      <c r="N987" t="str" cm="1">
        <f t="array" ref="N98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87">
        <f>FLOOR(Sales_Export_2019_2020__2[[#This Row],[order_value_GBP]],5000)</f>
        <v>95000</v>
      </c>
    </row>
    <row r="988" spans="1:15" x14ac:dyDescent="0.35">
      <c r="A988" t="s">
        <v>53</v>
      </c>
      <c r="B988" s="2">
        <v>232217.05</v>
      </c>
      <c r="C988" s="2">
        <v>191439.74</v>
      </c>
      <c r="D988" s="1">
        <v>43636</v>
      </c>
      <c r="E988" t="s">
        <v>30</v>
      </c>
      <c r="F988" t="s">
        <v>31</v>
      </c>
      <c r="G988" t="s">
        <v>55</v>
      </c>
      <c r="H988" t="s">
        <v>56</v>
      </c>
      <c r="I988" t="s">
        <v>15</v>
      </c>
      <c r="J988" t="s">
        <v>1149</v>
      </c>
      <c r="K988" s="2">
        <f>Sales_Export_2019_2020__2[[#This Row],[order_value_GBP]]-Sales_Export_2019_2020__2[[#This Row],[ cost ]]</f>
        <v>40777.31</v>
      </c>
      <c r="L988" t="b">
        <f>COUNTIF(Sales_Export_2019_2020__2[order_id],Sales_Export_2019_2020__2[[#This Row],[order_id]])&gt;1</f>
        <v>0</v>
      </c>
      <c r="M988" t="str">
        <f t="shared" si="16"/>
        <v>£230,000 - £234,999</v>
      </c>
      <c r="N988" t="str" cm="1">
        <f t="array" ref="N98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Large</v>
      </c>
      <c r="O988">
        <f>FLOOR(Sales_Export_2019_2020__2[[#This Row],[order_value_GBP]],5000)</f>
        <v>230000</v>
      </c>
    </row>
    <row r="989" spans="1:15" x14ac:dyDescent="0.35">
      <c r="A989" t="s">
        <v>23</v>
      </c>
      <c r="B989" s="2">
        <v>75912.59</v>
      </c>
      <c r="C989" s="2">
        <v>60145.55</v>
      </c>
      <c r="D989" s="1">
        <v>43752</v>
      </c>
      <c r="E989" t="s">
        <v>62</v>
      </c>
      <c r="F989" t="s">
        <v>64</v>
      </c>
      <c r="G989" t="s">
        <v>26</v>
      </c>
      <c r="H989" t="s">
        <v>76</v>
      </c>
      <c r="I989" t="s">
        <v>15</v>
      </c>
      <c r="J989" t="s">
        <v>1150</v>
      </c>
      <c r="K989" s="2">
        <f>Sales_Export_2019_2020__2[[#This Row],[order_value_GBP]]-Sales_Export_2019_2020__2[[#This Row],[ cost ]]</f>
        <v>15767.039999999994</v>
      </c>
      <c r="L989" t="b">
        <f>COUNTIF(Sales_Export_2019_2020__2[order_id],Sales_Export_2019_2020__2[[#This Row],[order_id]])&gt;1</f>
        <v>0</v>
      </c>
      <c r="M989" t="str">
        <f t="shared" si="16"/>
        <v>£75,000 - £79,999</v>
      </c>
      <c r="N989" t="str" cm="1">
        <f t="array" ref="N98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89">
        <f>FLOOR(Sales_Export_2019_2020__2[[#This Row],[order_value_GBP]],5000)</f>
        <v>75000</v>
      </c>
    </row>
    <row r="990" spans="1:15" x14ac:dyDescent="0.35">
      <c r="A990" t="s">
        <v>23</v>
      </c>
      <c r="B990" s="2">
        <v>57367.93</v>
      </c>
      <c r="C990" s="2">
        <v>46255.76</v>
      </c>
      <c r="D990" s="1">
        <v>43766</v>
      </c>
      <c r="E990" t="s">
        <v>24</v>
      </c>
      <c r="F990" t="s">
        <v>114</v>
      </c>
      <c r="G990" t="s">
        <v>26</v>
      </c>
      <c r="H990" t="s">
        <v>32</v>
      </c>
      <c r="I990" t="s">
        <v>15</v>
      </c>
      <c r="J990" t="s">
        <v>1151</v>
      </c>
      <c r="K990" s="2">
        <f>Sales_Export_2019_2020__2[[#This Row],[order_value_GBP]]-Sales_Export_2019_2020__2[[#This Row],[ cost ]]</f>
        <v>11112.169999999998</v>
      </c>
      <c r="L990" t="b">
        <f>COUNTIF(Sales_Export_2019_2020__2[order_id],Sales_Export_2019_2020__2[[#This Row],[order_id]])&gt;1</f>
        <v>0</v>
      </c>
      <c r="M990" t="str">
        <f t="shared" si="16"/>
        <v>£55,000 - £59,999</v>
      </c>
      <c r="N990" t="str" cm="1">
        <f t="array" ref="N99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90">
        <f>FLOOR(Sales_Export_2019_2020__2[[#This Row],[order_value_GBP]],5000)</f>
        <v>55000</v>
      </c>
    </row>
    <row r="991" spans="1:15" x14ac:dyDescent="0.35">
      <c r="A991" t="s">
        <v>23</v>
      </c>
      <c r="B991" s="2">
        <v>158240.24</v>
      </c>
      <c r="C991" s="2">
        <v>136561.32999999999</v>
      </c>
      <c r="D991" s="1">
        <v>44158</v>
      </c>
      <c r="E991" t="s">
        <v>11</v>
      </c>
      <c r="F991" t="s">
        <v>31</v>
      </c>
      <c r="G991" t="s">
        <v>26</v>
      </c>
      <c r="H991" t="s">
        <v>219</v>
      </c>
      <c r="I991" t="s">
        <v>28</v>
      </c>
      <c r="J991" t="s">
        <v>1152</v>
      </c>
      <c r="K991" s="2">
        <f>Sales_Export_2019_2020__2[[#This Row],[order_value_GBP]]-Sales_Export_2019_2020__2[[#This Row],[ cost ]]</f>
        <v>21678.910000000003</v>
      </c>
      <c r="L991" t="b">
        <f>COUNTIF(Sales_Export_2019_2020__2[order_id],Sales_Export_2019_2020__2[[#This Row],[order_id]])&gt;1</f>
        <v>0</v>
      </c>
      <c r="M991" t="str">
        <f t="shared" si="16"/>
        <v>£155,000 - £159,999</v>
      </c>
      <c r="N991" t="str" cm="1">
        <f t="array" ref="N99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91">
        <f>FLOOR(Sales_Export_2019_2020__2[[#This Row],[order_value_GBP]],5000)</f>
        <v>155000</v>
      </c>
    </row>
    <row r="992" spans="1:15" x14ac:dyDescent="0.35">
      <c r="A992" t="s">
        <v>23</v>
      </c>
      <c r="B992" s="2">
        <v>97291.62</v>
      </c>
      <c r="C992" s="2">
        <v>76899.3</v>
      </c>
      <c r="D992" s="1">
        <v>43832</v>
      </c>
      <c r="E992" t="s">
        <v>24</v>
      </c>
      <c r="F992" t="s">
        <v>35</v>
      </c>
      <c r="G992" t="s">
        <v>26</v>
      </c>
      <c r="H992" t="s">
        <v>90</v>
      </c>
      <c r="I992" t="s">
        <v>28</v>
      </c>
      <c r="J992" t="s">
        <v>1153</v>
      </c>
      <c r="K992" s="2">
        <f>Sales_Export_2019_2020__2[[#This Row],[order_value_GBP]]-Sales_Export_2019_2020__2[[#This Row],[ cost ]]</f>
        <v>20392.319999999992</v>
      </c>
      <c r="L992" t="b">
        <f>COUNTIF(Sales_Export_2019_2020__2[order_id],Sales_Export_2019_2020__2[[#This Row],[order_id]])&gt;1</f>
        <v>0</v>
      </c>
      <c r="M992" t="str">
        <f t="shared" si="16"/>
        <v>£95,000 - £99,999</v>
      </c>
      <c r="N992" t="str" cm="1">
        <f t="array" ref="N992">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92">
        <f>FLOOR(Sales_Export_2019_2020__2[[#This Row],[order_value_GBP]],5000)</f>
        <v>95000</v>
      </c>
    </row>
    <row r="993" spans="1:15" x14ac:dyDescent="0.35">
      <c r="A993" t="s">
        <v>23</v>
      </c>
      <c r="B993" s="2">
        <v>83904.320000000007</v>
      </c>
      <c r="C993" s="2">
        <v>69011.3</v>
      </c>
      <c r="D993" s="1">
        <v>43989</v>
      </c>
      <c r="E993" t="s">
        <v>18</v>
      </c>
      <c r="F993" t="s">
        <v>434</v>
      </c>
      <c r="G993" t="s">
        <v>26</v>
      </c>
      <c r="H993" t="s">
        <v>76</v>
      </c>
      <c r="I993" t="s">
        <v>28</v>
      </c>
      <c r="J993" t="s">
        <v>1154</v>
      </c>
      <c r="K993" s="2">
        <f>Sales_Export_2019_2020__2[[#This Row],[order_value_GBP]]-Sales_Export_2019_2020__2[[#This Row],[ cost ]]</f>
        <v>14893.020000000004</v>
      </c>
      <c r="L993" t="b">
        <f>COUNTIF(Sales_Export_2019_2020__2[order_id],Sales_Export_2019_2020__2[[#This Row],[order_id]])&gt;1</f>
        <v>0</v>
      </c>
      <c r="M993" t="str">
        <f t="shared" si="16"/>
        <v>£80,000 - £84,999</v>
      </c>
      <c r="N993" t="str" cm="1">
        <f t="array" ref="N993">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93">
        <f>FLOOR(Sales_Export_2019_2020__2[[#This Row],[order_value_GBP]],5000)</f>
        <v>80000</v>
      </c>
    </row>
    <row r="994" spans="1:15" x14ac:dyDescent="0.35">
      <c r="A994" t="s">
        <v>45</v>
      </c>
      <c r="B994" s="2">
        <v>133696.85999999999</v>
      </c>
      <c r="C994" s="2">
        <v>109310.55</v>
      </c>
      <c r="D994" s="1">
        <v>43857</v>
      </c>
      <c r="E994" t="s">
        <v>11</v>
      </c>
      <c r="F994" t="s">
        <v>19</v>
      </c>
      <c r="G994" t="s">
        <v>48</v>
      </c>
      <c r="H994" t="s">
        <v>49</v>
      </c>
      <c r="I994" t="s">
        <v>28</v>
      </c>
      <c r="J994" t="s">
        <v>1155</v>
      </c>
      <c r="K994" s="2">
        <f>Sales_Export_2019_2020__2[[#This Row],[order_value_GBP]]-Sales_Export_2019_2020__2[[#This Row],[ cost ]]</f>
        <v>24386.309999999983</v>
      </c>
      <c r="L994" t="b">
        <f>COUNTIF(Sales_Export_2019_2020__2[order_id],Sales_Export_2019_2020__2[[#This Row],[order_id]])&gt;1</f>
        <v>0</v>
      </c>
      <c r="M994" t="str">
        <f t="shared" si="16"/>
        <v>£130,000 - £134,999</v>
      </c>
      <c r="N994" t="str" cm="1">
        <f t="array" ref="N994">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94">
        <f>FLOOR(Sales_Export_2019_2020__2[[#This Row],[order_value_GBP]],5000)</f>
        <v>130000</v>
      </c>
    </row>
    <row r="995" spans="1:15" x14ac:dyDescent="0.35">
      <c r="A995" t="s">
        <v>45</v>
      </c>
      <c r="B995" s="2">
        <v>146076.81</v>
      </c>
      <c r="C995" s="2">
        <v>123230.39999999999</v>
      </c>
      <c r="D995" s="1">
        <v>43673</v>
      </c>
      <c r="E995" t="s">
        <v>51</v>
      </c>
      <c r="F995" t="s">
        <v>35</v>
      </c>
      <c r="G995" t="s">
        <v>48</v>
      </c>
      <c r="H995" t="s">
        <v>66</v>
      </c>
      <c r="I995" t="s">
        <v>28</v>
      </c>
      <c r="J995" t="s">
        <v>1156</v>
      </c>
      <c r="K995" s="2">
        <f>Sales_Export_2019_2020__2[[#This Row],[order_value_GBP]]-Sales_Export_2019_2020__2[[#This Row],[ cost ]]</f>
        <v>22846.410000000003</v>
      </c>
      <c r="L995" t="b">
        <f>COUNTIF(Sales_Export_2019_2020__2[order_id],Sales_Export_2019_2020__2[[#This Row],[order_id]])&gt;1</f>
        <v>0</v>
      </c>
      <c r="M995" t="str">
        <f t="shared" si="16"/>
        <v>£145,000 - £149,999</v>
      </c>
      <c r="N995" t="str" cm="1">
        <f t="array" ref="N995">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95">
        <f>FLOOR(Sales_Export_2019_2020__2[[#This Row],[order_value_GBP]],5000)</f>
        <v>145000</v>
      </c>
    </row>
    <row r="996" spans="1:15" x14ac:dyDescent="0.35">
      <c r="A996" t="s">
        <v>53</v>
      </c>
      <c r="B996" s="2">
        <v>56118.05</v>
      </c>
      <c r="C996" s="2">
        <v>47711.57</v>
      </c>
      <c r="D996" s="1">
        <v>43892</v>
      </c>
      <c r="E996" t="s">
        <v>30</v>
      </c>
      <c r="F996" t="s">
        <v>160</v>
      </c>
      <c r="G996" t="s">
        <v>55</v>
      </c>
      <c r="H996" t="s">
        <v>72</v>
      </c>
      <c r="I996" t="s">
        <v>28</v>
      </c>
      <c r="J996" t="s">
        <v>1157</v>
      </c>
      <c r="K996" s="2">
        <f>Sales_Export_2019_2020__2[[#This Row],[order_value_GBP]]-Sales_Export_2019_2020__2[[#This Row],[ cost ]]</f>
        <v>8406.4800000000032</v>
      </c>
      <c r="L996" t="b">
        <f>COUNTIF(Sales_Export_2019_2020__2[order_id],Sales_Export_2019_2020__2[[#This Row],[order_id]])&gt;1</f>
        <v>0</v>
      </c>
      <c r="M996" t="str">
        <f t="shared" si="16"/>
        <v>£55,000 - £59,999</v>
      </c>
      <c r="N996" t="str" cm="1">
        <f t="array" ref="N996">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96">
        <f>FLOOR(Sales_Export_2019_2020__2[[#This Row],[order_value_GBP]],5000)</f>
        <v>55000</v>
      </c>
    </row>
    <row r="997" spans="1:15" x14ac:dyDescent="0.35">
      <c r="A997" t="s">
        <v>53</v>
      </c>
      <c r="B997" s="2">
        <v>46296.26</v>
      </c>
      <c r="C997" s="2">
        <v>40319.410000000003</v>
      </c>
      <c r="D997" s="1">
        <v>43966</v>
      </c>
      <c r="E997" t="s">
        <v>18</v>
      </c>
      <c r="F997" t="s">
        <v>64</v>
      </c>
      <c r="G997" t="s">
        <v>55</v>
      </c>
      <c r="H997" t="s">
        <v>72</v>
      </c>
      <c r="I997" t="s">
        <v>38</v>
      </c>
      <c r="J997" t="s">
        <v>1158</v>
      </c>
      <c r="K997" s="2">
        <f>Sales_Export_2019_2020__2[[#This Row],[order_value_GBP]]-Sales_Export_2019_2020__2[[#This Row],[ cost ]]</f>
        <v>5976.8499999999985</v>
      </c>
      <c r="L997" t="b">
        <f>COUNTIF(Sales_Export_2019_2020__2[order_id],Sales_Export_2019_2020__2[[#This Row],[order_id]])&gt;1</f>
        <v>0</v>
      </c>
      <c r="M997" t="str">
        <f t="shared" si="16"/>
        <v>£45,000 - £49,999</v>
      </c>
      <c r="N997" t="str" cm="1">
        <f t="array" ref="N997">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Small</v>
      </c>
      <c r="O997">
        <f>FLOOR(Sales_Export_2019_2020__2[[#This Row],[order_value_GBP]],5000)</f>
        <v>45000</v>
      </c>
    </row>
    <row r="998" spans="1:15" x14ac:dyDescent="0.35">
      <c r="A998" t="s">
        <v>96</v>
      </c>
      <c r="B998" s="2">
        <v>118061.05</v>
      </c>
      <c r="C998" s="2">
        <v>101131.1</v>
      </c>
      <c r="D998" s="1">
        <v>44014</v>
      </c>
      <c r="E998" t="s">
        <v>51</v>
      </c>
      <c r="F998" t="s">
        <v>35</v>
      </c>
      <c r="G998" t="s">
        <v>98</v>
      </c>
      <c r="H998" t="s">
        <v>99</v>
      </c>
      <c r="I998" t="s">
        <v>15</v>
      </c>
      <c r="J998" t="s">
        <v>1159</v>
      </c>
      <c r="K998" s="2">
        <f>Sales_Export_2019_2020__2[[#This Row],[order_value_GBP]]-Sales_Export_2019_2020__2[[#This Row],[ cost ]]</f>
        <v>16929.949999999997</v>
      </c>
      <c r="L998" t="b">
        <f>COUNTIF(Sales_Export_2019_2020__2[order_id],Sales_Export_2019_2020__2[[#This Row],[order_id]])&gt;1</f>
        <v>0</v>
      </c>
      <c r="M998" t="str">
        <f t="shared" si="16"/>
        <v>£115,000 - £119,999</v>
      </c>
      <c r="N998" t="str" cm="1">
        <f t="array" ref="N998">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98">
        <f>FLOOR(Sales_Export_2019_2020__2[[#This Row],[order_value_GBP]],5000)</f>
        <v>115000</v>
      </c>
    </row>
    <row r="999" spans="1:15" x14ac:dyDescent="0.35">
      <c r="A999" t="s">
        <v>17</v>
      </c>
      <c r="B999" s="2">
        <v>74480.56</v>
      </c>
      <c r="C999" s="2">
        <v>60023.88</v>
      </c>
      <c r="D999" s="1">
        <v>43896</v>
      </c>
      <c r="E999" t="s">
        <v>24</v>
      </c>
      <c r="F999" t="s">
        <v>341</v>
      </c>
      <c r="G999" t="s">
        <v>20</v>
      </c>
      <c r="H999" t="s">
        <v>21</v>
      </c>
      <c r="I999" t="s">
        <v>28</v>
      </c>
      <c r="J999" t="s">
        <v>1160</v>
      </c>
      <c r="K999" s="2">
        <f>Sales_Export_2019_2020__2[[#This Row],[order_value_GBP]]-Sales_Export_2019_2020__2[[#This Row],[ cost ]]</f>
        <v>14456.68</v>
      </c>
      <c r="L999" t="b">
        <f>COUNTIF(Sales_Export_2019_2020__2[order_id],Sales_Export_2019_2020__2[[#This Row],[order_id]])&gt;1</f>
        <v>0</v>
      </c>
      <c r="M999" t="str">
        <f t="shared" si="16"/>
        <v>£70,000 - £74,999</v>
      </c>
      <c r="N999" t="str" cm="1">
        <f t="array" ref="N999">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999">
        <f>FLOOR(Sales_Export_2019_2020__2[[#This Row],[order_value_GBP]],5000)</f>
        <v>70000</v>
      </c>
    </row>
    <row r="1000" spans="1:15" x14ac:dyDescent="0.35">
      <c r="A1000" t="s">
        <v>34</v>
      </c>
      <c r="B1000" s="2">
        <v>87205.01</v>
      </c>
      <c r="C1000" s="2">
        <v>69171.009999999995</v>
      </c>
      <c r="D1000" s="1">
        <v>44000</v>
      </c>
      <c r="E1000" t="s">
        <v>18</v>
      </c>
      <c r="F1000" t="s">
        <v>35</v>
      </c>
      <c r="G1000" t="s">
        <v>36</v>
      </c>
      <c r="H1000" t="s">
        <v>425</v>
      </c>
      <c r="I1000" t="s">
        <v>38</v>
      </c>
      <c r="J1000" t="s">
        <v>1161</v>
      </c>
      <c r="K1000" s="2">
        <f>Sales_Export_2019_2020__2[[#This Row],[order_value_GBP]]-Sales_Export_2019_2020__2[[#This Row],[ cost ]]</f>
        <v>18034</v>
      </c>
      <c r="L1000" t="b">
        <f>COUNTIF(Sales_Export_2019_2020__2[order_id],Sales_Export_2019_2020__2[[#This Row],[order_id]])&gt;1</f>
        <v>0</v>
      </c>
      <c r="M1000" t="str">
        <f t="shared" si="16"/>
        <v>£85,000 - £89,999</v>
      </c>
      <c r="N1000" t="str" cm="1">
        <f t="array" ref="N1000">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000">
        <f>FLOOR(Sales_Export_2019_2020__2[[#This Row],[order_value_GBP]],5000)</f>
        <v>85000</v>
      </c>
    </row>
    <row r="1001" spans="1:15" x14ac:dyDescent="0.35">
      <c r="A1001" t="s">
        <v>23</v>
      </c>
      <c r="B1001" s="2">
        <v>107716.72</v>
      </c>
      <c r="C1001" s="2">
        <v>86679.64</v>
      </c>
      <c r="D1001" s="1">
        <v>43848</v>
      </c>
      <c r="E1001" t="s">
        <v>46</v>
      </c>
      <c r="F1001" t="s">
        <v>94</v>
      </c>
      <c r="G1001" t="s">
        <v>26</v>
      </c>
      <c r="H1001" t="s">
        <v>219</v>
      </c>
      <c r="I1001" t="s">
        <v>15</v>
      </c>
      <c r="J1001" t="s">
        <v>1162</v>
      </c>
      <c r="K1001" s="2">
        <f>Sales_Export_2019_2020__2[[#This Row],[order_value_GBP]]-Sales_Export_2019_2020__2[[#This Row],[ cost ]]</f>
        <v>21037.08</v>
      </c>
      <c r="L1001" t="b">
        <f>COUNTIF(Sales_Export_2019_2020__2[order_id],Sales_Export_2019_2020__2[[#This Row],[order_id]])&gt;1</f>
        <v>0</v>
      </c>
      <c r="M1001" t="str">
        <f t="shared" si="16"/>
        <v>£105,000 - £109,999</v>
      </c>
      <c r="N1001" t="str" cm="1">
        <f t="array" ref="N1001">_xlfn.IFS(Sales_Export_2019_2020__2[[#This Row],[order_value_GBP]]&gt;Summary!$E$3+Summary!$I$4,"Large",Sales_Export_2019_2020__2[[#This Row],[order_value_GBP]]&lt;Summary!$E$3-Summary!$I$4,"Small",AND(Sales_Export_2019_2020__2[[#This Row],[order_value_GBP]]&lt;Summary!$E$3+Summary!$I$4,Sales_Export_2019_2020__2[[#This Row],[order_value_GBP]]&gt;Summary!$E$3-Summary!$I$4),"Average")</f>
        <v>Average</v>
      </c>
      <c r="O1001">
        <f>FLOOR(Sales_Export_2019_2020__2[[#This Row],[order_value_GBP]],5000)</f>
        <v>105000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4CACC-C6B8-4A14-81AD-9E0FE3C8C4C0}">
  <dimension ref="B1:X1007"/>
  <sheetViews>
    <sheetView topLeftCell="A25" zoomScale="66" workbookViewId="0">
      <selection activeCell="H41" sqref="H41"/>
    </sheetView>
  </sheetViews>
  <sheetFormatPr defaultRowHeight="14.5" x14ac:dyDescent="0.35"/>
  <cols>
    <col min="1" max="1" width="10.7265625" bestFit="1" customWidth="1"/>
    <col min="2" max="2" width="31" style="2" bestFit="1" customWidth="1"/>
    <col min="3" max="3" width="19.36328125" style="2" bestFit="1" customWidth="1"/>
    <col min="4" max="4" width="17" bestFit="1" customWidth="1"/>
    <col min="5" max="5" width="15.453125" bestFit="1" customWidth="1"/>
    <col min="6" max="6" width="31" bestFit="1" customWidth="1"/>
    <col min="7" max="7" width="22.81640625" bestFit="1" customWidth="1"/>
    <col min="8" max="8" width="26.6328125" bestFit="1" customWidth="1"/>
    <col min="9" max="9" width="13.1796875" bestFit="1" customWidth="1"/>
    <col min="10" max="10" width="15.81640625" bestFit="1" customWidth="1"/>
    <col min="11" max="11" width="11.1796875" bestFit="1" customWidth="1"/>
    <col min="12" max="12" width="15.453125" bestFit="1" customWidth="1"/>
    <col min="13" max="13" width="33.26953125" bestFit="1" customWidth="1"/>
    <col min="14" max="14" width="15.90625" bestFit="1" customWidth="1"/>
    <col min="15" max="15" width="11.453125" bestFit="1" customWidth="1"/>
    <col min="16" max="16" width="13.6328125" bestFit="1" customWidth="1"/>
    <col min="17" max="19" width="17.453125" bestFit="1" customWidth="1"/>
    <col min="20" max="20" width="15.36328125" bestFit="1" customWidth="1"/>
    <col min="21" max="30" width="17.453125" bestFit="1" customWidth="1"/>
    <col min="31" max="31" width="15.36328125" bestFit="1" customWidth="1"/>
    <col min="32" max="41" width="17.453125" bestFit="1" customWidth="1"/>
    <col min="42" max="42" width="15.36328125" bestFit="1" customWidth="1"/>
    <col min="43" max="51" width="17.453125" bestFit="1" customWidth="1"/>
    <col min="52" max="52" width="15.36328125" bestFit="1" customWidth="1"/>
    <col min="53" max="56" width="17.453125" bestFit="1" customWidth="1"/>
    <col min="57" max="57" width="15.36328125" bestFit="1" customWidth="1"/>
    <col min="58" max="60" width="17.453125" bestFit="1" customWidth="1"/>
    <col min="61" max="72" width="15.36328125" bestFit="1" customWidth="1"/>
    <col min="73" max="73" width="10.36328125" bestFit="1" customWidth="1"/>
    <col min="74" max="134" width="20" bestFit="1" customWidth="1"/>
    <col min="135" max="135" width="24.54296875" bestFit="1" customWidth="1"/>
    <col min="136" max="136" width="18.90625" bestFit="1" customWidth="1"/>
  </cols>
  <sheetData>
    <row r="1" spans="2:24" x14ac:dyDescent="0.35">
      <c r="B1"/>
      <c r="C1"/>
      <c r="D1" s="9" t="s">
        <v>1187</v>
      </c>
    </row>
    <row r="2" spans="2:24" x14ac:dyDescent="0.35">
      <c r="B2" s="9" t="s">
        <v>1208</v>
      </c>
      <c r="C2" s="10" t="s">
        <v>1209</v>
      </c>
      <c r="D2" s="9" t="s">
        <v>1210</v>
      </c>
      <c r="E2" s="2" t="s">
        <v>1211</v>
      </c>
      <c r="F2" s="9" t="s">
        <v>1212</v>
      </c>
      <c r="G2" t="s">
        <v>1213</v>
      </c>
      <c r="H2" s="9" t="s">
        <v>1214</v>
      </c>
      <c r="I2" t="s">
        <v>1215</v>
      </c>
      <c r="R2" s="9" t="s">
        <v>1221</v>
      </c>
      <c r="S2" s="9" t="s">
        <v>1226</v>
      </c>
      <c r="T2" s="9" t="s">
        <v>1227</v>
      </c>
      <c r="U2" s="9"/>
      <c r="W2" s="9"/>
    </row>
    <row r="3" spans="2:24" x14ac:dyDescent="0.35">
      <c r="B3" s="9" t="s">
        <v>1185</v>
      </c>
      <c r="C3" s="5">
        <f>SUM(Sales_Export_2019_2020__2[order_value_GBP])</f>
        <v>113361738.70999992</v>
      </c>
      <c r="D3" s="9" t="s">
        <v>1190</v>
      </c>
      <c r="E3" s="2">
        <f>AVERAGE(Sales_Export_2019_2020__2[order_value_GBP])</f>
        <v>113361.73870999992</v>
      </c>
      <c r="F3" s="9" t="s">
        <v>1203</v>
      </c>
      <c r="G3">
        <f>COUNTA(_xlfn.ANCHORARRAY(I9))</f>
        <v>10</v>
      </c>
      <c r="H3" s="9" t="s">
        <v>1207</v>
      </c>
      <c r="I3" t="str">
        <f>INDEX(B27:B101,MATCH(MAX($D$27:$D$101),D27:D101,0))</f>
        <v>Johns and Sons</v>
      </c>
      <c r="R3" t="str" cm="1">
        <f t="array" ref="R3:R65">_xlfn.XLOOKUP(_xlfn.ANCHORARRAY(T3),Sales_Export_2019_2020__2[Bin Floor],Sales_Export_2019_2020__2[Order Size Bin])</f>
        <v>£15,000 - £19,999</v>
      </c>
      <c r="S3" cm="1">
        <f t="array" ref="S3:S65">COUNTIFS(Sales_Export_2019_2020__2[Bin Floor],_xlfn.ANCHORARRAY(T3))</f>
        <v>12</v>
      </c>
      <c r="T3" s="11" cm="1">
        <f t="array" ref="T3:T65">_xlfn._xlws.SORT(_xlfn.UNIQUE(Sales_Export_2019_2020__2[Bin Floor]))</f>
        <v>15000</v>
      </c>
      <c r="W3" s="13"/>
    </row>
    <row r="4" spans="2:24" x14ac:dyDescent="0.35">
      <c r="B4" s="9" t="s">
        <v>1169</v>
      </c>
      <c r="C4" s="5">
        <f>SUM(Sales_Export_2019_2020__2[[ cost ]])</f>
        <v>94369310.989999935</v>
      </c>
      <c r="D4" s="9" t="s">
        <v>1191</v>
      </c>
      <c r="E4" s="2">
        <f>MAX(Sales_Export_2019_2020__2[order_value_GBP])</f>
        <v>383996.76</v>
      </c>
      <c r="F4" s="9" t="s">
        <v>1196</v>
      </c>
      <c r="G4">
        <f>COUNTA(_xlfn.ANCHORARRAY(F9))</f>
        <v>35</v>
      </c>
      <c r="H4" s="9" t="s">
        <v>1219</v>
      </c>
      <c r="I4" s="2">
        <f>_xlfn.STDEV.P(Sales_Export_2019_2020__2[order_value_GBP])</f>
        <v>61744.440281566436</v>
      </c>
      <c r="R4" t="str">
        <v>£20,000 - £24,999</v>
      </c>
      <c r="S4">
        <v>7</v>
      </c>
      <c r="T4" s="11">
        <v>20000</v>
      </c>
      <c r="W4" s="9"/>
    </row>
    <row r="5" spans="2:24" x14ac:dyDescent="0.35">
      <c r="B5" s="9" t="s">
        <v>1165</v>
      </c>
      <c r="C5" s="5">
        <f>SUM(Sales_Export_2019_2020__2[profit])</f>
        <v>18992427.719999999</v>
      </c>
      <c r="D5" s="9" t="s">
        <v>1192</v>
      </c>
      <c r="E5" s="2">
        <f>MIN(Sales_Export_2019_2020__2[order_value_GBP])</f>
        <v>15100.57</v>
      </c>
      <c r="F5" s="9" t="s">
        <v>1204</v>
      </c>
      <c r="G5">
        <f>COUNTA(_xlfn.ANCHORARRAY(B10))</f>
        <v>15</v>
      </c>
      <c r="H5" s="9" t="s">
        <v>1228</v>
      </c>
      <c r="I5" s="2">
        <f>MEDIAN(Sales_Export_2019_2020__2[order_value_GBP])</f>
        <v>105419.425</v>
      </c>
      <c r="R5" t="str">
        <v>£25,000 - £29,999</v>
      </c>
      <c r="S5">
        <v>20</v>
      </c>
      <c r="T5" s="11">
        <v>25000</v>
      </c>
      <c r="W5" s="12"/>
    </row>
    <row r="6" spans="2:24" x14ac:dyDescent="0.35">
      <c r="B6" s="9" t="s">
        <v>1188</v>
      </c>
      <c r="C6">
        <f>ROWS(_xlfn.UNIQUE(Sales_Export_2019_2020__2[order_id]))</f>
        <v>1000</v>
      </c>
      <c r="D6" s="9" t="s">
        <v>1198</v>
      </c>
      <c r="E6" s="2">
        <f>C5/C6</f>
        <v>18992.42772</v>
      </c>
      <c r="F6" s="9" t="s">
        <v>1205</v>
      </c>
      <c r="G6">
        <f>COUNTA(_xlfn.ANCHORARRAY(B27))</f>
        <v>75</v>
      </c>
      <c r="H6" s="9"/>
      <c r="R6" t="str">
        <v>£30,000 - £34,999</v>
      </c>
      <c r="S6">
        <v>19</v>
      </c>
      <c r="T6" s="11">
        <v>30000</v>
      </c>
    </row>
    <row r="7" spans="2:24" x14ac:dyDescent="0.35">
      <c r="B7" s="9"/>
      <c r="C7"/>
      <c r="D7" s="9"/>
      <c r="E7" s="2"/>
      <c r="F7" s="9"/>
      <c r="R7" t="str">
        <v>£35,000 - £39,999</v>
      </c>
      <c r="S7">
        <v>34</v>
      </c>
      <c r="T7" s="11">
        <v>35000</v>
      </c>
      <c r="W7" s="9"/>
      <c r="X7" s="9"/>
    </row>
    <row r="8" spans="2:24" x14ac:dyDescent="0.35">
      <c r="B8"/>
      <c r="C8"/>
      <c r="F8" s="9" t="s">
        <v>1170</v>
      </c>
      <c r="G8" s="9" t="s">
        <v>1194</v>
      </c>
      <c r="I8" s="9" t="s">
        <v>1193</v>
      </c>
      <c r="J8" s="9" t="s">
        <v>1197</v>
      </c>
      <c r="K8" s="9" t="s">
        <v>1199</v>
      </c>
      <c r="L8" s="9" t="s">
        <v>1201</v>
      </c>
      <c r="M8" s="9" t="s">
        <v>1200</v>
      </c>
      <c r="N8" s="9" t="s">
        <v>1219</v>
      </c>
      <c r="O8" s="9" t="s">
        <v>1220</v>
      </c>
      <c r="R8" t="str">
        <v>£40,000 - £44,999</v>
      </c>
      <c r="S8">
        <v>30</v>
      </c>
      <c r="T8" s="11">
        <v>40000</v>
      </c>
    </row>
    <row r="9" spans="2:24" x14ac:dyDescent="0.35">
      <c r="B9" s="9" t="s">
        <v>1195</v>
      </c>
      <c r="C9" s="9" t="s">
        <v>1196</v>
      </c>
      <c r="F9" t="str" cm="1">
        <f t="array" ref="F9:F43">_xlfn.UNIQUE(Sales_Export_2019_2020__2[sales_rep])</f>
        <v>Madelon Bront</v>
      </c>
      <c r="G9" t="str">
        <f>_xlfn.XLOOKUP(F9,Sales_Export_2019_2020__2[sales_rep],Sales_Export_2019_2020__2[sales_manager])</f>
        <v>Maxie Marrow</v>
      </c>
      <c r="I9" t="str" cm="1">
        <f t="array" ref="I9:I18">_xlfn.UNIQUE(Sales_Export_2019_2020__2[category])</f>
        <v>Books</v>
      </c>
      <c r="J9">
        <f>COUNTIF(Sales_Export_2019_2020__2[category],I9)</f>
        <v>117</v>
      </c>
      <c r="K9" s="2">
        <f>AVERAGEIF(Sales_Export_2019_2020__2[category],I9,Sales_Export_2019_2020__2[profit])</f>
        <v>19024.904957264956</v>
      </c>
      <c r="L9" s="2">
        <f>AVERAGEIF(Sales_Export_2019_2020__2[category],I9,Sales_Export_2019_2020__2[order_value_GBP])</f>
        <v>112649.39230769229</v>
      </c>
      <c r="M9" s="2">
        <f>AVERAGEIF(Sales_Export_2019_2020__2[category],I9,Sales_Export_2019_2020__2[[ cost ]])</f>
        <v>93624.487350427356</v>
      </c>
      <c r="N9" s="2" cm="1">
        <f t="array" ref="N9">_xlfn.STDEV.P(_xlfn._xlws.FILTER(Sales_Export_2019_2020__2[order_value_GBP],Sales_Export_2019_2020__2[category]=I9))</f>
        <v>61004.333815024729</v>
      </c>
      <c r="O9" cm="1">
        <f t="array" ref="O9">CORREL(_xlfn._xlws.FILTER(Sales_Export_2019_2020__2[order_value_GBP],Sales_Export_2019_2020__2[category]=I9),_xlfn._xlws.FILTER(Sales_Export_2019_2020__2[profit],Sales_Export_2019_2020__2[category]=I9))</f>
        <v>0.9345359264272175</v>
      </c>
      <c r="R9" t="str">
        <v>£45,000 - £49,999</v>
      </c>
      <c r="S9">
        <v>26</v>
      </c>
      <c r="T9" s="11">
        <v>45000</v>
      </c>
    </row>
    <row r="10" spans="2:24" x14ac:dyDescent="0.35">
      <c r="B10" t="str" cm="1">
        <f t="array" ref="B10:B24">_xlfn.UNIQUE(Sales_Export_2019_2020__2[sales_manager])</f>
        <v>Maxie Marrow</v>
      </c>
      <c r="C10">
        <f>COUNTIF($G$9:$G$43,B10)</f>
        <v>5</v>
      </c>
      <c r="F10" t="str">
        <v>Wat Bowkley</v>
      </c>
      <c r="G10" t="str">
        <f>_xlfn.XLOOKUP(F10,Sales_Export_2019_2020__2[sales_rep],Sales_Export_2019_2020__2[sales_manager])</f>
        <v>Hube Corey</v>
      </c>
      <c r="I10" t="str">
        <v>Games</v>
      </c>
      <c r="J10">
        <f>COUNTIF(Sales_Export_2019_2020__2[category],I10)</f>
        <v>139</v>
      </c>
      <c r="K10" s="2">
        <f>AVERAGEIF(Sales_Export_2019_2020__2[category],I10,Sales_Export_2019_2020__2[profit])</f>
        <v>18415.796906474821</v>
      </c>
      <c r="L10" s="2">
        <f>AVERAGEIF(Sales_Export_2019_2020__2[category],I10,Sales_Export_2019_2020__2[order_value_GBP])</f>
        <v>110227.50683453237</v>
      </c>
      <c r="M10" s="2">
        <f>AVERAGEIF(Sales_Export_2019_2020__2[category],I10,Sales_Export_2019_2020__2[[ cost ]])</f>
        <v>91811.709928057564</v>
      </c>
      <c r="N10" s="2" cm="1">
        <f t="array" ref="N10">_xlfn.STDEV.P(_xlfn._xlws.FILTER(Sales_Export_2019_2020__2[order_value_GBP],Sales_Export_2019_2020__2[category]=I10))</f>
        <v>57187.476127632573</v>
      </c>
      <c r="O10" cm="1">
        <f t="array" ref="O10">CORREL(_xlfn._xlws.FILTER(Sales_Export_2019_2020__2[order_value_GBP],Sales_Export_2019_2020__2[category]=I10),_xlfn._xlws.FILTER(Sales_Export_2019_2020__2[profit],Sales_Export_2019_2020__2[category]=I10))</f>
        <v>0.94782569747615597</v>
      </c>
      <c r="R10" t="str">
        <v>£50,000 - £54,999</v>
      </c>
      <c r="S10">
        <v>31</v>
      </c>
      <c r="T10" s="11">
        <v>50000</v>
      </c>
    </row>
    <row r="11" spans="2:24" x14ac:dyDescent="0.35">
      <c r="B11" t="str">
        <v>Hube Corey</v>
      </c>
      <c r="C11">
        <f t="shared" ref="C11:C24" si="0">COUNTIF($G$9:$G$43,B11)</f>
        <v>2</v>
      </c>
      <c r="F11" t="str">
        <v>Smitty Culverhouse</v>
      </c>
      <c r="G11" t="str">
        <f>_xlfn.XLOOKUP(F11,Sales_Export_2019_2020__2[sales_rep],Sales_Export_2019_2020__2[sales_manager])</f>
        <v>Celine Tumasian</v>
      </c>
      <c r="I11" t="str">
        <v>Clothing</v>
      </c>
      <c r="J11">
        <f>COUNTIF(Sales_Export_2019_2020__2[category],I11)</f>
        <v>155</v>
      </c>
      <c r="K11" s="2">
        <f>AVERAGEIF(Sales_Export_2019_2020__2[category],I11,Sales_Export_2019_2020__2[profit])</f>
        <v>18980.245741935476</v>
      </c>
      <c r="L11" s="2">
        <f>AVERAGEIF(Sales_Export_2019_2020__2[category],I11,Sales_Export_2019_2020__2[order_value_GBP])</f>
        <v>113946.33632258061</v>
      </c>
      <c r="M11" s="2">
        <f>AVERAGEIF(Sales_Export_2019_2020__2[category],I11,Sales_Export_2019_2020__2[[ cost ]])</f>
        <v>94966.090580645236</v>
      </c>
      <c r="N11" s="2" cm="1">
        <f t="array" ref="N11">_xlfn.STDEV.P(_xlfn._xlws.FILTER(Sales_Export_2019_2020__2[order_value_GBP],Sales_Export_2019_2020__2[category]=I11))</f>
        <v>64003.443335299315</v>
      </c>
      <c r="O11" cm="1">
        <f t="array" ref="O11">CORREL(_xlfn._xlws.FILTER(Sales_Export_2019_2020__2[order_value_GBP],Sales_Export_2019_2020__2[category]=I11),_xlfn._xlws.FILTER(Sales_Export_2019_2020__2[profit],Sales_Export_2019_2020__2[category]=I11))</f>
        <v>0.95203435939758951</v>
      </c>
      <c r="R11" t="str">
        <v>£55,000 - £59,999</v>
      </c>
      <c r="S11">
        <v>41</v>
      </c>
      <c r="T11" s="11">
        <v>55000</v>
      </c>
    </row>
    <row r="12" spans="2:24" x14ac:dyDescent="0.35">
      <c r="B12" t="str">
        <v>Celine Tumasian</v>
      </c>
      <c r="C12">
        <f t="shared" si="0"/>
        <v>5</v>
      </c>
      <c r="F12" t="str">
        <v>Aurelie Wren</v>
      </c>
      <c r="G12" t="str">
        <f>_xlfn.XLOOKUP(F12,Sales_Export_2019_2020__2[sales_rep],Sales_Export_2019_2020__2[sales_manager])</f>
        <v>Celine Tumasian</v>
      </c>
      <c r="I12" t="str">
        <v>Beauty</v>
      </c>
      <c r="J12">
        <f>COUNTIF(Sales_Export_2019_2020__2[category],I12)</f>
        <v>115</v>
      </c>
      <c r="K12" s="2">
        <f>AVERAGEIF(Sales_Export_2019_2020__2[category],I12,Sales_Export_2019_2020__2[profit])</f>
        <v>18421.108086956519</v>
      </c>
      <c r="L12" s="2">
        <f>AVERAGEIF(Sales_Export_2019_2020__2[category],I12,Sales_Export_2019_2020__2[order_value_GBP])</f>
        <v>109296.20765217392</v>
      </c>
      <c r="M12" s="2">
        <f>AVERAGEIF(Sales_Export_2019_2020__2[category],I12,Sales_Export_2019_2020__2[[ cost ]])</f>
        <v>90875.099565217417</v>
      </c>
      <c r="N12" s="2" cm="1">
        <f t="array" ref="N12">_xlfn.STDEV.P(_xlfn._xlws.FILTER(Sales_Export_2019_2020__2[order_value_GBP],Sales_Export_2019_2020__2[category]=I12))</f>
        <v>59060.630852584414</v>
      </c>
      <c r="O12" cm="1">
        <f t="array" ref="O12">CORREL(_xlfn._xlws.FILTER(Sales_Export_2019_2020__2[order_value_GBP],Sales_Export_2019_2020__2[category]=I12),_xlfn._xlws.FILTER(Sales_Export_2019_2020__2[profit],Sales_Export_2019_2020__2[category]=I12))</f>
        <v>0.94702136838551132</v>
      </c>
      <c r="R12" t="str">
        <v>£60,000 - £64,999</v>
      </c>
      <c r="S12">
        <v>25</v>
      </c>
      <c r="T12" s="11">
        <v>60000</v>
      </c>
    </row>
    <row r="13" spans="2:24" x14ac:dyDescent="0.35">
      <c r="B13" t="str">
        <v>Emalia Dinse</v>
      </c>
      <c r="C13">
        <f t="shared" si="0"/>
        <v>3</v>
      </c>
      <c r="F13" t="str">
        <v>Bertha Walbrook</v>
      </c>
      <c r="G13" t="str">
        <f>_xlfn.XLOOKUP(F13,Sales_Export_2019_2020__2[sales_rep],Sales_Export_2019_2020__2[sales_manager])</f>
        <v>Emalia Dinse</v>
      </c>
      <c r="I13" t="str">
        <v>Accessories</v>
      </c>
      <c r="J13">
        <f>COUNTIF(Sales_Export_2019_2020__2[category],I13)</f>
        <v>35</v>
      </c>
      <c r="K13" s="2">
        <f>AVERAGEIF(Sales_Export_2019_2020__2[category],I13,Sales_Export_2019_2020__2[profit])</f>
        <v>22397.038</v>
      </c>
      <c r="L13" s="2">
        <f>AVERAGEIF(Sales_Export_2019_2020__2[category],I13,Sales_Export_2019_2020__2[order_value_GBP])</f>
        <v>134398.01999999999</v>
      </c>
      <c r="M13" s="2">
        <f>AVERAGEIF(Sales_Export_2019_2020__2[category],I13,Sales_Export_2019_2020__2[[ cost ]])</f>
        <v>112000.98199999999</v>
      </c>
      <c r="N13" s="2" cm="1">
        <f t="array" ref="N13">_xlfn.STDEV.P(_xlfn._xlws.FILTER(Sales_Export_2019_2020__2[order_value_GBP],Sales_Export_2019_2020__2[category]=I13))</f>
        <v>63784.530394664202</v>
      </c>
      <c r="O13" cm="1">
        <f t="array" ref="O13">CORREL(_xlfn._xlws.FILTER(Sales_Export_2019_2020__2[order_value_GBP],Sales_Export_2019_2020__2[category]=I13),_xlfn._xlws.FILTER(Sales_Export_2019_2020__2[profit],Sales_Export_2019_2020__2[category]=I13))</f>
        <v>0.9239128759819889</v>
      </c>
      <c r="R13" t="str">
        <v>£65,000 - £69,999</v>
      </c>
      <c r="S13">
        <v>35</v>
      </c>
      <c r="T13" s="11">
        <v>65000</v>
      </c>
    </row>
    <row r="14" spans="2:24" x14ac:dyDescent="0.35">
      <c r="B14" t="str">
        <v>Jessamine Apark</v>
      </c>
      <c r="C14">
        <f t="shared" si="0"/>
        <v>3</v>
      </c>
      <c r="F14" t="str">
        <v>Perri Aldersley</v>
      </c>
      <c r="G14" t="str">
        <f>_xlfn.XLOOKUP(F14,Sales_Export_2019_2020__2[sales_rep],Sales_Export_2019_2020__2[sales_manager])</f>
        <v>Emalia Dinse</v>
      </c>
      <c r="I14" t="str">
        <v>Appliances</v>
      </c>
      <c r="J14">
        <f>COUNTIF(Sales_Export_2019_2020__2[category],I14)</f>
        <v>131</v>
      </c>
      <c r="K14" s="2">
        <f>AVERAGEIF(Sales_Export_2019_2020__2[category],I14,Sales_Export_2019_2020__2[profit])</f>
        <v>19350.22396946566</v>
      </c>
      <c r="L14" s="2">
        <f>AVERAGEIF(Sales_Export_2019_2020__2[category],I14,Sales_Export_2019_2020__2[order_value_GBP])</f>
        <v>115569.99030534354</v>
      </c>
      <c r="M14" s="2">
        <f>AVERAGEIF(Sales_Export_2019_2020__2[category],I14,Sales_Export_2019_2020__2[[ cost ]])</f>
        <v>96219.766335877881</v>
      </c>
      <c r="N14" s="2" cm="1">
        <f t="array" ref="N14">_xlfn.STDEV.P(_xlfn._xlws.FILTER(Sales_Export_2019_2020__2[order_value_GBP],Sales_Export_2019_2020__2[category]=I14))</f>
        <v>62639.062959380753</v>
      </c>
      <c r="O14" cm="1">
        <f t="array" ref="O14">CORREL(_xlfn._xlws.FILTER(Sales_Export_2019_2020__2[order_value_GBP],Sales_Export_2019_2020__2[category]=I14),_xlfn._xlws.FILTER(Sales_Export_2019_2020__2[profit],Sales_Export_2019_2020__2[category]=I14))</f>
        <v>0.954610710903816</v>
      </c>
      <c r="R14" t="str">
        <v>£70,000 - £74,999</v>
      </c>
      <c r="S14">
        <v>29</v>
      </c>
      <c r="T14" s="11">
        <v>70000</v>
      </c>
    </row>
    <row r="15" spans="2:24" x14ac:dyDescent="0.35">
      <c r="B15" t="str">
        <v>Othello Bowes</v>
      </c>
      <c r="C15">
        <f t="shared" si="0"/>
        <v>5</v>
      </c>
      <c r="F15" t="str">
        <v>Winny Agnolo</v>
      </c>
      <c r="G15" t="str">
        <f>_xlfn.XLOOKUP(F15,Sales_Export_2019_2020__2[sales_rep],Sales_Export_2019_2020__2[sales_manager])</f>
        <v>Jessamine Apark</v>
      </c>
      <c r="I15" t="str">
        <v>Smartphones</v>
      </c>
      <c r="J15">
        <f>COUNTIF(Sales_Export_2019_2020__2[category],I15)</f>
        <v>95</v>
      </c>
      <c r="K15" s="2">
        <f>AVERAGEIF(Sales_Export_2019_2020__2[category],I15,Sales_Export_2019_2020__2[profit])</f>
        <v>19164.712210526319</v>
      </c>
      <c r="L15" s="2">
        <f>AVERAGEIF(Sales_Export_2019_2020__2[category],I15,Sales_Export_2019_2020__2[order_value_GBP])</f>
        <v>116859.52273684207</v>
      </c>
      <c r="M15" s="2">
        <f>AVERAGEIF(Sales_Export_2019_2020__2[category],I15,Sales_Export_2019_2020__2[[ cost ]])</f>
        <v>97694.810526315807</v>
      </c>
      <c r="N15" s="2" cm="1">
        <f t="array" ref="N15">_xlfn.STDEV.P(_xlfn._xlws.FILTER(Sales_Export_2019_2020__2[order_value_GBP],Sales_Export_2019_2020__2[category]=I15))</f>
        <v>62201.289580577875</v>
      </c>
      <c r="O15" cm="1">
        <f t="array" ref="O15">CORREL(_xlfn._xlws.FILTER(Sales_Export_2019_2020__2[order_value_GBP],Sales_Export_2019_2020__2[category]=I15),_xlfn._xlws.FILTER(Sales_Export_2019_2020__2[profit],Sales_Export_2019_2020__2[category]=I15))</f>
        <v>0.94130650591826126</v>
      </c>
      <c r="R15" t="str">
        <v>£75,000 - £79,999</v>
      </c>
      <c r="S15">
        <v>35</v>
      </c>
      <c r="T15" s="11">
        <v>75000</v>
      </c>
    </row>
    <row r="16" spans="2:24" x14ac:dyDescent="0.35">
      <c r="B16" t="str">
        <v>Denice Amberg</v>
      </c>
      <c r="C16">
        <f t="shared" si="0"/>
        <v>1</v>
      </c>
      <c r="F16" t="str">
        <v>Maighdiln Upcraft</v>
      </c>
      <c r="G16" t="str">
        <f>_xlfn.XLOOKUP(F16,Sales_Export_2019_2020__2[sales_rep],Sales_Export_2019_2020__2[sales_manager])</f>
        <v>Othello Bowes</v>
      </c>
      <c r="I16" t="str">
        <v>Outdoors</v>
      </c>
      <c r="J16">
        <f>COUNTIF(Sales_Export_2019_2020__2[category],I16)</f>
        <v>50</v>
      </c>
      <c r="K16" s="2">
        <f>AVERAGEIF(Sales_Export_2019_2020__2[category],I16,Sales_Export_2019_2020__2[profit])</f>
        <v>21135.250199999991</v>
      </c>
      <c r="L16" s="2">
        <f>AVERAGEIF(Sales_Export_2019_2020__2[category],I16,Sales_Export_2019_2020__2[order_value_GBP])</f>
        <v>118781.50880000001</v>
      </c>
      <c r="M16" s="2">
        <f>AVERAGEIF(Sales_Export_2019_2020__2[category],I16,Sales_Export_2019_2020__2[[ cost ]])</f>
        <v>97646.258600000001</v>
      </c>
      <c r="N16" s="2" cm="1">
        <f t="array" ref="N16">_xlfn.STDEV.P(_xlfn._xlws.FILTER(Sales_Export_2019_2020__2[order_value_GBP],Sales_Export_2019_2020__2[category]=I16))</f>
        <v>58577.396835415188</v>
      </c>
      <c r="O16" cm="1">
        <f t="array" ref="O16">CORREL(_xlfn._xlws.FILTER(Sales_Export_2019_2020__2[order_value_GBP],Sales_Export_2019_2020__2[category]=I16),_xlfn._xlws.FILTER(Sales_Export_2019_2020__2[profit],Sales_Export_2019_2020__2[category]=I16))</f>
        <v>0.96207249387371174</v>
      </c>
      <c r="R16" t="str">
        <v>£80,000 - £84,999</v>
      </c>
      <c r="S16">
        <v>38</v>
      </c>
      <c r="T16" s="11">
        <v>80000</v>
      </c>
    </row>
    <row r="17" spans="2:20" x14ac:dyDescent="0.35">
      <c r="B17" t="str">
        <v>Lambert Norheny</v>
      </c>
      <c r="C17">
        <f t="shared" si="0"/>
        <v>1</v>
      </c>
      <c r="F17" t="str">
        <v>Genevra Charrisson</v>
      </c>
      <c r="G17" t="str">
        <f>_xlfn.XLOOKUP(F17,Sales_Export_2019_2020__2[sales_rep],Sales_Export_2019_2020__2[sales_manager])</f>
        <v>Jessamine Apark</v>
      </c>
      <c r="I17" t="str">
        <v>Electronics</v>
      </c>
      <c r="J17">
        <f>COUNTIF(Sales_Export_2019_2020__2[category],I17)</f>
        <v>134</v>
      </c>
      <c r="K17" s="2">
        <f>AVERAGEIF(Sales_Export_2019_2020__2[category],I17,Sales_Export_2019_2020__2[profit])</f>
        <v>17918.902985074626</v>
      </c>
      <c r="L17" s="2">
        <f>AVERAGEIF(Sales_Export_2019_2020__2[category],I17,Sales_Export_2019_2020__2[order_value_GBP])</f>
        <v>108075.206119403</v>
      </c>
      <c r="M17" s="2">
        <f>AVERAGEIF(Sales_Export_2019_2020__2[category],I17,Sales_Export_2019_2020__2[[ cost ]])</f>
        <v>90156.303134328322</v>
      </c>
      <c r="N17" s="2" cm="1">
        <f t="array" ref="N17">_xlfn.STDEV.P(_xlfn._xlws.FILTER(Sales_Export_2019_2020__2[order_value_GBP],Sales_Export_2019_2020__2[category]=I17))</f>
        <v>57277.623111048531</v>
      </c>
      <c r="O17" cm="1">
        <f t="array" ref="O17">CORREL(_xlfn._xlws.FILTER(Sales_Export_2019_2020__2[order_value_GBP],Sales_Export_2019_2020__2[category]=I17),_xlfn._xlws.FILTER(Sales_Export_2019_2020__2[profit],Sales_Export_2019_2020__2[category]=I17))</f>
        <v>0.95132378961008934</v>
      </c>
      <c r="R17" t="str">
        <v>£85,000 - £89,999</v>
      </c>
      <c r="S17">
        <v>37</v>
      </c>
      <c r="T17" s="11">
        <v>85000</v>
      </c>
    </row>
    <row r="18" spans="2:20" x14ac:dyDescent="0.35">
      <c r="B18" t="str">
        <v>Charil Alpe</v>
      </c>
      <c r="C18">
        <f t="shared" si="0"/>
        <v>2</v>
      </c>
      <c r="F18" t="str">
        <v>Anita Woakes</v>
      </c>
      <c r="G18" t="str">
        <f>_xlfn.XLOOKUP(F18,Sales_Export_2019_2020__2[sales_rep],Sales_Export_2019_2020__2[sales_manager])</f>
        <v>Maxie Marrow</v>
      </c>
      <c r="I18" t="str">
        <v>Other</v>
      </c>
      <c r="J18">
        <f>COUNTIF(Sales_Export_2019_2020__2[category],I18)</f>
        <v>29</v>
      </c>
      <c r="K18" s="2">
        <f>AVERAGEIF(Sales_Export_2019_2020__2[category],I18,Sales_Export_2019_2020__2[profit])</f>
        <v>18932.196896551723</v>
      </c>
      <c r="L18" s="2">
        <f>AVERAGEIF(Sales_Export_2019_2020__2[category],I18,Sales_Export_2019_2020__2[order_value_GBP])</f>
        <v>112516.66206896554</v>
      </c>
      <c r="M18" s="2">
        <f>AVERAGEIF(Sales_Export_2019_2020__2[category],I18,Sales_Export_2019_2020__2[[ cost ]])</f>
        <v>93584.465172413751</v>
      </c>
      <c r="N18" s="2" cm="1">
        <f t="array" ref="N18">_xlfn.STDEV.P(_xlfn._xlws.FILTER(Sales_Export_2019_2020__2[order_value_GBP],Sales_Export_2019_2020__2[category]=I18))</f>
        <v>88131.72700600329</v>
      </c>
      <c r="O18" cm="1">
        <f t="array" ref="O18">CORREL(_xlfn._xlws.FILTER(Sales_Export_2019_2020__2[order_value_GBP],Sales_Export_2019_2020__2[category]=I18),_xlfn._xlws.FILTER(Sales_Export_2019_2020__2[profit],Sales_Export_2019_2020__2[category]=I18))</f>
        <v>0.97466058614726148</v>
      </c>
      <c r="R18" t="str">
        <v>£90,000 - £94,999</v>
      </c>
      <c r="S18">
        <v>21</v>
      </c>
      <c r="T18" s="11">
        <v>90000</v>
      </c>
    </row>
    <row r="19" spans="2:20" x14ac:dyDescent="0.35">
      <c r="B19" t="str">
        <v>Ilsa Kob</v>
      </c>
      <c r="C19">
        <f t="shared" si="0"/>
        <v>1</v>
      </c>
      <c r="F19" t="str">
        <v>Amelina Piscopiello</v>
      </c>
      <c r="G19" t="str">
        <f>_xlfn.XLOOKUP(F19,Sales_Export_2019_2020__2[sales_rep],Sales_Export_2019_2020__2[sales_manager])</f>
        <v>Othello Bowes</v>
      </c>
      <c r="R19" t="str">
        <v>£95,000 - £99,999</v>
      </c>
      <c r="S19">
        <v>33</v>
      </c>
      <c r="T19" s="11">
        <v>95000</v>
      </c>
    </row>
    <row r="20" spans="2:20" x14ac:dyDescent="0.35">
      <c r="B20" t="str">
        <v>Piggy Roscrigg</v>
      </c>
      <c r="C20">
        <f t="shared" si="0"/>
        <v>1</v>
      </c>
      <c r="F20" t="str">
        <v>Jay Morefield</v>
      </c>
      <c r="G20" t="str">
        <f>_xlfn.XLOOKUP(F20,Sales_Export_2019_2020__2[sales_rep],Sales_Export_2019_2020__2[sales_manager])</f>
        <v>Jessamine Apark</v>
      </c>
      <c r="I20" s="3" t="s">
        <v>1217</v>
      </c>
      <c r="J20" t="s">
        <v>1185</v>
      </c>
      <c r="K20" t="s">
        <v>1166</v>
      </c>
      <c r="L20" t="s">
        <v>1186</v>
      </c>
      <c r="M20" t="s">
        <v>1167</v>
      </c>
      <c r="N20" t="s">
        <v>1168</v>
      </c>
      <c r="O20" t="s">
        <v>1240</v>
      </c>
      <c r="P20" t="s">
        <v>1165</v>
      </c>
      <c r="R20" t="str">
        <v>£100,000 - £104,999</v>
      </c>
      <c r="S20">
        <v>24</v>
      </c>
      <c r="T20" s="11">
        <v>100000</v>
      </c>
    </row>
    <row r="21" spans="2:20" x14ac:dyDescent="0.35">
      <c r="B21" t="str">
        <v>Glenine Suttaby</v>
      </c>
      <c r="C21">
        <f t="shared" si="0"/>
        <v>2</v>
      </c>
      <c r="F21" t="str">
        <v>Corene Shirer</v>
      </c>
      <c r="G21" t="str">
        <f>_xlfn.XLOOKUP(F21,Sales_Export_2019_2020__2[sales_rep],Sales_Export_2019_2020__2[sales_manager])</f>
        <v>Celine Tumasian</v>
      </c>
      <c r="I21" s="4" t="s">
        <v>1171</v>
      </c>
      <c r="J21" s="14">
        <v>56617524.399999999</v>
      </c>
      <c r="K21" s="6">
        <v>490</v>
      </c>
      <c r="L21" s="7">
        <v>0.4994412139781832</v>
      </c>
      <c r="M21" s="7">
        <v>9.5294982752204827E-3</v>
      </c>
      <c r="N21" s="14">
        <v>19361.791612244899</v>
      </c>
      <c r="O21" s="7">
        <v>0.16756786861560483</v>
      </c>
      <c r="P21" s="14">
        <v>9487277.8900000006</v>
      </c>
      <c r="R21" t="str">
        <v>£105,000 - £109,999</v>
      </c>
      <c r="S21">
        <v>32</v>
      </c>
      <c r="T21" s="11">
        <v>105000</v>
      </c>
    </row>
    <row r="22" spans="2:20" x14ac:dyDescent="0.35">
      <c r="B22" t="str">
        <v>Rickard Doogood</v>
      </c>
      <c r="C22">
        <f t="shared" si="0"/>
        <v>1</v>
      </c>
      <c r="F22" t="str">
        <v>Alyosha Meah</v>
      </c>
      <c r="G22" t="str">
        <f>_xlfn.XLOOKUP(F22,Sales_Export_2019_2020__2[sales_rep],Sales_Export_2019_2020__2[sales_manager])</f>
        <v>Maxie Marrow</v>
      </c>
      <c r="I22" s="4" t="s">
        <v>1172</v>
      </c>
      <c r="J22" s="14">
        <v>56744214.310000002</v>
      </c>
      <c r="K22" s="6">
        <v>510</v>
      </c>
      <c r="L22" s="7">
        <v>0.50055878602181691</v>
      </c>
      <c r="M22" s="7">
        <v>-9.5294982752210933E-3</v>
      </c>
      <c r="N22" s="14">
        <v>18637.54868627452</v>
      </c>
      <c r="O22" s="7">
        <v>0.16750870455395342</v>
      </c>
      <c r="P22" s="14">
        <v>9505149.8300000057</v>
      </c>
      <c r="R22" t="str">
        <v>£110,000 - £114,999</v>
      </c>
      <c r="S22">
        <v>21</v>
      </c>
      <c r="T22" s="11">
        <v>110000</v>
      </c>
    </row>
    <row r="23" spans="2:20" x14ac:dyDescent="0.35">
      <c r="B23" t="str">
        <v>Modestia Byfford</v>
      </c>
      <c r="C23">
        <f t="shared" si="0"/>
        <v>2</v>
      </c>
      <c r="F23" t="str">
        <v>Nero Harbisher</v>
      </c>
      <c r="G23" t="str">
        <f>_xlfn.XLOOKUP(F23,Sales_Export_2019_2020__2[sales_rep],Sales_Export_2019_2020__2[sales_manager])</f>
        <v>Denice Amberg</v>
      </c>
      <c r="I23" s="4" t="s">
        <v>1164</v>
      </c>
      <c r="J23" s="14">
        <v>113361738.70999999</v>
      </c>
      <c r="K23" s="6">
        <v>1000</v>
      </c>
      <c r="L23" s="7">
        <v>1</v>
      </c>
      <c r="M23" s="7">
        <v>0</v>
      </c>
      <c r="N23" s="14">
        <v>18992.42772</v>
      </c>
      <c r="O23" s="7">
        <v>0.16753825352472843</v>
      </c>
      <c r="P23" s="14">
        <v>18992427.719999999</v>
      </c>
      <c r="R23" t="str">
        <v>£115,000 - £119,999</v>
      </c>
      <c r="S23">
        <v>34</v>
      </c>
      <c r="T23" s="11">
        <v>115000</v>
      </c>
    </row>
    <row r="24" spans="2:20" x14ac:dyDescent="0.35">
      <c r="B24" t="str">
        <v>Orsa Geekin</v>
      </c>
      <c r="C24">
        <f t="shared" si="0"/>
        <v>1</v>
      </c>
      <c r="F24" t="str">
        <v>Hortense Gerring</v>
      </c>
      <c r="G24" t="str">
        <f>_xlfn.XLOOKUP(F24,Sales_Export_2019_2020__2[sales_rep],Sales_Export_2019_2020__2[sales_manager])</f>
        <v>Celine Tumasian</v>
      </c>
      <c r="R24" t="str">
        <v>£120,000 - £124,999</v>
      </c>
      <c r="S24">
        <v>35</v>
      </c>
      <c r="T24" s="11">
        <v>120000</v>
      </c>
    </row>
    <row r="25" spans="2:20" x14ac:dyDescent="0.35">
      <c r="B25"/>
      <c r="C25"/>
      <c r="F25" t="str">
        <v>Collin Mackness</v>
      </c>
      <c r="G25" t="str">
        <f>_xlfn.XLOOKUP(F25,Sales_Export_2019_2020__2[sales_rep],Sales_Export_2019_2020__2[sales_manager])</f>
        <v>Lambert Norheny</v>
      </c>
      <c r="R25" t="str">
        <v>£125,000 - £129,999</v>
      </c>
      <c r="S25">
        <v>32</v>
      </c>
      <c r="T25" s="11">
        <v>125000</v>
      </c>
    </row>
    <row r="26" spans="2:20" x14ac:dyDescent="0.35">
      <c r="B26" s="9" t="s">
        <v>1202</v>
      </c>
      <c r="C26" s="9" t="s">
        <v>1190</v>
      </c>
      <c r="D26" s="9" t="s">
        <v>1206</v>
      </c>
      <c r="F26" t="str">
        <v>Shermy McGready</v>
      </c>
      <c r="G26" t="str">
        <f>_xlfn.XLOOKUP(F26,Sales_Export_2019_2020__2[sales_rep],Sales_Export_2019_2020__2[sales_manager])</f>
        <v>Charil Alpe</v>
      </c>
      <c r="R26" t="str">
        <v>£130,000 - £134,999</v>
      </c>
      <c r="S26">
        <v>24</v>
      </c>
      <c r="T26" s="11">
        <v>130000</v>
      </c>
    </row>
    <row r="27" spans="2:20" x14ac:dyDescent="0.35">
      <c r="B27" t="str" cm="1">
        <f t="array" ref="B27:B101">_xlfn.UNIQUE(Sales_Export_2019_2020__2[customer_name])</f>
        <v>Goldner-Dibbert</v>
      </c>
      <c r="C27" s="2">
        <f>AVERAGEIF(Sales_Export_2019_2020__2[customer_name],B27,Sales_Export_2019_2020__2[order_value_GBP])</f>
        <v>100941.25444444445</v>
      </c>
      <c r="D27">
        <f>COUNTIF(Sales_Export_2019_2020__2[customer_name],B27)</f>
        <v>9</v>
      </c>
      <c r="F27" t="str">
        <v>Jocelyn Laurentino</v>
      </c>
      <c r="G27" t="str">
        <f>_xlfn.XLOOKUP(F27,Sales_Export_2019_2020__2[sales_rep],Sales_Export_2019_2020__2[sales_manager])</f>
        <v>Ilsa Kob</v>
      </c>
      <c r="R27" t="str">
        <v>£135,000 - £139,999</v>
      </c>
      <c r="S27">
        <v>21</v>
      </c>
      <c r="T27" s="11">
        <v>135000</v>
      </c>
    </row>
    <row r="28" spans="2:20" x14ac:dyDescent="0.35">
      <c r="B28" t="str">
        <v>Hilll-Vandervort</v>
      </c>
      <c r="C28" s="2">
        <f>AVERAGEIF(Sales_Export_2019_2020__2[customer_name],B28,Sales_Export_2019_2020__2[order_value_GBP])</f>
        <v>114416.18312500001</v>
      </c>
      <c r="D28">
        <f>COUNTIF(Sales_Export_2019_2020__2[customer_name],B28)</f>
        <v>16</v>
      </c>
      <c r="F28" t="str">
        <v>Caro Morfield</v>
      </c>
      <c r="G28" t="str">
        <f>_xlfn.XLOOKUP(F28,Sales_Export_2019_2020__2[sales_rep],Sales_Export_2019_2020__2[sales_manager])</f>
        <v>Maxie Marrow</v>
      </c>
      <c r="R28" t="str">
        <v>£140,000 - £144,999</v>
      </c>
      <c r="S28">
        <v>22</v>
      </c>
      <c r="T28" s="11">
        <v>140000</v>
      </c>
    </row>
    <row r="29" spans="2:20" x14ac:dyDescent="0.35">
      <c r="B29" t="str">
        <v>Larkin-Collier</v>
      </c>
      <c r="C29" s="2">
        <f>AVERAGEIF(Sales_Export_2019_2020__2[customer_name],B29,Sales_Export_2019_2020__2[order_value_GBP])</f>
        <v>122216.6619047619</v>
      </c>
      <c r="D29">
        <f>COUNTIF(Sales_Export_2019_2020__2[customer_name],B29)</f>
        <v>21</v>
      </c>
      <c r="F29" t="str">
        <v>Crysta Halls</v>
      </c>
      <c r="G29" t="str">
        <f>_xlfn.XLOOKUP(F29,Sales_Export_2019_2020__2[sales_rep],Sales_Export_2019_2020__2[sales_manager])</f>
        <v>Othello Bowes</v>
      </c>
      <c r="R29" t="str">
        <v>£145,000 - £149,999</v>
      </c>
      <c r="S29">
        <v>27</v>
      </c>
      <c r="T29" s="11">
        <v>145000</v>
      </c>
    </row>
    <row r="30" spans="2:20" x14ac:dyDescent="0.35">
      <c r="B30" t="str">
        <v>Hessel-Stiedemann</v>
      </c>
      <c r="C30" s="2">
        <f>AVERAGEIF(Sales_Export_2019_2020__2[customer_name],B30,Sales_Export_2019_2020__2[order_value_GBP])</f>
        <v>118401.16145454544</v>
      </c>
      <c r="D30">
        <f>COUNTIF(Sales_Export_2019_2020__2[customer_name],B30)</f>
        <v>55</v>
      </c>
      <c r="F30" t="str">
        <v>Ora Grennan</v>
      </c>
      <c r="G30" t="str">
        <f>_xlfn.XLOOKUP(F30,Sales_Export_2019_2020__2[sales_rep],Sales_Export_2019_2020__2[sales_manager])</f>
        <v>Othello Bowes</v>
      </c>
      <c r="R30" t="str">
        <v>£150,000 - £154,999</v>
      </c>
      <c r="S30">
        <v>25</v>
      </c>
      <c r="T30" s="11">
        <v>150000</v>
      </c>
    </row>
    <row r="31" spans="2:20" x14ac:dyDescent="0.35">
      <c r="B31" t="str">
        <v>Johns and Sons</v>
      </c>
      <c r="C31" s="2">
        <f>AVERAGEIF(Sales_Export_2019_2020__2[customer_name],B31,Sales_Export_2019_2020__2[order_value_GBP])</f>
        <v>115213.07971830985</v>
      </c>
      <c r="D31">
        <f>COUNTIF(Sales_Export_2019_2020__2[customer_name],B31)</f>
        <v>142</v>
      </c>
      <c r="F31" t="str">
        <v>Joshua Prevost</v>
      </c>
      <c r="G31" t="str">
        <f>_xlfn.XLOOKUP(F31,Sales_Export_2019_2020__2[sales_rep],Sales_Export_2019_2020__2[sales_manager])</f>
        <v>Piggy Roscrigg</v>
      </c>
      <c r="R31" t="str">
        <v>£155,000 - £159,999</v>
      </c>
      <c r="S31">
        <v>24</v>
      </c>
      <c r="T31" s="11">
        <v>155000</v>
      </c>
    </row>
    <row r="32" spans="2:20" x14ac:dyDescent="0.35">
      <c r="B32" t="str">
        <v>Farrell, Swaniawski and Crist</v>
      </c>
      <c r="C32" s="2">
        <f>AVERAGEIF(Sales_Export_2019_2020__2[customer_name],B32,Sales_Export_2019_2020__2[order_value_GBP])</f>
        <v>94214.644705882354</v>
      </c>
      <c r="D32">
        <f>COUNTIF(Sales_Export_2019_2020__2[customer_name],B32)</f>
        <v>17</v>
      </c>
      <c r="F32" t="str">
        <v>Avrit Chanders</v>
      </c>
      <c r="G32" t="str">
        <f>_xlfn.XLOOKUP(F32,Sales_Export_2019_2020__2[sales_rep],Sales_Export_2019_2020__2[sales_manager])</f>
        <v>Othello Bowes</v>
      </c>
      <c r="R32" t="str">
        <v>£160,000 - £164,999</v>
      </c>
      <c r="S32">
        <v>25</v>
      </c>
      <c r="T32" s="11">
        <v>160000</v>
      </c>
    </row>
    <row r="33" spans="2:20" x14ac:dyDescent="0.35">
      <c r="B33" t="str">
        <v>Schoen-Keeling</v>
      </c>
      <c r="C33" s="2">
        <f>AVERAGEIF(Sales_Export_2019_2020__2[customer_name],B33,Sales_Export_2019_2020__2[order_value_GBP])</f>
        <v>83383.017000000007</v>
      </c>
      <c r="D33">
        <f>COUNTIF(Sales_Export_2019_2020__2[customer_name],B33)</f>
        <v>10</v>
      </c>
      <c r="F33" t="str">
        <v>Bernadine Fullagar</v>
      </c>
      <c r="G33" t="str">
        <f>_xlfn.XLOOKUP(F33,Sales_Export_2019_2020__2[sales_rep],Sales_Export_2019_2020__2[sales_manager])</f>
        <v>Charil Alpe</v>
      </c>
      <c r="R33" t="str">
        <v>£165,000 - £169,999</v>
      </c>
      <c r="S33">
        <v>26</v>
      </c>
      <c r="T33" s="11">
        <v>165000</v>
      </c>
    </row>
    <row r="34" spans="2:20" x14ac:dyDescent="0.35">
      <c r="B34" t="str">
        <v>Hermiston, Simonis and Wisoky</v>
      </c>
      <c r="C34" s="2">
        <f>AVERAGEIF(Sales_Export_2019_2020__2[customer_name],B34,Sales_Export_2019_2020__2[order_value_GBP])</f>
        <v>107191.41800000002</v>
      </c>
      <c r="D34">
        <f>COUNTIF(Sales_Export_2019_2020__2[customer_name],B34)</f>
        <v>10</v>
      </c>
      <c r="F34" t="str">
        <v>Tarrah Castelletti</v>
      </c>
      <c r="G34" t="str">
        <f>_xlfn.XLOOKUP(F34,Sales_Export_2019_2020__2[sales_rep],Sales_Export_2019_2020__2[sales_manager])</f>
        <v>Maxie Marrow</v>
      </c>
      <c r="R34" t="str">
        <v>£170,000 - £174,999</v>
      </c>
      <c r="S34">
        <v>25</v>
      </c>
      <c r="T34" s="11">
        <v>170000</v>
      </c>
    </row>
    <row r="35" spans="2:20" x14ac:dyDescent="0.35">
      <c r="B35" t="str">
        <v>Gislason-Stanton</v>
      </c>
      <c r="C35" s="2">
        <f>AVERAGEIF(Sales_Export_2019_2020__2[customer_name],B35,Sales_Export_2019_2020__2[order_value_GBP])</f>
        <v>118254.39705882352</v>
      </c>
      <c r="D35">
        <f>COUNTIF(Sales_Export_2019_2020__2[customer_name],B35)</f>
        <v>17</v>
      </c>
      <c r="F35" t="str">
        <v>Bunnie Tonbridge</v>
      </c>
      <c r="G35" t="str">
        <f>_xlfn.XLOOKUP(F35,Sales_Export_2019_2020__2[sales_rep],Sales_Export_2019_2020__2[sales_manager])</f>
        <v>Glenine Suttaby</v>
      </c>
      <c r="R35" t="str">
        <v>£175,000 - £179,999</v>
      </c>
      <c r="S35">
        <v>22</v>
      </c>
      <c r="T35" s="11">
        <v>175000</v>
      </c>
    </row>
    <row r="36" spans="2:20" x14ac:dyDescent="0.35">
      <c r="B36" t="str">
        <v>Swaniawski, Runolfsson and Green</v>
      </c>
      <c r="C36" s="2">
        <f>AVERAGEIF(Sales_Export_2019_2020__2[customer_name],B36,Sales_Export_2019_2020__2[order_value_GBP])</f>
        <v>100245.3824</v>
      </c>
      <c r="D36">
        <f>COUNTIF(Sales_Export_2019_2020__2[customer_name],B36)</f>
        <v>25</v>
      </c>
      <c r="F36" t="str">
        <v>Palm Wetherald</v>
      </c>
      <c r="G36" t="str">
        <f>_xlfn.XLOOKUP(F36,Sales_Export_2019_2020__2[sales_rep],Sales_Export_2019_2020__2[sales_manager])</f>
        <v>Glenine Suttaby</v>
      </c>
      <c r="R36" t="str">
        <v>£180,000 - £184,999</v>
      </c>
      <c r="S36">
        <v>8</v>
      </c>
      <c r="T36" s="11">
        <v>180000</v>
      </c>
    </row>
    <row r="37" spans="2:20" x14ac:dyDescent="0.35">
      <c r="B37" t="str">
        <v>Wisoky Inc</v>
      </c>
      <c r="C37" s="2">
        <f>AVERAGEIF(Sales_Export_2019_2020__2[customer_name],B37,Sales_Export_2019_2020__2[order_value_GBP])</f>
        <v>108462.5919047619</v>
      </c>
      <c r="D37">
        <f>COUNTIF(Sales_Export_2019_2020__2[customer_name],B37)</f>
        <v>21</v>
      </c>
      <c r="F37" t="str">
        <v>Casie MacBain</v>
      </c>
      <c r="G37" t="str">
        <f>_xlfn.XLOOKUP(F37,Sales_Export_2019_2020__2[sales_rep],Sales_Export_2019_2020__2[sales_manager])</f>
        <v>Rickard Doogood</v>
      </c>
      <c r="R37" t="str">
        <v>£185,000 - £189,999</v>
      </c>
      <c r="S37">
        <v>4</v>
      </c>
      <c r="T37" s="11">
        <v>185000</v>
      </c>
    </row>
    <row r="38" spans="2:20" x14ac:dyDescent="0.35">
      <c r="B38" t="str">
        <v>Tillman and Sons</v>
      </c>
      <c r="C38" s="2">
        <f>AVERAGEIF(Sales_Export_2019_2020__2[customer_name],B38,Sales_Export_2019_2020__2[order_value_GBP])</f>
        <v>99014.510952380981</v>
      </c>
      <c r="D38">
        <f>COUNTIF(Sales_Export_2019_2020__2[customer_name],B38)</f>
        <v>21</v>
      </c>
      <c r="F38" t="str">
        <v>Brynn Dempster</v>
      </c>
      <c r="G38" t="str">
        <f>_xlfn.XLOOKUP(F38,Sales_Export_2019_2020__2[sales_rep],Sales_Export_2019_2020__2[sales_manager])</f>
        <v>Celine Tumasian</v>
      </c>
      <c r="R38" t="str">
        <v>£190,000 - £194,999</v>
      </c>
      <c r="S38">
        <v>4</v>
      </c>
      <c r="T38" s="11">
        <v>190000</v>
      </c>
    </row>
    <row r="39" spans="2:20" x14ac:dyDescent="0.35">
      <c r="B39" t="str">
        <v>Rowe, Hermiston and Kessler</v>
      </c>
      <c r="C39" s="2">
        <f>AVERAGEIF(Sales_Export_2019_2020__2[customer_name],B39,Sales_Export_2019_2020__2[order_value_GBP])</f>
        <v>105114.77</v>
      </c>
      <c r="D39">
        <f>COUNTIF(Sales_Export_2019_2020__2[customer_name],B39)</f>
        <v>22</v>
      </c>
      <c r="F39" t="str">
        <v>Case Desorts</v>
      </c>
      <c r="G39" t="str">
        <f>_xlfn.XLOOKUP(F39,Sales_Export_2019_2020__2[sales_rep],Sales_Export_2019_2020__2[sales_manager])</f>
        <v>Modestia Byfford</v>
      </c>
      <c r="R39" t="str">
        <v>£195,000 - £199,999</v>
      </c>
      <c r="S39">
        <v>3</v>
      </c>
      <c r="T39" s="11">
        <v>195000</v>
      </c>
    </row>
    <row r="40" spans="2:20" x14ac:dyDescent="0.35">
      <c r="B40" t="str">
        <v>Stamm Inc</v>
      </c>
      <c r="C40" s="2">
        <f>AVERAGEIF(Sales_Export_2019_2020__2[customer_name],B40,Sales_Export_2019_2020__2[order_value_GBP])</f>
        <v>130114.32</v>
      </c>
      <c r="D40">
        <f>COUNTIF(Sales_Export_2019_2020__2[customer_name],B40)</f>
        <v>4</v>
      </c>
      <c r="F40" t="str">
        <v>Mellicent Mattys</v>
      </c>
      <c r="G40" t="str">
        <f>_xlfn.XLOOKUP(F40,Sales_Export_2019_2020__2[sales_rep],Sales_Export_2019_2020__2[sales_manager])</f>
        <v>Hube Corey</v>
      </c>
      <c r="R40" t="str">
        <v>£200,000 - £204,999</v>
      </c>
      <c r="S40">
        <v>10</v>
      </c>
      <c r="T40" s="11">
        <v>200000</v>
      </c>
    </row>
    <row r="41" spans="2:20" x14ac:dyDescent="0.35">
      <c r="B41" t="str">
        <v>Romaguera-Dietrich</v>
      </c>
      <c r="C41" s="2">
        <f>AVERAGEIF(Sales_Export_2019_2020__2[customer_name],B41,Sales_Export_2019_2020__2[order_value_GBP])</f>
        <v>121335.41999999997</v>
      </c>
      <c r="D41">
        <f>COUNTIF(Sales_Export_2019_2020__2[customer_name],B41)</f>
        <v>20</v>
      </c>
      <c r="F41" t="str">
        <v>Bank Coumbe</v>
      </c>
      <c r="G41" t="str">
        <f>_xlfn.XLOOKUP(F41,Sales_Export_2019_2020__2[sales_rep],Sales_Export_2019_2020__2[sales_manager])</f>
        <v>Orsa Geekin</v>
      </c>
      <c r="R41" t="str">
        <v>£205,000 - £209,999</v>
      </c>
      <c r="S41">
        <v>4</v>
      </c>
      <c r="T41" s="11">
        <v>205000</v>
      </c>
    </row>
    <row r="42" spans="2:20" x14ac:dyDescent="0.35">
      <c r="B42" t="str">
        <v>Franecki-White</v>
      </c>
      <c r="C42" s="2">
        <f>AVERAGEIF(Sales_Export_2019_2020__2[customer_name],B42,Sales_Export_2019_2020__2[order_value_GBP])</f>
        <v>125235.2157142857</v>
      </c>
      <c r="D42">
        <f>COUNTIF(Sales_Export_2019_2020__2[customer_name],B42)</f>
        <v>7</v>
      </c>
      <c r="F42" t="str">
        <v>Manuel Goudie</v>
      </c>
      <c r="G42" t="str">
        <f>_xlfn.XLOOKUP(F42,Sales_Export_2019_2020__2[sales_rep],Sales_Export_2019_2020__2[sales_manager])</f>
        <v>Emalia Dinse</v>
      </c>
      <c r="R42" t="str">
        <v>£210,000 - £214,999</v>
      </c>
      <c r="S42">
        <v>4</v>
      </c>
      <c r="T42" s="11">
        <v>210000</v>
      </c>
    </row>
    <row r="43" spans="2:20" x14ac:dyDescent="0.35">
      <c r="B43" t="str">
        <v>Jacobson, Marvin and Brown</v>
      </c>
      <c r="C43" s="2">
        <f>AVERAGEIF(Sales_Export_2019_2020__2[customer_name],B43,Sales_Export_2019_2020__2[order_value_GBP])</f>
        <v>155424.00142857144</v>
      </c>
      <c r="D43">
        <f>COUNTIF(Sales_Export_2019_2020__2[customer_name],B43)</f>
        <v>7</v>
      </c>
      <c r="F43" t="str">
        <v>Cobby Andersen</v>
      </c>
      <c r="G43" t="str">
        <f>_xlfn.XLOOKUP(F43,Sales_Export_2019_2020__2[sales_rep],Sales_Export_2019_2020__2[sales_manager])</f>
        <v>Modestia Byfford</v>
      </c>
      <c r="R43" t="str">
        <v>£215,000 - £219,999</v>
      </c>
      <c r="S43">
        <v>2</v>
      </c>
      <c r="T43" s="11">
        <v>215000</v>
      </c>
    </row>
    <row r="44" spans="2:20" x14ac:dyDescent="0.35">
      <c r="B44" t="str">
        <v>Armstrong-Little</v>
      </c>
      <c r="C44" s="2">
        <f>AVERAGEIF(Sales_Export_2019_2020__2[customer_name],B44,Sales_Export_2019_2020__2[order_value_GBP])</f>
        <v>108330.91947368419</v>
      </c>
      <c r="D44">
        <f>COUNTIF(Sales_Export_2019_2020__2[customer_name],B44)</f>
        <v>19</v>
      </c>
      <c r="R44" t="str">
        <v>£220,000 - £224,999</v>
      </c>
      <c r="S44">
        <v>5</v>
      </c>
      <c r="T44" s="11">
        <v>220000</v>
      </c>
    </row>
    <row r="45" spans="2:20" x14ac:dyDescent="0.35">
      <c r="B45" t="str">
        <v>Murray, Reichel and Nolan</v>
      </c>
      <c r="C45" s="2">
        <f>AVERAGEIF(Sales_Export_2019_2020__2[customer_name],B45,Sales_Export_2019_2020__2[order_value_GBP])</f>
        <v>84271.483913043499</v>
      </c>
      <c r="D45">
        <f>COUNTIF(Sales_Export_2019_2020__2[customer_name],B45)</f>
        <v>23</v>
      </c>
      <c r="R45" t="str">
        <v>£225,000 - £229,999</v>
      </c>
      <c r="S45">
        <v>4</v>
      </c>
      <c r="T45" s="11">
        <v>225000</v>
      </c>
    </row>
    <row r="46" spans="2:20" x14ac:dyDescent="0.35">
      <c r="B46" t="str">
        <v>Considine-Fisher</v>
      </c>
      <c r="C46" s="2">
        <f>AVERAGEIF(Sales_Export_2019_2020__2[customer_name],B46,Sales_Export_2019_2020__2[order_value_GBP])</f>
        <v>120611.0209090909</v>
      </c>
      <c r="D46">
        <f>COUNTIF(Sales_Export_2019_2020__2[customer_name],B46)</f>
        <v>11</v>
      </c>
      <c r="R46" t="str">
        <v>£230,000 - £234,999</v>
      </c>
      <c r="S46">
        <v>6</v>
      </c>
      <c r="T46" s="11">
        <v>230000</v>
      </c>
    </row>
    <row r="47" spans="2:20" x14ac:dyDescent="0.35">
      <c r="B47" t="str">
        <v>Kirlin and Sons</v>
      </c>
      <c r="C47" s="2">
        <f>AVERAGEIF(Sales_Export_2019_2020__2[customer_name],B47,Sales_Export_2019_2020__2[order_value_GBP])</f>
        <v>123571.40750000002</v>
      </c>
      <c r="D47">
        <f>COUNTIF(Sales_Export_2019_2020__2[customer_name],B47)</f>
        <v>12</v>
      </c>
      <c r="R47" t="str">
        <v>£235,000 - £239,999</v>
      </c>
      <c r="S47">
        <v>7</v>
      </c>
      <c r="T47" s="11">
        <v>235000</v>
      </c>
    </row>
    <row r="48" spans="2:20" x14ac:dyDescent="0.35">
      <c r="B48" t="str">
        <v>Friesen-Rath</v>
      </c>
      <c r="C48" s="2">
        <f>AVERAGEIF(Sales_Export_2019_2020__2[customer_name],B48,Sales_Export_2019_2020__2[order_value_GBP])</f>
        <v>110306.74947368421</v>
      </c>
      <c r="D48">
        <f>COUNTIF(Sales_Export_2019_2020__2[customer_name],B48)</f>
        <v>19</v>
      </c>
      <c r="R48" t="str">
        <v>£240,000 - £244,999</v>
      </c>
      <c r="S48">
        <v>6</v>
      </c>
      <c r="T48" s="11">
        <v>240000</v>
      </c>
    </row>
    <row r="49" spans="2:20" x14ac:dyDescent="0.35">
      <c r="B49" t="str">
        <v>Keeling, Monahan and Pollich</v>
      </c>
      <c r="C49" s="2">
        <f>AVERAGEIF(Sales_Export_2019_2020__2[customer_name],B49,Sales_Export_2019_2020__2[order_value_GBP])</f>
        <v>126333.60909090909</v>
      </c>
      <c r="D49">
        <f>COUNTIF(Sales_Export_2019_2020__2[customer_name],B49)</f>
        <v>11</v>
      </c>
      <c r="R49" t="str">
        <v>£245,000 - £249,999</v>
      </c>
      <c r="S49">
        <v>4</v>
      </c>
      <c r="T49" s="11">
        <v>245000</v>
      </c>
    </row>
    <row r="50" spans="2:20" x14ac:dyDescent="0.35">
      <c r="B50" t="str">
        <v>Dibbert Inc</v>
      </c>
      <c r="C50" s="2">
        <f>AVERAGEIF(Sales_Export_2019_2020__2[customer_name],B50,Sales_Export_2019_2020__2[order_value_GBP])</f>
        <v>104188.68111111112</v>
      </c>
      <c r="D50">
        <f>COUNTIF(Sales_Export_2019_2020__2[customer_name],B50)</f>
        <v>18</v>
      </c>
      <c r="R50" t="str">
        <v>£250,000 - £254,999</v>
      </c>
      <c r="S50">
        <v>9</v>
      </c>
      <c r="T50" s="11">
        <v>250000</v>
      </c>
    </row>
    <row r="51" spans="2:20" x14ac:dyDescent="0.35">
      <c r="B51" t="str">
        <v>Labadie and Sons</v>
      </c>
      <c r="C51" s="2">
        <f>AVERAGEIF(Sales_Export_2019_2020__2[customer_name],B51,Sales_Export_2019_2020__2[order_value_GBP])</f>
        <v>113961.31105263159</v>
      </c>
      <c r="D51">
        <f>COUNTIF(Sales_Export_2019_2020__2[customer_name],B51)</f>
        <v>19</v>
      </c>
      <c r="R51" t="str">
        <v>£255,000 - £259,999</v>
      </c>
      <c r="S51">
        <v>3</v>
      </c>
      <c r="T51" s="11">
        <v>255000</v>
      </c>
    </row>
    <row r="52" spans="2:20" x14ac:dyDescent="0.35">
      <c r="B52" t="str">
        <v>Wiza and Sons</v>
      </c>
      <c r="C52" s="2">
        <f>AVERAGEIF(Sales_Export_2019_2020__2[customer_name],B52,Sales_Export_2019_2020__2[order_value_GBP])</f>
        <v>100857.83692307692</v>
      </c>
      <c r="D52">
        <f>COUNTIF(Sales_Export_2019_2020__2[customer_name],B52)</f>
        <v>13</v>
      </c>
      <c r="R52" t="str">
        <v>£260,000 - £264,999</v>
      </c>
      <c r="S52">
        <v>3</v>
      </c>
      <c r="T52" s="11">
        <v>260000</v>
      </c>
    </row>
    <row r="53" spans="2:20" x14ac:dyDescent="0.35">
      <c r="B53" t="str">
        <v>Schmitt, Purdy and Johnson</v>
      </c>
      <c r="C53" s="2">
        <f>AVERAGEIF(Sales_Export_2019_2020__2[customer_name],B53,Sales_Export_2019_2020__2[order_value_GBP])</f>
        <v>135923.21727272728</v>
      </c>
      <c r="D53">
        <f>COUNTIF(Sales_Export_2019_2020__2[customer_name],B53)</f>
        <v>11</v>
      </c>
      <c r="R53" t="str">
        <v>£265,000 - £269,999</v>
      </c>
      <c r="S53">
        <v>1</v>
      </c>
      <c r="T53" s="11">
        <v>265000</v>
      </c>
    </row>
    <row r="54" spans="2:20" x14ac:dyDescent="0.35">
      <c r="B54" t="str">
        <v>Hamill, Kulas and Roob</v>
      </c>
      <c r="C54" s="2">
        <f>AVERAGEIF(Sales_Export_2019_2020__2[customer_name],B54,Sales_Export_2019_2020__2[order_value_GBP])</f>
        <v>110790.79000000001</v>
      </c>
      <c r="D54">
        <f>COUNTIF(Sales_Export_2019_2020__2[customer_name],B54)</f>
        <v>13</v>
      </c>
      <c r="R54" t="str">
        <v>£270,000 - £274,999</v>
      </c>
      <c r="S54">
        <v>3</v>
      </c>
      <c r="T54" s="11">
        <v>270000</v>
      </c>
    </row>
    <row r="55" spans="2:20" x14ac:dyDescent="0.35">
      <c r="B55" t="str">
        <v>Fisher, Morar and Skiles</v>
      </c>
      <c r="C55" s="2">
        <f>AVERAGEIF(Sales_Export_2019_2020__2[customer_name],B55,Sales_Export_2019_2020__2[order_value_GBP])</f>
        <v>96254.501111111094</v>
      </c>
      <c r="D55">
        <f>COUNTIF(Sales_Export_2019_2020__2[customer_name],B55)</f>
        <v>9</v>
      </c>
      <c r="R55" t="str">
        <v>£275,000 - £279,999</v>
      </c>
      <c r="S55">
        <v>1</v>
      </c>
      <c r="T55" s="11">
        <v>275000</v>
      </c>
    </row>
    <row r="56" spans="2:20" x14ac:dyDescent="0.35">
      <c r="B56" t="str">
        <v>McGlynn-Bergstrom</v>
      </c>
      <c r="C56" s="2">
        <f>AVERAGEIF(Sales_Export_2019_2020__2[customer_name],B56,Sales_Export_2019_2020__2[order_value_GBP])</f>
        <v>107639.12363636363</v>
      </c>
      <c r="D56">
        <f>COUNTIF(Sales_Export_2019_2020__2[customer_name],B56)</f>
        <v>11</v>
      </c>
      <c r="R56" t="str">
        <v>£280,000 - £284,999</v>
      </c>
      <c r="S56">
        <v>1</v>
      </c>
      <c r="T56" s="11">
        <v>280000</v>
      </c>
    </row>
    <row r="57" spans="2:20" x14ac:dyDescent="0.35">
      <c r="B57" t="str">
        <v>Spencer, Rogahn and Muller</v>
      </c>
      <c r="C57" s="2">
        <f>AVERAGEIF(Sales_Export_2019_2020__2[customer_name],B57,Sales_Export_2019_2020__2[order_value_GBP])</f>
        <v>99489.452499999999</v>
      </c>
      <c r="D57">
        <f>COUNTIF(Sales_Export_2019_2020__2[customer_name],B57)</f>
        <v>16</v>
      </c>
      <c r="R57" t="str">
        <v>£290,000 - £294,999</v>
      </c>
      <c r="S57">
        <v>6</v>
      </c>
      <c r="T57" s="11">
        <v>290000</v>
      </c>
    </row>
    <row r="58" spans="2:20" x14ac:dyDescent="0.35">
      <c r="B58" t="str">
        <v>Wunsch LLC</v>
      </c>
      <c r="C58" s="2">
        <f>AVERAGEIF(Sales_Export_2019_2020__2[customer_name],B58,Sales_Export_2019_2020__2[order_value_GBP])</f>
        <v>145610.46666666667</v>
      </c>
      <c r="D58">
        <f>COUNTIF(Sales_Export_2019_2020__2[customer_name],B58)</f>
        <v>6</v>
      </c>
      <c r="R58" t="str">
        <v>£295,000 - £299,999</v>
      </c>
      <c r="S58">
        <v>2</v>
      </c>
      <c r="T58" s="11">
        <v>295000</v>
      </c>
    </row>
    <row r="59" spans="2:20" x14ac:dyDescent="0.35">
      <c r="B59" t="str">
        <v>Walter LLC</v>
      </c>
      <c r="C59" s="2">
        <f>AVERAGEIF(Sales_Export_2019_2020__2[customer_name],B59,Sales_Export_2019_2020__2[order_value_GBP])</f>
        <v>127076.35117647058</v>
      </c>
      <c r="D59">
        <f>COUNTIF(Sales_Export_2019_2020__2[customer_name],B59)</f>
        <v>17</v>
      </c>
      <c r="R59" t="str">
        <v>£300,000 - £304,999</v>
      </c>
      <c r="S59">
        <v>1</v>
      </c>
      <c r="T59" s="11">
        <v>300000</v>
      </c>
    </row>
    <row r="60" spans="2:20" x14ac:dyDescent="0.35">
      <c r="B60" t="str">
        <v>Christiansen, Donnelly and Bechtelar</v>
      </c>
      <c r="C60" s="2">
        <f>AVERAGEIF(Sales_Export_2019_2020__2[customer_name],B60,Sales_Export_2019_2020__2[order_value_GBP])</f>
        <v>129885.28333333334</v>
      </c>
      <c r="D60">
        <f>COUNTIF(Sales_Export_2019_2020__2[customer_name],B60)</f>
        <v>15</v>
      </c>
      <c r="R60" t="str">
        <v>£305,000 - £309,999</v>
      </c>
      <c r="S60">
        <v>1</v>
      </c>
      <c r="T60" s="11">
        <v>305000</v>
      </c>
    </row>
    <row r="61" spans="2:20" x14ac:dyDescent="0.35">
      <c r="B61" t="str">
        <v>Altenwerth-Konopelski</v>
      </c>
      <c r="C61" s="2">
        <f>AVERAGEIF(Sales_Export_2019_2020__2[customer_name],B61,Sales_Export_2019_2020__2[order_value_GBP])</f>
        <v>126210.41700000002</v>
      </c>
      <c r="D61">
        <f>COUNTIF(Sales_Export_2019_2020__2[customer_name],B61)</f>
        <v>20</v>
      </c>
      <c r="R61" t="str">
        <v>£310,000 - £314,999</v>
      </c>
      <c r="S61">
        <v>2</v>
      </c>
      <c r="T61" s="11">
        <v>310000</v>
      </c>
    </row>
    <row r="62" spans="2:20" x14ac:dyDescent="0.35">
      <c r="B62" t="str">
        <v>Hegmann Group</v>
      </c>
      <c r="C62" s="2">
        <f>AVERAGEIF(Sales_Export_2019_2020__2[customer_name],B62,Sales_Export_2019_2020__2[order_value_GBP])</f>
        <v>124595.80733333333</v>
      </c>
      <c r="D62">
        <f>COUNTIF(Sales_Export_2019_2020__2[customer_name],B62)</f>
        <v>15</v>
      </c>
      <c r="R62" t="str">
        <v>£325,000 - £329,999</v>
      </c>
      <c r="S62">
        <v>1</v>
      </c>
      <c r="T62" s="11">
        <v>325000</v>
      </c>
    </row>
    <row r="63" spans="2:20" x14ac:dyDescent="0.35">
      <c r="B63" t="str">
        <v>Leffler, Prohaska and Streich</v>
      </c>
      <c r="C63" s="2">
        <f>AVERAGEIF(Sales_Export_2019_2020__2[customer_name],B63,Sales_Export_2019_2020__2[order_value_GBP])</f>
        <v>85585.71222222221</v>
      </c>
      <c r="D63">
        <f>COUNTIF(Sales_Export_2019_2020__2[customer_name],B63)</f>
        <v>9</v>
      </c>
      <c r="R63" t="str">
        <v>£350,000 - £354,999</v>
      </c>
      <c r="S63">
        <v>1</v>
      </c>
      <c r="T63" s="11">
        <v>350000</v>
      </c>
    </row>
    <row r="64" spans="2:20" x14ac:dyDescent="0.35">
      <c r="B64" t="str">
        <v>Smith Group</v>
      </c>
      <c r="C64" s="2">
        <f>AVERAGEIF(Sales_Export_2019_2020__2[customer_name],B64,Sales_Export_2019_2020__2[order_value_GBP])</f>
        <v>139244.02846153852</v>
      </c>
      <c r="D64">
        <f>COUNTIF(Sales_Export_2019_2020__2[customer_name],B64)</f>
        <v>13</v>
      </c>
      <c r="R64" t="str">
        <v>£360,000 - £364,999</v>
      </c>
      <c r="S64">
        <v>1</v>
      </c>
      <c r="T64" s="11">
        <v>360000</v>
      </c>
    </row>
    <row r="65" spans="2:20" x14ac:dyDescent="0.35">
      <c r="B65" t="str">
        <v>Zieme, Bailey and Herzog</v>
      </c>
      <c r="C65" s="2">
        <f>AVERAGEIF(Sales_Export_2019_2020__2[customer_name],B65,Sales_Export_2019_2020__2[order_value_GBP])</f>
        <v>106722.80066666666</v>
      </c>
      <c r="D65">
        <f>COUNTIF(Sales_Export_2019_2020__2[customer_name],B65)</f>
        <v>15</v>
      </c>
      <c r="R65" t="str">
        <v>£380,000 - £384,999</v>
      </c>
      <c r="S65">
        <v>1</v>
      </c>
      <c r="T65" s="11">
        <v>380000</v>
      </c>
    </row>
    <row r="66" spans="2:20" x14ac:dyDescent="0.35">
      <c r="B66" t="str">
        <v>Bashirian, Okuneva and Bechtelar</v>
      </c>
      <c r="C66" s="2">
        <f>AVERAGEIF(Sales_Export_2019_2020__2[customer_name],B66,Sales_Export_2019_2020__2[order_value_GBP])</f>
        <v>104150.05153846156</v>
      </c>
      <c r="D66">
        <f>COUNTIF(Sales_Export_2019_2020__2[customer_name],B66)</f>
        <v>13</v>
      </c>
    </row>
    <row r="67" spans="2:20" x14ac:dyDescent="0.35">
      <c r="B67" t="str">
        <v>McGlynn-Prosacco</v>
      </c>
      <c r="C67" s="2">
        <f>AVERAGEIF(Sales_Export_2019_2020__2[customer_name],B67,Sales_Export_2019_2020__2[order_value_GBP])</f>
        <v>118770.311875</v>
      </c>
      <c r="D67">
        <f>COUNTIF(Sales_Export_2019_2020__2[customer_name],B67)</f>
        <v>16</v>
      </c>
    </row>
    <row r="68" spans="2:20" x14ac:dyDescent="0.35">
      <c r="B68" t="str">
        <v>O'Connell-Mitchell</v>
      </c>
      <c r="C68" s="2">
        <f>AVERAGEIF(Sales_Export_2019_2020__2[customer_name],B68,Sales_Export_2019_2020__2[order_value_GBP])</f>
        <v>166888.427</v>
      </c>
      <c r="D68">
        <f>COUNTIF(Sales_Export_2019_2020__2[customer_name],B68)</f>
        <v>10</v>
      </c>
      <c r="P68" s="5"/>
    </row>
    <row r="69" spans="2:20" x14ac:dyDescent="0.35">
      <c r="B69" t="str">
        <v>West-Cummings</v>
      </c>
      <c r="C69" s="2">
        <f>AVERAGEIF(Sales_Export_2019_2020__2[customer_name],B69,Sales_Export_2019_2020__2[order_value_GBP])</f>
        <v>139313.31636363638</v>
      </c>
      <c r="D69">
        <f>COUNTIF(Sales_Export_2019_2020__2[customer_name],B69)</f>
        <v>11</v>
      </c>
      <c r="P69" s="5"/>
    </row>
    <row r="70" spans="2:20" x14ac:dyDescent="0.35">
      <c r="B70" t="str">
        <v>Shanahan, Schaden and Parker</v>
      </c>
      <c r="C70" s="2">
        <f>AVERAGEIF(Sales_Export_2019_2020__2[customer_name],B70,Sales_Export_2019_2020__2[order_value_GBP])</f>
        <v>116152.96599999999</v>
      </c>
      <c r="D70">
        <f>COUNTIF(Sales_Export_2019_2020__2[customer_name],B70)</f>
        <v>5</v>
      </c>
    </row>
    <row r="71" spans="2:20" x14ac:dyDescent="0.35">
      <c r="B71" t="str">
        <v>Lubowitz, McLaughlin and Erdman</v>
      </c>
      <c r="C71" s="2">
        <f>AVERAGEIF(Sales_Export_2019_2020__2[customer_name],B71,Sales_Export_2019_2020__2[order_value_GBP])</f>
        <v>89681.442857142858</v>
      </c>
      <c r="D71">
        <f>COUNTIF(Sales_Export_2019_2020__2[customer_name],B71)</f>
        <v>7</v>
      </c>
    </row>
    <row r="72" spans="2:20" x14ac:dyDescent="0.35">
      <c r="B72" t="str">
        <v>Rath-Schroeder</v>
      </c>
      <c r="C72" s="2">
        <f>AVERAGEIF(Sales_Export_2019_2020__2[customer_name],B72,Sales_Export_2019_2020__2[order_value_GBP])</f>
        <v>69664.885000000009</v>
      </c>
      <c r="D72">
        <f>COUNTIF(Sales_Export_2019_2020__2[customer_name],B72)</f>
        <v>2</v>
      </c>
    </row>
    <row r="73" spans="2:20" x14ac:dyDescent="0.35">
      <c r="B73" t="str">
        <v>Dickinson, Hyatt and Berge</v>
      </c>
      <c r="C73" s="2">
        <f>AVERAGEIF(Sales_Export_2019_2020__2[customer_name],B73,Sales_Export_2019_2020__2[order_value_GBP])</f>
        <v>112780.43</v>
      </c>
      <c r="D73">
        <f>COUNTIF(Sales_Export_2019_2020__2[customer_name],B73)</f>
        <v>24</v>
      </c>
    </row>
    <row r="74" spans="2:20" x14ac:dyDescent="0.35">
      <c r="B74" t="str">
        <v>McClure Inc</v>
      </c>
      <c r="C74" s="2">
        <f>AVERAGEIF(Sales_Export_2019_2020__2[customer_name],B74,Sales_Export_2019_2020__2[order_value_GBP])</f>
        <v>111636.81909090909</v>
      </c>
      <c r="D74">
        <f>COUNTIF(Sales_Export_2019_2020__2[customer_name],B74)</f>
        <v>11</v>
      </c>
    </row>
    <row r="75" spans="2:20" x14ac:dyDescent="0.35">
      <c r="B75" t="str">
        <v>Hane Inc</v>
      </c>
      <c r="C75" s="2">
        <f>AVERAGEIF(Sales_Export_2019_2020__2[customer_name],B75,Sales_Export_2019_2020__2[order_value_GBP])</f>
        <v>115277.34499999999</v>
      </c>
      <c r="D75">
        <f>COUNTIF(Sales_Export_2019_2020__2[customer_name],B75)</f>
        <v>4</v>
      </c>
    </row>
    <row r="76" spans="2:20" x14ac:dyDescent="0.35">
      <c r="B76" t="str">
        <v>Kihn Inc</v>
      </c>
      <c r="C76" s="2">
        <f>AVERAGEIF(Sales_Export_2019_2020__2[customer_name],B76,Sales_Export_2019_2020__2[order_value_GBP])</f>
        <v>91057.221818181817</v>
      </c>
      <c r="D76">
        <f>COUNTIF(Sales_Export_2019_2020__2[customer_name],B76)</f>
        <v>22</v>
      </c>
    </row>
    <row r="77" spans="2:20" x14ac:dyDescent="0.35">
      <c r="B77" t="str">
        <v>Schowalter, Lesch and Beahan</v>
      </c>
      <c r="C77" s="2">
        <f>AVERAGEIF(Sales_Export_2019_2020__2[customer_name],B77,Sales_Export_2019_2020__2[order_value_GBP])</f>
        <v>126085.69687499998</v>
      </c>
      <c r="D77">
        <f>COUNTIF(Sales_Export_2019_2020__2[customer_name],B77)</f>
        <v>16</v>
      </c>
    </row>
    <row r="78" spans="2:20" x14ac:dyDescent="0.35">
      <c r="B78" t="str">
        <v>Corwin and Sons</v>
      </c>
      <c r="C78" s="2">
        <f>AVERAGEIF(Sales_Export_2019_2020__2[customer_name],B78,Sales_Export_2019_2020__2[order_value_GBP])</f>
        <v>123737.88999999997</v>
      </c>
      <c r="D78">
        <f>COUNTIF(Sales_Export_2019_2020__2[customer_name],B78)</f>
        <v>15</v>
      </c>
    </row>
    <row r="79" spans="2:20" x14ac:dyDescent="0.35">
      <c r="B79" t="str">
        <v>Lueilwitz, Kerluke and Lesch</v>
      </c>
      <c r="C79" s="2">
        <f>AVERAGEIF(Sales_Export_2019_2020__2[customer_name],B79,Sales_Export_2019_2020__2[order_value_GBP])</f>
        <v>86341.420000000013</v>
      </c>
      <c r="D79">
        <f>COUNTIF(Sales_Export_2019_2020__2[customer_name],B79)</f>
        <v>5</v>
      </c>
    </row>
    <row r="80" spans="2:20" x14ac:dyDescent="0.35">
      <c r="B80" t="str">
        <v>Morissette Group</v>
      </c>
      <c r="C80" s="2">
        <f>AVERAGEIF(Sales_Export_2019_2020__2[customer_name],B80,Sales_Export_2019_2020__2[order_value_GBP])</f>
        <v>117573.33</v>
      </c>
      <c r="D80">
        <f>COUNTIF(Sales_Export_2019_2020__2[customer_name],B80)</f>
        <v>6</v>
      </c>
    </row>
    <row r="81" spans="2:4" x14ac:dyDescent="0.35">
      <c r="B81" t="str">
        <v>Tromp LLC</v>
      </c>
      <c r="C81" s="2">
        <f>AVERAGEIF(Sales_Export_2019_2020__2[customer_name],B81,Sales_Export_2019_2020__2[order_value_GBP])</f>
        <v>169553.47200000001</v>
      </c>
      <c r="D81">
        <f>COUNTIF(Sales_Export_2019_2020__2[customer_name],B81)</f>
        <v>5</v>
      </c>
    </row>
    <row r="82" spans="2:4" x14ac:dyDescent="0.35">
      <c r="B82" t="str">
        <v>Marquardt-Kuvalis</v>
      </c>
      <c r="C82" s="2">
        <f>AVERAGEIF(Sales_Export_2019_2020__2[customer_name],B82,Sales_Export_2019_2020__2[order_value_GBP])</f>
        <v>98276.904999999999</v>
      </c>
      <c r="D82">
        <f>COUNTIF(Sales_Export_2019_2020__2[customer_name],B82)</f>
        <v>2</v>
      </c>
    </row>
    <row r="83" spans="2:4" x14ac:dyDescent="0.35">
      <c r="B83" t="str">
        <v>Romaguera-Haley</v>
      </c>
      <c r="C83" s="2">
        <f>AVERAGEIF(Sales_Export_2019_2020__2[customer_name],B83,Sales_Export_2019_2020__2[order_value_GBP])</f>
        <v>103771.38374999999</v>
      </c>
      <c r="D83">
        <f>COUNTIF(Sales_Export_2019_2020__2[customer_name],B83)</f>
        <v>16</v>
      </c>
    </row>
    <row r="84" spans="2:4" x14ac:dyDescent="0.35">
      <c r="B84" t="str">
        <v>Konopelski LLC</v>
      </c>
      <c r="C84" s="2">
        <f>AVERAGEIF(Sales_Export_2019_2020__2[customer_name],B84,Sales_Export_2019_2020__2[order_value_GBP])</f>
        <v>106182.70399999998</v>
      </c>
      <c r="D84">
        <f>COUNTIF(Sales_Export_2019_2020__2[customer_name],B84)</f>
        <v>5</v>
      </c>
    </row>
    <row r="85" spans="2:4" x14ac:dyDescent="0.35">
      <c r="B85" t="str">
        <v>Stehr LLC</v>
      </c>
      <c r="C85" s="2">
        <f>AVERAGEIF(Sales_Export_2019_2020__2[customer_name],B85,Sales_Export_2019_2020__2[order_value_GBP])</f>
        <v>114605.68444444444</v>
      </c>
      <c r="D85">
        <f>COUNTIF(Sales_Export_2019_2020__2[customer_name],B85)</f>
        <v>9</v>
      </c>
    </row>
    <row r="86" spans="2:4" x14ac:dyDescent="0.35">
      <c r="B86" t="str">
        <v>Parisian, Steuber and Satterfield</v>
      </c>
      <c r="C86" s="2">
        <f>AVERAGEIF(Sales_Export_2019_2020__2[customer_name],B86,Sales_Export_2019_2020__2[order_value_GBP])</f>
        <v>118245.075</v>
      </c>
      <c r="D86">
        <f>COUNTIF(Sales_Export_2019_2020__2[customer_name],B86)</f>
        <v>2</v>
      </c>
    </row>
    <row r="87" spans="2:4" x14ac:dyDescent="0.35">
      <c r="B87" t="str">
        <v>Homenick-Marvin</v>
      </c>
      <c r="C87" s="2">
        <f>AVERAGEIF(Sales_Export_2019_2020__2[customer_name],B87,Sales_Export_2019_2020__2[order_value_GBP])</f>
        <v>85186.813333333339</v>
      </c>
      <c r="D87">
        <f>COUNTIF(Sales_Export_2019_2020__2[customer_name],B87)</f>
        <v>6</v>
      </c>
    </row>
    <row r="88" spans="2:4" x14ac:dyDescent="0.35">
      <c r="B88" t="str">
        <v>Friesen and Sons</v>
      </c>
      <c r="C88" s="2">
        <f>AVERAGEIF(Sales_Export_2019_2020__2[customer_name],B88,Sales_Export_2019_2020__2[order_value_GBP])</f>
        <v>105464.75166666666</v>
      </c>
      <c r="D88">
        <f>COUNTIF(Sales_Export_2019_2020__2[customer_name],B88)</f>
        <v>6</v>
      </c>
    </row>
    <row r="89" spans="2:4" x14ac:dyDescent="0.35">
      <c r="B89" t="str">
        <v>Stehr-Bogan</v>
      </c>
      <c r="C89" s="2">
        <f>AVERAGEIF(Sales_Export_2019_2020__2[customer_name],B89,Sales_Export_2019_2020__2[order_value_GBP])</f>
        <v>156789.15666666665</v>
      </c>
      <c r="D89">
        <f>COUNTIF(Sales_Export_2019_2020__2[customer_name],B89)</f>
        <v>3</v>
      </c>
    </row>
    <row r="90" spans="2:4" x14ac:dyDescent="0.35">
      <c r="B90" t="str">
        <v>Connelly-Mohr</v>
      </c>
      <c r="C90" s="2">
        <f>AVERAGEIF(Sales_Export_2019_2020__2[customer_name],B90,Sales_Export_2019_2020__2[order_value_GBP])</f>
        <v>126190.87999999998</v>
      </c>
      <c r="D90">
        <f>COUNTIF(Sales_Export_2019_2020__2[customer_name],B90)</f>
        <v>5</v>
      </c>
    </row>
    <row r="91" spans="2:4" x14ac:dyDescent="0.35">
      <c r="B91" t="str">
        <v>Hartmann, Hane and Pfannerstill</v>
      </c>
      <c r="C91" s="2">
        <f>AVERAGEIF(Sales_Export_2019_2020__2[customer_name],B91,Sales_Export_2019_2020__2[order_value_GBP])</f>
        <v>111761.34999999999</v>
      </c>
      <c r="D91">
        <f>COUNTIF(Sales_Export_2019_2020__2[customer_name],B91)</f>
        <v>9</v>
      </c>
    </row>
    <row r="92" spans="2:4" x14ac:dyDescent="0.35">
      <c r="B92" t="str">
        <v>Gleichner-Green</v>
      </c>
      <c r="C92" s="2">
        <f>AVERAGEIF(Sales_Export_2019_2020__2[customer_name],B92,Sales_Export_2019_2020__2[order_value_GBP])</f>
        <v>154762.58333333334</v>
      </c>
      <c r="D92">
        <f>COUNTIF(Sales_Export_2019_2020__2[customer_name],B92)</f>
        <v>3</v>
      </c>
    </row>
    <row r="93" spans="2:4" x14ac:dyDescent="0.35">
      <c r="B93" t="str">
        <v>Baumbach Group</v>
      </c>
      <c r="C93" s="2">
        <f>AVERAGEIF(Sales_Export_2019_2020__2[customer_name],B93,Sales_Export_2019_2020__2[order_value_GBP])</f>
        <v>85769.964999999997</v>
      </c>
      <c r="D93">
        <f>COUNTIF(Sales_Export_2019_2020__2[customer_name],B93)</f>
        <v>2</v>
      </c>
    </row>
    <row r="94" spans="2:4" x14ac:dyDescent="0.35">
      <c r="B94" t="str">
        <v>Wyman Group</v>
      </c>
      <c r="C94" s="2">
        <f>AVERAGEIF(Sales_Export_2019_2020__2[customer_name],B94,Sales_Export_2019_2020__2[order_value_GBP])</f>
        <v>128287.82499999998</v>
      </c>
      <c r="D94">
        <f>COUNTIF(Sales_Export_2019_2020__2[customer_name],B94)</f>
        <v>4</v>
      </c>
    </row>
    <row r="95" spans="2:4" x14ac:dyDescent="0.35">
      <c r="B95" t="str">
        <v>Stamm-Zulauf</v>
      </c>
      <c r="C95" s="2">
        <f>AVERAGEIF(Sales_Export_2019_2020__2[customer_name],B95,Sales_Export_2019_2020__2[order_value_GBP])</f>
        <v>82735.110000000015</v>
      </c>
      <c r="D95">
        <f>COUNTIF(Sales_Export_2019_2020__2[customer_name],B95)</f>
        <v>5</v>
      </c>
    </row>
    <row r="96" spans="2:4" x14ac:dyDescent="0.35">
      <c r="B96" t="str">
        <v>Gorczany-Lehner</v>
      </c>
      <c r="C96" s="2">
        <f>AVERAGEIF(Sales_Export_2019_2020__2[customer_name],B96,Sales_Export_2019_2020__2[order_value_GBP])</f>
        <v>33724.53</v>
      </c>
      <c r="D96">
        <f>COUNTIF(Sales_Export_2019_2020__2[customer_name],B96)</f>
        <v>1</v>
      </c>
    </row>
    <row r="97" spans="2:4" x14ac:dyDescent="0.35">
      <c r="B97" t="str">
        <v>Schuster Inc</v>
      </c>
      <c r="C97" s="2">
        <f>AVERAGEIF(Sales_Export_2019_2020__2[customer_name],B97,Sales_Export_2019_2020__2[order_value_GBP])</f>
        <v>150089.53666666665</v>
      </c>
      <c r="D97">
        <f>COUNTIF(Sales_Export_2019_2020__2[customer_name],B97)</f>
        <v>3</v>
      </c>
    </row>
    <row r="98" spans="2:4" x14ac:dyDescent="0.35">
      <c r="B98" t="str">
        <v>Heaney, Gulgowski and Kshlerin</v>
      </c>
      <c r="C98" s="2">
        <f>AVERAGEIF(Sales_Export_2019_2020__2[customer_name],B98,Sales_Export_2019_2020__2[order_value_GBP])</f>
        <v>110552.55499999999</v>
      </c>
      <c r="D98">
        <f>COUNTIF(Sales_Export_2019_2020__2[customer_name],B98)</f>
        <v>4</v>
      </c>
    </row>
    <row r="99" spans="2:4" x14ac:dyDescent="0.35">
      <c r="B99" t="str">
        <v>Littel-Blick</v>
      </c>
      <c r="C99" s="2">
        <f>AVERAGEIF(Sales_Export_2019_2020__2[customer_name],B99,Sales_Export_2019_2020__2[order_value_GBP])</f>
        <v>95966.17</v>
      </c>
      <c r="D99">
        <f>COUNTIF(Sales_Export_2019_2020__2[customer_name],B99)</f>
        <v>1</v>
      </c>
    </row>
    <row r="100" spans="2:4" x14ac:dyDescent="0.35">
      <c r="B100" t="str">
        <v>Abbott, Roberts and Torp</v>
      </c>
      <c r="C100" s="2">
        <f>AVERAGEIF(Sales_Export_2019_2020__2[customer_name],B100,Sales_Export_2019_2020__2[order_value_GBP])</f>
        <v>95588.925000000003</v>
      </c>
      <c r="D100">
        <f>COUNTIF(Sales_Export_2019_2020__2[customer_name],B100)</f>
        <v>2</v>
      </c>
    </row>
    <row r="101" spans="2:4" x14ac:dyDescent="0.35">
      <c r="B101" t="str">
        <v>Lind, Mueller and Stoltenberg</v>
      </c>
      <c r="C101" s="2">
        <f>AVERAGEIF(Sales_Export_2019_2020__2[customer_name],B101,Sales_Export_2019_2020__2[order_value_GBP])</f>
        <v>57115.99</v>
      </c>
      <c r="D101">
        <f>COUNTIF(Sales_Export_2019_2020__2[customer_name],B101)</f>
        <v>1</v>
      </c>
    </row>
    <row r="102" spans="2:4" x14ac:dyDescent="0.35">
      <c r="B102"/>
      <c r="C102"/>
    </row>
    <row r="103" spans="2:4" x14ac:dyDescent="0.35">
      <c r="B103"/>
      <c r="C103"/>
    </row>
    <row r="104" spans="2:4" x14ac:dyDescent="0.35">
      <c r="B104"/>
      <c r="C104"/>
    </row>
    <row r="105" spans="2:4" x14ac:dyDescent="0.35">
      <c r="B105"/>
      <c r="C105"/>
    </row>
    <row r="106" spans="2:4" x14ac:dyDescent="0.35">
      <c r="B106"/>
      <c r="C106"/>
    </row>
    <row r="107" spans="2:4" x14ac:dyDescent="0.35">
      <c r="B107"/>
      <c r="C107"/>
    </row>
    <row r="108" spans="2:4" x14ac:dyDescent="0.35">
      <c r="B108"/>
      <c r="C108"/>
    </row>
    <row r="109" spans="2:4" x14ac:dyDescent="0.35">
      <c r="B109"/>
      <c r="C109"/>
    </row>
    <row r="110" spans="2:4" x14ac:dyDescent="0.35">
      <c r="B110"/>
      <c r="C110"/>
    </row>
    <row r="111" spans="2:4" x14ac:dyDescent="0.35">
      <c r="B111"/>
      <c r="C111"/>
    </row>
    <row r="112" spans="2:4"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row r="576" spans="2:3" x14ac:dyDescent="0.35">
      <c r="B576"/>
      <c r="C576"/>
    </row>
    <row r="577" spans="2:3" x14ac:dyDescent="0.35">
      <c r="B577"/>
      <c r="C577"/>
    </row>
    <row r="578" spans="2:3" x14ac:dyDescent="0.35">
      <c r="B578"/>
      <c r="C578"/>
    </row>
    <row r="579" spans="2:3" x14ac:dyDescent="0.35">
      <c r="B579"/>
      <c r="C579"/>
    </row>
    <row r="580" spans="2:3" x14ac:dyDescent="0.35">
      <c r="B580"/>
      <c r="C580"/>
    </row>
    <row r="581" spans="2:3" x14ac:dyDescent="0.35">
      <c r="B581"/>
      <c r="C581"/>
    </row>
    <row r="582" spans="2:3" x14ac:dyDescent="0.35">
      <c r="B582"/>
      <c r="C582"/>
    </row>
    <row r="583" spans="2:3" x14ac:dyDescent="0.35">
      <c r="B583"/>
      <c r="C583"/>
    </row>
    <row r="584" spans="2:3" x14ac:dyDescent="0.35">
      <c r="B584"/>
      <c r="C584"/>
    </row>
    <row r="585" spans="2:3" x14ac:dyDescent="0.35">
      <c r="B585"/>
      <c r="C585"/>
    </row>
    <row r="586" spans="2:3" x14ac:dyDescent="0.35">
      <c r="B586"/>
      <c r="C586"/>
    </row>
    <row r="587" spans="2:3" x14ac:dyDescent="0.35">
      <c r="B587"/>
      <c r="C587"/>
    </row>
    <row r="588" spans="2:3" x14ac:dyDescent="0.35">
      <c r="B588"/>
      <c r="C588"/>
    </row>
    <row r="589" spans="2:3" x14ac:dyDescent="0.35">
      <c r="B589"/>
      <c r="C589"/>
    </row>
    <row r="590" spans="2:3" x14ac:dyDescent="0.35">
      <c r="B590"/>
      <c r="C590"/>
    </row>
    <row r="591" spans="2:3" x14ac:dyDescent="0.35">
      <c r="B591"/>
      <c r="C591"/>
    </row>
    <row r="592" spans="2:3" x14ac:dyDescent="0.35">
      <c r="B592"/>
      <c r="C592"/>
    </row>
    <row r="593" spans="2:3" x14ac:dyDescent="0.35">
      <c r="B593"/>
      <c r="C593"/>
    </row>
    <row r="594" spans="2:3" x14ac:dyDescent="0.35">
      <c r="B594"/>
      <c r="C594"/>
    </row>
    <row r="595" spans="2:3" x14ac:dyDescent="0.35">
      <c r="B595"/>
      <c r="C595"/>
    </row>
    <row r="596" spans="2:3" x14ac:dyDescent="0.35">
      <c r="B596"/>
      <c r="C596"/>
    </row>
    <row r="597" spans="2:3" x14ac:dyDescent="0.35">
      <c r="B597"/>
      <c r="C597"/>
    </row>
    <row r="598" spans="2:3" x14ac:dyDescent="0.35">
      <c r="B598"/>
      <c r="C598"/>
    </row>
    <row r="599" spans="2:3" x14ac:dyDescent="0.35">
      <c r="B599"/>
      <c r="C599"/>
    </row>
    <row r="600" spans="2:3" x14ac:dyDescent="0.35">
      <c r="B600"/>
      <c r="C600"/>
    </row>
    <row r="601" spans="2:3" x14ac:dyDescent="0.35">
      <c r="B601"/>
      <c r="C601"/>
    </row>
    <row r="602" spans="2:3" x14ac:dyDescent="0.35">
      <c r="B602"/>
      <c r="C602"/>
    </row>
    <row r="603" spans="2:3" x14ac:dyDescent="0.35">
      <c r="B603"/>
      <c r="C603"/>
    </row>
    <row r="604" spans="2:3" x14ac:dyDescent="0.35">
      <c r="B604"/>
      <c r="C604"/>
    </row>
    <row r="605" spans="2:3" x14ac:dyDescent="0.35">
      <c r="B605"/>
      <c r="C605"/>
    </row>
    <row r="606" spans="2:3" x14ac:dyDescent="0.35">
      <c r="B606"/>
      <c r="C606"/>
    </row>
    <row r="607" spans="2:3" x14ac:dyDescent="0.35">
      <c r="B607"/>
      <c r="C607"/>
    </row>
    <row r="608" spans="2:3" x14ac:dyDescent="0.35">
      <c r="B608"/>
      <c r="C608"/>
    </row>
    <row r="609" spans="2:3" x14ac:dyDescent="0.35">
      <c r="B609"/>
      <c r="C609"/>
    </row>
    <row r="610" spans="2:3" x14ac:dyDescent="0.35">
      <c r="B610"/>
      <c r="C610"/>
    </row>
    <row r="611" spans="2:3" x14ac:dyDescent="0.35">
      <c r="B611"/>
      <c r="C611"/>
    </row>
    <row r="612" spans="2:3" x14ac:dyDescent="0.35">
      <c r="B612"/>
      <c r="C612"/>
    </row>
    <row r="613" spans="2:3" x14ac:dyDescent="0.35">
      <c r="B613"/>
      <c r="C613"/>
    </row>
    <row r="614" spans="2:3" x14ac:dyDescent="0.35">
      <c r="B614"/>
      <c r="C614"/>
    </row>
    <row r="615" spans="2:3" x14ac:dyDescent="0.35">
      <c r="B615"/>
      <c r="C615"/>
    </row>
    <row r="616" spans="2:3" x14ac:dyDescent="0.35">
      <c r="B616"/>
      <c r="C616"/>
    </row>
    <row r="617" spans="2:3" x14ac:dyDescent="0.35">
      <c r="B617"/>
      <c r="C617"/>
    </row>
    <row r="618" spans="2:3" x14ac:dyDescent="0.35">
      <c r="B618"/>
      <c r="C618"/>
    </row>
    <row r="619" spans="2:3" x14ac:dyDescent="0.35">
      <c r="B619"/>
      <c r="C619"/>
    </row>
    <row r="620" spans="2:3" x14ac:dyDescent="0.35">
      <c r="B620"/>
      <c r="C620"/>
    </row>
    <row r="621" spans="2:3" x14ac:dyDescent="0.35">
      <c r="B621"/>
      <c r="C621"/>
    </row>
    <row r="622" spans="2:3" x14ac:dyDescent="0.35">
      <c r="B622"/>
      <c r="C622"/>
    </row>
    <row r="623" spans="2:3" x14ac:dyDescent="0.35">
      <c r="B623"/>
      <c r="C623"/>
    </row>
    <row r="624" spans="2:3" x14ac:dyDescent="0.35">
      <c r="B624"/>
      <c r="C624"/>
    </row>
    <row r="625" spans="2:3" x14ac:dyDescent="0.35">
      <c r="B625"/>
      <c r="C625"/>
    </row>
    <row r="626" spans="2:3" x14ac:dyDescent="0.35">
      <c r="B626"/>
      <c r="C626"/>
    </row>
    <row r="627" spans="2:3" x14ac:dyDescent="0.35">
      <c r="B627"/>
      <c r="C627"/>
    </row>
    <row r="628" spans="2:3" x14ac:dyDescent="0.35">
      <c r="B628"/>
      <c r="C628"/>
    </row>
    <row r="629" spans="2:3" x14ac:dyDescent="0.35">
      <c r="B629"/>
      <c r="C629"/>
    </row>
    <row r="630" spans="2:3" x14ac:dyDescent="0.35">
      <c r="B630"/>
      <c r="C630"/>
    </row>
    <row r="631" spans="2:3" x14ac:dyDescent="0.35">
      <c r="B631"/>
      <c r="C631"/>
    </row>
    <row r="632" spans="2:3" x14ac:dyDescent="0.35">
      <c r="B632"/>
      <c r="C632"/>
    </row>
    <row r="633" spans="2:3" x14ac:dyDescent="0.35">
      <c r="B633"/>
      <c r="C633"/>
    </row>
    <row r="634" spans="2:3" x14ac:dyDescent="0.35">
      <c r="B634"/>
      <c r="C634"/>
    </row>
    <row r="635" spans="2:3" x14ac:dyDescent="0.35">
      <c r="B635"/>
      <c r="C635"/>
    </row>
    <row r="636" spans="2:3" x14ac:dyDescent="0.35">
      <c r="B636"/>
      <c r="C636"/>
    </row>
    <row r="637" spans="2:3" x14ac:dyDescent="0.35">
      <c r="B637"/>
      <c r="C637"/>
    </row>
    <row r="638" spans="2:3" x14ac:dyDescent="0.35">
      <c r="B638"/>
      <c r="C638"/>
    </row>
    <row r="639" spans="2:3" x14ac:dyDescent="0.35">
      <c r="B639"/>
      <c r="C639"/>
    </row>
    <row r="640" spans="2:3" x14ac:dyDescent="0.35">
      <c r="B640"/>
      <c r="C640"/>
    </row>
    <row r="641" spans="2:3" x14ac:dyDescent="0.35">
      <c r="B641"/>
      <c r="C641"/>
    </row>
    <row r="642" spans="2:3" x14ac:dyDescent="0.35">
      <c r="B642"/>
      <c r="C642"/>
    </row>
    <row r="643" spans="2:3" x14ac:dyDescent="0.35">
      <c r="B643"/>
      <c r="C643"/>
    </row>
    <row r="644" spans="2:3" x14ac:dyDescent="0.35">
      <c r="B644"/>
      <c r="C644"/>
    </row>
    <row r="645" spans="2:3" x14ac:dyDescent="0.35">
      <c r="B645"/>
      <c r="C645"/>
    </row>
    <row r="646" spans="2:3" x14ac:dyDescent="0.35">
      <c r="B646"/>
      <c r="C646"/>
    </row>
    <row r="647" spans="2:3" x14ac:dyDescent="0.35">
      <c r="B647"/>
      <c r="C647"/>
    </row>
    <row r="648" spans="2:3" x14ac:dyDescent="0.35">
      <c r="B648"/>
      <c r="C648"/>
    </row>
    <row r="649" spans="2:3" x14ac:dyDescent="0.35">
      <c r="B649"/>
      <c r="C649"/>
    </row>
    <row r="650" spans="2:3" x14ac:dyDescent="0.35">
      <c r="B650"/>
      <c r="C650"/>
    </row>
    <row r="651" spans="2:3" x14ac:dyDescent="0.35">
      <c r="B651"/>
      <c r="C651"/>
    </row>
    <row r="652" spans="2:3" x14ac:dyDescent="0.35">
      <c r="B652"/>
      <c r="C652"/>
    </row>
    <row r="653" spans="2:3" x14ac:dyDescent="0.35">
      <c r="B653"/>
      <c r="C653"/>
    </row>
    <row r="654" spans="2:3" x14ac:dyDescent="0.35">
      <c r="B654"/>
      <c r="C654"/>
    </row>
    <row r="655" spans="2:3" x14ac:dyDescent="0.35">
      <c r="B655"/>
      <c r="C655"/>
    </row>
    <row r="656" spans="2:3" x14ac:dyDescent="0.35">
      <c r="B656"/>
      <c r="C656"/>
    </row>
    <row r="657" spans="2:3" x14ac:dyDescent="0.35">
      <c r="B657"/>
      <c r="C657"/>
    </row>
    <row r="658" spans="2:3" x14ac:dyDescent="0.35">
      <c r="B658"/>
      <c r="C658"/>
    </row>
    <row r="659" spans="2:3" x14ac:dyDescent="0.35">
      <c r="B659"/>
      <c r="C659"/>
    </row>
    <row r="660" spans="2:3" x14ac:dyDescent="0.35">
      <c r="B660"/>
      <c r="C660"/>
    </row>
    <row r="661" spans="2:3" x14ac:dyDescent="0.35">
      <c r="B661"/>
      <c r="C661"/>
    </row>
    <row r="662" spans="2:3" x14ac:dyDescent="0.35">
      <c r="B662"/>
      <c r="C662"/>
    </row>
    <row r="663" spans="2:3" x14ac:dyDescent="0.35">
      <c r="B663"/>
      <c r="C663"/>
    </row>
    <row r="664" spans="2:3" x14ac:dyDescent="0.35">
      <c r="B664"/>
      <c r="C664"/>
    </row>
    <row r="665" spans="2:3" x14ac:dyDescent="0.35">
      <c r="B665"/>
      <c r="C665"/>
    </row>
    <row r="666" spans="2:3" x14ac:dyDescent="0.35">
      <c r="B666"/>
      <c r="C666"/>
    </row>
    <row r="667" spans="2:3" x14ac:dyDescent="0.35">
      <c r="B667"/>
      <c r="C667"/>
    </row>
    <row r="668" spans="2:3" x14ac:dyDescent="0.35">
      <c r="B668"/>
      <c r="C668"/>
    </row>
    <row r="669" spans="2:3" x14ac:dyDescent="0.35">
      <c r="B669"/>
      <c r="C669"/>
    </row>
    <row r="670" spans="2:3" x14ac:dyDescent="0.35">
      <c r="B670"/>
      <c r="C670"/>
    </row>
    <row r="671" spans="2:3" x14ac:dyDescent="0.35">
      <c r="B671"/>
      <c r="C671"/>
    </row>
    <row r="672" spans="2:3" x14ac:dyDescent="0.35">
      <c r="B672"/>
      <c r="C672"/>
    </row>
    <row r="673" spans="2:3" x14ac:dyDescent="0.35">
      <c r="B673"/>
      <c r="C673"/>
    </row>
    <row r="674" spans="2:3" x14ac:dyDescent="0.35">
      <c r="B674"/>
      <c r="C674"/>
    </row>
    <row r="675" spans="2:3" x14ac:dyDescent="0.35">
      <c r="B675"/>
      <c r="C675"/>
    </row>
    <row r="676" spans="2:3" x14ac:dyDescent="0.35">
      <c r="B676"/>
      <c r="C676"/>
    </row>
    <row r="677" spans="2:3" x14ac:dyDescent="0.35">
      <c r="B677"/>
      <c r="C677"/>
    </row>
    <row r="678" spans="2:3" x14ac:dyDescent="0.35">
      <c r="B678"/>
      <c r="C678"/>
    </row>
    <row r="679" spans="2:3" x14ac:dyDescent="0.35">
      <c r="B679"/>
      <c r="C679"/>
    </row>
    <row r="680" spans="2:3" x14ac:dyDescent="0.35">
      <c r="B680"/>
      <c r="C680"/>
    </row>
    <row r="681" spans="2:3" x14ac:dyDescent="0.35">
      <c r="B681"/>
      <c r="C681"/>
    </row>
    <row r="682" spans="2:3" x14ac:dyDescent="0.35">
      <c r="B682"/>
      <c r="C682"/>
    </row>
    <row r="683" spans="2:3" x14ac:dyDescent="0.35">
      <c r="B683"/>
      <c r="C683"/>
    </row>
    <row r="684" spans="2:3" x14ac:dyDescent="0.35">
      <c r="B684"/>
      <c r="C684"/>
    </row>
    <row r="685" spans="2:3" x14ac:dyDescent="0.35">
      <c r="B685"/>
      <c r="C685"/>
    </row>
    <row r="686" spans="2:3" x14ac:dyDescent="0.35">
      <c r="B686"/>
      <c r="C686"/>
    </row>
    <row r="687" spans="2:3" x14ac:dyDescent="0.35">
      <c r="B687"/>
      <c r="C687"/>
    </row>
    <row r="688" spans="2:3" x14ac:dyDescent="0.35">
      <c r="B688"/>
      <c r="C688"/>
    </row>
    <row r="689" spans="2:3" x14ac:dyDescent="0.35">
      <c r="B689"/>
      <c r="C689"/>
    </row>
    <row r="690" spans="2:3" x14ac:dyDescent="0.35">
      <c r="B690"/>
      <c r="C690"/>
    </row>
    <row r="691" spans="2:3" x14ac:dyDescent="0.35">
      <c r="B691"/>
      <c r="C691"/>
    </row>
    <row r="692" spans="2:3" x14ac:dyDescent="0.35">
      <c r="B692"/>
      <c r="C692"/>
    </row>
    <row r="693" spans="2:3" x14ac:dyDescent="0.35">
      <c r="B693"/>
      <c r="C693"/>
    </row>
    <row r="694" spans="2:3" x14ac:dyDescent="0.35">
      <c r="B694"/>
      <c r="C694"/>
    </row>
    <row r="695" spans="2:3" x14ac:dyDescent="0.35">
      <c r="B695"/>
      <c r="C695"/>
    </row>
    <row r="696" spans="2:3" x14ac:dyDescent="0.35">
      <c r="B696"/>
      <c r="C696"/>
    </row>
    <row r="697" spans="2:3" x14ac:dyDescent="0.35">
      <c r="B697"/>
      <c r="C697"/>
    </row>
    <row r="698" spans="2:3" x14ac:dyDescent="0.35">
      <c r="B698"/>
      <c r="C698"/>
    </row>
    <row r="699" spans="2:3" x14ac:dyDescent="0.35">
      <c r="B699"/>
      <c r="C699"/>
    </row>
    <row r="700" spans="2:3" x14ac:dyDescent="0.35">
      <c r="B700"/>
      <c r="C700"/>
    </row>
    <row r="701" spans="2:3" x14ac:dyDescent="0.35">
      <c r="B701"/>
      <c r="C701"/>
    </row>
    <row r="702" spans="2:3" x14ac:dyDescent="0.35">
      <c r="B702"/>
      <c r="C702"/>
    </row>
    <row r="703" spans="2:3" x14ac:dyDescent="0.35">
      <c r="B703"/>
      <c r="C703"/>
    </row>
    <row r="704" spans="2:3" x14ac:dyDescent="0.35">
      <c r="B704"/>
      <c r="C704"/>
    </row>
    <row r="705" spans="2:3" x14ac:dyDescent="0.35">
      <c r="B705"/>
      <c r="C705"/>
    </row>
    <row r="706" spans="2:3" x14ac:dyDescent="0.35">
      <c r="B706"/>
      <c r="C706"/>
    </row>
    <row r="707" spans="2:3" x14ac:dyDescent="0.35">
      <c r="B707"/>
      <c r="C707"/>
    </row>
    <row r="708" spans="2:3" x14ac:dyDescent="0.35">
      <c r="B708"/>
      <c r="C708"/>
    </row>
    <row r="709" spans="2:3" x14ac:dyDescent="0.35">
      <c r="B709"/>
      <c r="C709"/>
    </row>
    <row r="710" spans="2:3" x14ac:dyDescent="0.35">
      <c r="B710"/>
      <c r="C710"/>
    </row>
    <row r="711" spans="2:3" x14ac:dyDescent="0.35">
      <c r="B711"/>
      <c r="C711"/>
    </row>
    <row r="712" spans="2:3" x14ac:dyDescent="0.35">
      <c r="B712"/>
      <c r="C712"/>
    </row>
    <row r="713" spans="2:3" x14ac:dyDescent="0.35">
      <c r="B713"/>
      <c r="C713"/>
    </row>
    <row r="714" spans="2:3" x14ac:dyDescent="0.35">
      <c r="B714"/>
      <c r="C714"/>
    </row>
    <row r="715" spans="2:3" x14ac:dyDescent="0.35">
      <c r="B715"/>
      <c r="C715"/>
    </row>
    <row r="716" spans="2:3" x14ac:dyDescent="0.35">
      <c r="B716"/>
      <c r="C716"/>
    </row>
    <row r="717" spans="2:3" x14ac:dyDescent="0.35">
      <c r="B717"/>
      <c r="C717"/>
    </row>
    <row r="718" spans="2:3" x14ac:dyDescent="0.35">
      <c r="B718"/>
      <c r="C718"/>
    </row>
    <row r="719" spans="2:3" x14ac:dyDescent="0.35">
      <c r="B719"/>
      <c r="C719"/>
    </row>
    <row r="720" spans="2:3" x14ac:dyDescent="0.35">
      <c r="B720"/>
      <c r="C720"/>
    </row>
    <row r="721" spans="2:3" x14ac:dyDescent="0.35">
      <c r="B721"/>
      <c r="C721"/>
    </row>
    <row r="722" spans="2:3" x14ac:dyDescent="0.35">
      <c r="B722"/>
      <c r="C722"/>
    </row>
    <row r="723" spans="2:3" x14ac:dyDescent="0.35">
      <c r="B723"/>
      <c r="C723"/>
    </row>
    <row r="724" spans="2:3" x14ac:dyDescent="0.35">
      <c r="B724"/>
      <c r="C724"/>
    </row>
    <row r="725" spans="2:3" x14ac:dyDescent="0.35">
      <c r="B725"/>
      <c r="C725"/>
    </row>
    <row r="726" spans="2:3" x14ac:dyDescent="0.35">
      <c r="B726"/>
      <c r="C726"/>
    </row>
    <row r="727" spans="2:3" x14ac:dyDescent="0.35">
      <c r="B727"/>
      <c r="C727"/>
    </row>
    <row r="728" spans="2:3" x14ac:dyDescent="0.35">
      <c r="B728"/>
      <c r="C728"/>
    </row>
    <row r="729" spans="2:3" x14ac:dyDescent="0.35">
      <c r="B729"/>
      <c r="C729"/>
    </row>
    <row r="730" spans="2:3" x14ac:dyDescent="0.35">
      <c r="B730"/>
      <c r="C730"/>
    </row>
    <row r="731" spans="2:3" x14ac:dyDescent="0.35">
      <c r="B731"/>
      <c r="C731"/>
    </row>
    <row r="732" spans="2:3" x14ac:dyDescent="0.35">
      <c r="B732"/>
      <c r="C732"/>
    </row>
    <row r="733" spans="2:3" x14ac:dyDescent="0.35">
      <c r="B733"/>
      <c r="C733"/>
    </row>
    <row r="734" spans="2:3" x14ac:dyDescent="0.35">
      <c r="B734"/>
      <c r="C734"/>
    </row>
    <row r="735" spans="2:3" x14ac:dyDescent="0.35">
      <c r="B735"/>
      <c r="C735"/>
    </row>
    <row r="736" spans="2:3" x14ac:dyDescent="0.35">
      <c r="B736"/>
      <c r="C736"/>
    </row>
    <row r="737" spans="2:3" x14ac:dyDescent="0.35">
      <c r="B737"/>
      <c r="C737"/>
    </row>
    <row r="738" spans="2:3" x14ac:dyDescent="0.35">
      <c r="B738"/>
      <c r="C738"/>
    </row>
    <row r="739" spans="2:3" x14ac:dyDescent="0.35">
      <c r="B739"/>
      <c r="C739"/>
    </row>
    <row r="740" spans="2:3" x14ac:dyDescent="0.35">
      <c r="B740"/>
      <c r="C740"/>
    </row>
    <row r="741" spans="2:3" x14ac:dyDescent="0.35">
      <c r="B741"/>
      <c r="C741"/>
    </row>
    <row r="742" spans="2:3" x14ac:dyDescent="0.35">
      <c r="B742"/>
      <c r="C742"/>
    </row>
    <row r="743" spans="2:3" x14ac:dyDescent="0.35">
      <c r="B743"/>
      <c r="C743"/>
    </row>
    <row r="744" spans="2:3" x14ac:dyDescent="0.35">
      <c r="B744"/>
      <c r="C744"/>
    </row>
    <row r="745" spans="2:3" x14ac:dyDescent="0.35">
      <c r="B745"/>
      <c r="C745"/>
    </row>
    <row r="746" spans="2:3" x14ac:dyDescent="0.35">
      <c r="B746"/>
      <c r="C746"/>
    </row>
    <row r="747" spans="2:3" x14ac:dyDescent="0.35">
      <c r="B747"/>
      <c r="C747"/>
    </row>
    <row r="748" spans="2:3" x14ac:dyDescent="0.35">
      <c r="B748"/>
      <c r="C748"/>
    </row>
    <row r="749" spans="2:3" x14ac:dyDescent="0.35">
      <c r="B749"/>
      <c r="C749"/>
    </row>
    <row r="750" spans="2:3" x14ac:dyDescent="0.35">
      <c r="B750"/>
      <c r="C750"/>
    </row>
    <row r="751" spans="2:3" x14ac:dyDescent="0.35">
      <c r="B751"/>
      <c r="C751"/>
    </row>
    <row r="752" spans="2:3" x14ac:dyDescent="0.35">
      <c r="B752"/>
      <c r="C752"/>
    </row>
    <row r="753" spans="2:3" x14ac:dyDescent="0.35">
      <c r="B753"/>
      <c r="C753"/>
    </row>
    <row r="754" spans="2:3" x14ac:dyDescent="0.35">
      <c r="B754"/>
      <c r="C754"/>
    </row>
    <row r="755" spans="2:3" x14ac:dyDescent="0.35">
      <c r="B755"/>
      <c r="C755"/>
    </row>
    <row r="756" spans="2:3" x14ac:dyDescent="0.35">
      <c r="B756"/>
      <c r="C756"/>
    </row>
    <row r="757" spans="2:3" x14ac:dyDescent="0.35">
      <c r="B757"/>
      <c r="C757"/>
    </row>
    <row r="758" spans="2:3" x14ac:dyDescent="0.35">
      <c r="B758"/>
      <c r="C758"/>
    </row>
    <row r="759" spans="2:3" x14ac:dyDescent="0.35">
      <c r="B759"/>
      <c r="C759"/>
    </row>
    <row r="760" spans="2:3" x14ac:dyDescent="0.35">
      <c r="B760"/>
      <c r="C760"/>
    </row>
    <row r="761" spans="2:3" x14ac:dyDescent="0.35">
      <c r="B761"/>
      <c r="C761"/>
    </row>
    <row r="762" spans="2:3" x14ac:dyDescent="0.35">
      <c r="B762"/>
      <c r="C762"/>
    </row>
    <row r="763" spans="2:3" x14ac:dyDescent="0.35">
      <c r="B763"/>
      <c r="C763"/>
    </row>
    <row r="764" spans="2:3" x14ac:dyDescent="0.35">
      <c r="B764"/>
      <c r="C764"/>
    </row>
    <row r="765" spans="2:3" x14ac:dyDescent="0.35">
      <c r="B765"/>
      <c r="C765"/>
    </row>
    <row r="766" spans="2:3" x14ac:dyDescent="0.35">
      <c r="B766"/>
      <c r="C766"/>
    </row>
    <row r="767" spans="2:3" x14ac:dyDescent="0.35">
      <c r="B767"/>
      <c r="C767"/>
    </row>
    <row r="768" spans="2:3" x14ac:dyDescent="0.35">
      <c r="B768"/>
      <c r="C768"/>
    </row>
    <row r="769" spans="2:3" x14ac:dyDescent="0.35">
      <c r="B769"/>
      <c r="C769"/>
    </row>
    <row r="770" spans="2:3" x14ac:dyDescent="0.35">
      <c r="B770"/>
      <c r="C770"/>
    </row>
    <row r="771" spans="2:3" x14ac:dyDescent="0.35">
      <c r="B771"/>
      <c r="C771"/>
    </row>
    <row r="772" spans="2:3" x14ac:dyDescent="0.35">
      <c r="B772"/>
      <c r="C772"/>
    </row>
    <row r="773" spans="2:3" x14ac:dyDescent="0.35">
      <c r="B773"/>
      <c r="C773"/>
    </row>
    <row r="774" spans="2:3" x14ac:dyDescent="0.35">
      <c r="B774"/>
      <c r="C774"/>
    </row>
    <row r="775" spans="2:3" x14ac:dyDescent="0.35">
      <c r="B775"/>
      <c r="C775"/>
    </row>
    <row r="776" spans="2:3" x14ac:dyDescent="0.35">
      <c r="B776"/>
      <c r="C776"/>
    </row>
    <row r="777" spans="2:3" x14ac:dyDescent="0.35">
      <c r="B777"/>
      <c r="C777"/>
    </row>
    <row r="778" spans="2:3" x14ac:dyDescent="0.35">
      <c r="B778"/>
      <c r="C778"/>
    </row>
    <row r="779" spans="2:3" x14ac:dyDescent="0.35">
      <c r="B779"/>
      <c r="C779"/>
    </row>
    <row r="780" spans="2:3" x14ac:dyDescent="0.35">
      <c r="B780"/>
      <c r="C780"/>
    </row>
    <row r="781" spans="2:3" x14ac:dyDescent="0.35">
      <c r="B781"/>
      <c r="C781"/>
    </row>
    <row r="782" spans="2:3" x14ac:dyDescent="0.35">
      <c r="B782"/>
      <c r="C782"/>
    </row>
    <row r="783" spans="2:3" x14ac:dyDescent="0.35">
      <c r="B783"/>
      <c r="C783"/>
    </row>
    <row r="784" spans="2:3" x14ac:dyDescent="0.35">
      <c r="B784"/>
      <c r="C784"/>
    </row>
    <row r="785" spans="2:3" x14ac:dyDescent="0.35">
      <c r="B785"/>
      <c r="C785"/>
    </row>
    <row r="786" spans="2:3" x14ac:dyDescent="0.35">
      <c r="B786"/>
      <c r="C786"/>
    </row>
    <row r="787" spans="2:3" x14ac:dyDescent="0.35">
      <c r="B787"/>
      <c r="C787"/>
    </row>
    <row r="788" spans="2:3" x14ac:dyDescent="0.35">
      <c r="B788"/>
      <c r="C788"/>
    </row>
    <row r="789" spans="2:3" x14ac:dyDescent="0.35">
      <c r="B789"/>
      <c r="C789"/>
    </row>
    <row r="790" spans="2:3" x14ac:dyDescent="0.35">
      <c r="B790"/>
      <c r="C790"/>
    </row>
    <row r="791" spans="2:3" x14ac:dyDescent="0.35">
      <c r="B791"/>
      <c r="C791"/>
    </row>
    <row r="792" spans="2:3" x14ac:dyDescent="0.35">
      <c r="B792"/>
      <c r="C792"/>
    </row>
    <row r="793" spans="2:3" x14ac:dyDescent="0.35">
      <c r="B793"/>
      <c r="C793"/>
    </row>
    <row r="794" spans="2:3" x14ac:dyDescent="0.35">
      <c r="B794"/>
      <c r="C794"/>
    </row>
    <row r="795" spans="2:3" x14ac:dyDescent="0.35">
      <c r="B795"/>
      <c r="C795"/>
    </row>
    <row r="796" spans="2:3" x14ac:dyDescent="0.35">
      <c r="B796"/>
      <c r="C796"/>
    </row>
    <row r="797" spans="2:3" x14ac:dyDescent="0.35">
      <c r="B797"/>
      <c r="C797"/>
    </row>
    <row r="798" spans="2:3" x14ac:dyDescent="0.35">
      <c r="B798"/>
      <c r="C798"/>
    </row>
    <row r="799" spans="2:3" x14ac:dyDescent="0.35">
      <c r="B799"/>
      <c r="C799"/>
    </row>
    <row r="800" spans="2:3" x14ac:dyDescent="0.35">
      <c r="B800"/>
      <c r="C800"/>
    </row>
    <row r="801" spans="2:3" x14ac:dyDescent="0.35">
      <c r="B801"/>
      <c r="C801"/>
    </row>
    <row r="802" spans="2:3" x14ac:dyDescent="0.35">
      <c r="B802"/>
      <c r="C802"/>
    </row>
    <row r="803" spans="2:3" x14ac:dyDescent="0.35">
      <c r="B803"/>
      <c r="C803"/>
    </row>
    <row r="804" spans="2:3" x14ac:dyDescent="0.35">
      <c r="B804"/>
      <c r="C804"/>
    </row>
    <row r="805" spans="2:3" x14ac:dyDescent="0.35">
      <c r="B805"/>
      <c r="C805"/>
    </row>
    <row r="806" spans="2:3" x14ac:dyDescent="0.35">
      <c r="B806"/>
      <c r="C806"/>
    </row>
    <row r="807" spans="2:3" x14ac:dyDescent="0.35">
      <c r="B807"/>
      <c r="C807"/>
    </row>
    <row r="808" spans="2:3" x14ac:dyDescent="0.35">
      <c r="B808"/>
      <c r="C808"/>
    </row>
    <row r="809" spans="2:3" x14ac:dyDescent="0.35">
      <c r="B809"/>
      <c r="C809"/>
    </row>
    <row r="810" spans="2:3" x14ac:dyDescent="0.35">
      <c r="B810"/>
      <c r="C810"/>
    </row>
    <row r="811" spans="2:3" x14ac:dyDescent="0.35">
      <c r="B811"/>
      <c r="C811"/>
    </row>
    <row r="812" spans="2:3" x14ac:dyDescent="0.35">
      <c r="B812"/>
      <c r="C812"/>
    </row>
    <row r="813" spans="2:3" x14ac:dyDescent="0.35">
      <c r="B813"/>
      <c r="C813"/>
    </row>
    <row r="814" spans="2:3" x14ac:dyDescent="0.35">
      <c r="B814"/>
      <c r="C814"/>
    </row>
    <row r="815" spans="2:3" x14ac:dyDescent="0.35">
      <c r="B815"/>
      <c r="C815"/>
    </row>
    <row r="816" spans="2:3" x14ac:dyDescent="0.35">
      <c r="B816"/>
      <c r="C816"/>
    </row>
    <row r="817" spans="2:3" x14ac:dyDescent="0.35">
      <c r="B817"/>
      <c r="C817"/>
    </row>
    <row r="818" spans="2:3" x14ac:dyDescent="0.35">
      <c r="B818"/>
      <c r="C818"/>
    </row>
    <row r="819" spans="2:3" x14ac:dyDescent="0.35">
      <c r="B819"/>
      <c r="C819"/>
    </row>
    <row r="820" spans="2:3" x14ac:dyDescent="0.35">
      <c r="B820"/>
      <c r="C820"/>
    </row>
    <row r="821" spans="2:3" x14ac:dyDescent="0.35">
      <c r="B821"/>
      <c r="C821"/>
    </row>
    <row r="822" spans="2:3" x14ac:dyDescent="0.35">
      <c r="B822"/>
      <c r="C822"/>
    </row>
    <row r="823" spans="2:3" x14ac:dyDescent="0.35">
      <c r="B823"/>
      <c r="C823"/>
    </row>
    <row r="824" spans="2:3" x14ac:dyDescent="0.35">
      <c r="B824"/>
      <c r="C824"/>
    </row>
    <row r="825" spans="2:3" x14ac:dyDescent="0.35">
      <c r="B825"/>
      <c r="C825"/>
    </row>
    <row r="826" spans="2:3" x14ac:dyDescent="0.35">
      <c r="B826"/>
      <c r="C826"/>
    </row>
    <row r="827" spans="2:3" x14ac:dyDescent="0.35">
      <c r="B827"/>
      <c r="C827"/>
    </row>
    <row r="828" spans="2:3" x14ac:dyDescent="0.35">
      <c r="B828"/>
      <c r="C828"/>
    </row>
    <row r="829" spans="2:3" x14ac:dyDescent="0.35">
      <c r="B829"/>
      <c r="C829"/>
    </row>
    <row r="830" spans="2:3" x14ac:dyDescent="0.35">
      <c r="B830"/>
      <c r="C830"/>
    </row>
    <row r="831" spans="2:3" x14ac:dyDescent="0.35">
      <c r="B831"/>
      <c r="C831"/>
    </row>
    <row r="832" spans="2:3" x14ac:dyDescent="0.35">
      <c r="B832"/>
      <c r="C832"/>
    </row>
    <row r="833" spans="2:3" x14ac:dyDescent="0.35">
      <c r="B833"/>
      <c r="C833"/>
    </row>
    <row r="834" spans="2:3" x14ac:dyDescent="0.35">
      <c r="B834"/>
      <c r="C834"/>
    </row>
    <row r="835" spans="2:3" x14ac:dyDescent="0.35">
      <c r="B835"/>
      <c r="C835"/>
    </row>
    <row r="836" spans="2:3" x14ac:dyDescent="0.35">
      <c r="B836"/>
      <c r="C836"/>
    </row>
    <row r="837" spans="2:3" x14ac:dyDescent="0.35">
      <c r="B837"/>
      <c r="C837"/>
    </row>
    <row r="838" spans="2:3" x14ac:dyDescent="0.35">
      <c r="B838"/>
      <c r="C838"/>
    </row>
    <row r="839" spans="2:3" x14ac:dyDescent="0.35">
      <c r="B839"/>
      <c r="C839"/>
    </row>
    <row r="840" spans="2:3" x14ac:dyDescent="0.35">
      <c r="B840"/>
      <c r="C840"/>
    </row>
    <row r="841" spans="2:3" x14ac:dyDescent="0.35">
      <c r="B841"/>
      <c r="C841"/>
    </row>
    <row r="842" spans="2:3" x14ac:dyDescent="0.35">
      <c r="B842"/>
      <c r="C842"/>
    </row>
    <row r="843" spans="2:3" x14ac:dyDescent="0.35">
      <c r="B843"/>
      <c r="C843"/>
    </row>
    <row r="844" spans="2:3" x14ac:dyDescent="0.35">
      <c r="B844"/>
      <c r="C844"/>
    </row>
    <row r="845" spans="2:3" x14ac:dyDescent="0.35">
      <c r="B845"/>
      <c r="C845"/>
    </row>
    <row r="846" spans="2:3" x14ac:dyDescent="0.35">
      <c r="B846"/>
      <c r="C846"/>
    </row>
    <row r="847" spans="2:3" x14ac:dyDescent="0.35">
      <c r="B847"/>
      <c r="C847"/>
    </row>
    <row r="848" spans="2:3" x14ac:dyDescent="0.35">
      <c r="B848"/>
      <c r="C848"/>
    </row>
    <row r="849" spans="2:3" x14ac:dyDescent="0.35">
      <c r="B849"/>
      <c r="C849"/>
    </row>
    <row r="850" spans="2:3" x14ac:dyDescent="0.35">
      <c r="B850"/>
      <c r="C850"/>
    </row>
    <row r="851" spans="2:3" x14ac:dyDescent="0.35">
      <c r="B851"/>
      <c r="C851"/>
    </row>
    <row r="852" spans="2:3" x14ac:dyDescent="0.35">
      <c r="B852"/>
      <c r="C852"/>
    </row>
    <row r="853" spans="2:3" x14ac:dyDescent="0.35">
      <c r="B853"/>
      <c r="C853"/>
    </row>
    <row r="854" spans="2:3" x14ac:dyDescent="0.35">
      <c r="B854"/>
      <c r="C854"/>
    </row>
    <row r="855" spans="2:3" x14ac:dyDescent="0.35">
      <c r="B855"/>
      <c r="C855"/>
    </row>
    <row r="856" spans="2:3" x14ac:dyDescent="0.35">
      <c r="B856"/>
      <c r="C856"/>
    </row>
    <row r="857" spans="2:3" x14ac:dyDescent="0.35">
      <c r="B857"/>
      <c r="C857"/>
    </row>
    <row r="858" spans="2:3" x14ac:dyDescent="0.35">
      <c r="B858"/>
      <c r="C858"/>
    </row>
    <row r="859" spans="2:3" x14ac:dyDescent="0.35">
      <c r="B859"/>
      <c r="C859"/>
    </row>
    <row r="860" spans="2:3" x14ac:dyDescent="0.35">
      <c r="B860"/>
      <c r="C860"/>
    </row>
    <row r="861" spans="2:3" x14ac:dyDescent="0.35">
      <c r="B861"/>
      <c r="C861"/>
    </row>
    <row r="862" spans="2:3" x14ac:dyDescent="0.35">
      <c r="B862"/>
      <c r="C862"/>
    </row>
    <row r="863" spans="2:3" x14ac:dyDescent="0.35">
      <c r="B863"/>
      <c r="C863"/>
    </row>
    <row r="864" spans="2:3" x14ac:dyDescent="0.35">
      <c r="B864"/>
      <c r="C864"/>
    </row>
    <row r="865" spans="2:3" x14ac:dyDescent="0.35">
      <c r="B865"/>
      <c r="C865"/>
    </row>
    <row r="866" spans="2:3" x14ac:dyDescent="0.35">
      <c r="B866"/>
      <c r="C866"/>
    </row>
    <row r="867" spans="2:3" x14ac:dyDescent="0.35">
      <c r="B867"/>
      <c r="C867"/>
    </row>
    <row r="868" spans="2:3" x14ac:dyDescent="0.35">
      <c r="B868"/>
      <c r="C868"/>
    </row>
    <row r="869" spans="2:3" x14ac:dyDescent="0.35">
      <c r="B869"/>
      <c r="C869"/>
    </row>
    <row r="870" spans="2:3" x14ac:dyDescent="0.35">
      <c r="B870"/>
      <c r="C870"/>
    </row>
    <row r="871" spans="2:3" x14ac:dyDescent="0.35">
      <c r="B871"/>
      <c r="C871"/>
    </row>
    <row r="872" spans="2:3" x14ac:dyDescent="0.35">
      <c r="B872"/>
      <c r="C872"/>
    </row>
    <row r="873" spans="2:3" x14ac:dyDescent="0.35">
      <c r="B873"/>
      <c r="C873"/>
    </row>
    <row r="874" spans="2:3" x14ac:dyDescent="0.35">
      <c r="B874"/>
      <c r="C874"/>
    </row>
    <row r="875" spans="2:3" x14ac:dyDescent="0.35">
      <c r="B875"/>
      <c r="C875"/>
    </row>
    <row r="876" spans="2:3" x14ac:dyDescent="0.35">
      <c r="B876"/>
      <c r="C876"/>
    </row>
    <row r="877" spans="2:3" x14ac:dyDescent="0.35">
      <c r="B877"/>
      <c r="C877"/>
    </row>
    <row r="878" spans="2:3" x14ac:dyDescent="0.35">
      <c r="B878"/>
      <c r="C878"/>
    </row>
    <row r="879" spans="2:3" x14ac:dyDescent="0.35">
      <c r="B879"/>
      <c r="C879"/>
    </row>
    <row r="880" spans="2:3" x14ac:dyDescent="0.35">
      <c r="B880"/>
      <c r="C880"/>
    </row>
    <row r="881" spans="2:3" x14ac:dyDescent="0.35">
      <c r="B881"/>
      <c r="C881"/>
    </row>
    <row r="882" spans="2:3" x14ac:dyDescent="0.35">
      <c r="B882"/>
      <c r="C882"/>
    </row>
    <row r="883" spans="2:3" x14ac:dyDescent="0.35">
      <c r="B883"/>
      <c r="C883"/>
    </row>
    <row r="884" spans="2:3" x14ac:dyDescent="0.35">
      <c r="B884"/>
      <c r="C884"/>
    </row>
    <row r="885" spans="2:3" x14ac:dyDescent="0.35">
      <c r="B885"/>
      <c r="C885"/>
    </row>
    <row r="886" spans="2:3" x14ac:dyDescent="0.35">
      <c r="B886"/>
      <c r="C886"/>
    </row>
    <row r="887" spans="2:3" x14ac:dyDescent="0.35">
      <c r="B887"/>
      <c r="C887"/>
    </row>
    <row r="888" spans="2:3" x14ac:dyDescent="0.35">
      <c r="B888"/>
      <c r="C888"/>
    </row>
    <row r="889" spans="2:3" x14ac:dyDescent="0.35">
      <c r="B889"/>
      <c r="C889"/>
    </row>
    <row r="890" spans="2:3" x14ac:dyDescent="0.35">
      <c r="B890"/>
      <c r="C890"/>
    </row>
    <row r="891" spans="2:3" x14ac:dyDescent="0.35">
      <c r="B891"/>
      <c r="C891"/>
    </row>
    <row r="892" spans="2:3" x14ac:dyDescent="0.35">
      <c r="B892"/>
      <c r="C892"/>
    </row>
    <row r="893" spans="2:3" x14ac:dyDescent="0.35">
      <c r="B893"/>
      <c r="C893"/>
    </row>
    <row r="894" spans="2:3" x14ac:dyDescent="0.35">
      <c r="B894"/>
      <c r="C894"/>
    </row>
    <row r="895" spans="2:3" x14ac:dyDescent="0.35">
      <c r="B895"/>
      <c r="C895"/>
    </row>
    <row r="896" spans="2:3" x14ac:dyDescent="0.35">
      <c r="B896"/>
      <c r="C896"/>
    </row>
    <row r="897" spans="2:3" x14ac:dyDescent="0.35">
      <c r="B897"/>
      <c r="C897"/>
    </row>
    <row r="898" spans="2:3" x14ac:dyDescent="0.35">
      <c r="B898"/>
      <c r="C898"/>
    </row>
    <row r="899" spans="2:3" x14ac:dyDescent="0.35">
      <c r="B899"/>
      <c r="C899"/>
    </row>
    <row r="900" spans="2:3" x14ac:dyDescent="0.35">
      <c r="B900"/>
      <c r="C900"/>
    </row>
    <row r="901" spans="2:3" x14ac:dyDescent="0.35">
      <c r="B901"/>
      <c r="C901"/>
    </row>
    <row r="902" spans="2:3" x14ac:dyDescent="0.35">
      <c r="B902"/>
      <c r="C902"/>
    </row>
    <row r="903" spans="2:3" x14ac:dyDescent="0.35">
      <c r="B903"/>
      <c r="C903"/>
    </row>
    <row r="904" spans="2:3" x14ac:dyDescent="0.35">
      <c r="B904"/>
      <c r="C904"/>
    </row>
    <row r="905" spans="2:3" x14ac:dyDescent="0.35">
      <c r="B905"/>
      <c r="C905"/>
    </row>
    <row r="906" spans="2:3" x14ac:dyDescent="0.35">
      <c r="B906"/>
      <c r="C906"/>
    </row>
    <row r="907" spans="2:3" x14ac:dyDescent="0.35">
      <c r="B907"/>
      <c r="C907"/>
    </row>
    <row r="908" spans="2:3" x14ac:dyDescent="0.35">
      <c r="B908"/>
      <c r="C908"/>
    </row>
    <row r="909" spans="2:3" x14ac:dyDescent="0.35">
      <c r="B909"/>
      <c r="C909"/>
    </row>
    <row r="910" spans="2:3" x14ac:dyDescent="0.35">
      <c r="B910"/>
      <c r="C910"/>
    </row>
    <row r="911" spans="2:3" x14ac:dyDescent="0.35">
      <c r="B911"/>
      <c r="C911"/>
    </row>
    <row r="912" spans="2:3" x14ac:dyDescent="0.35">
      <c r="B912"/>
      <c r="C912"/>
    </row>
    <row r="913" spans="2:3" x14ac:dyDescent="0.35">
      <c r="B913"/>
      <c r="C913"/>
    </row>
    <row r="914" spans="2:3" x14ac:dyDescent="0.35">
      <c r="B914"/>
      <c r="C914"/>
    </row>
    <row r="915" spans="2:3" x14ac:dyDescent="0.35">
      <c r="B915"/>
      <c r="C915"/>
    </row>
    <row r="916" spans="2:3" x14ac:dyDescent="0.35">
      <c r="B916"/>
      <c r="C916"/>
    </row>
    <row r="917" spans="2:3" x14ac:dyDescent="0.35">
      <c r="B917"/>
      <c r="C917"/>
    </row>
    <row r="918" spans="2:3" x14ac:dyDescent="0.35">
      <c r="B918"/>
      <c r="C918"/>
    </row>
    <row r="919" spans="2:3" x14ac:dyDescent="0.35">
      <c r="B919"/>
      <c r="C919"/>
    </row>
    <row r="920" spans="2:3" x14ac:dyDescent="0.35">
      <c r="B920"/>
      <c r="C920"/>
    </row>
    <row r="921" spans="2:3" x14ac:dyDescent="0.35">
      <c r="B921"/>
      <c r="C921"/>
    </row>
    <row r="922" spans="2:3" x14ac:dyDescent="0.35">
      <c r="B922"/>
      <c r="C922"/>
    </row>
    <row r="923" spans="2:3" x14ac:dyDescent="0.35">
      <c r="B923"/>
      <c r="C923"/>
    </row>
    <row r="924" spans="2:3" x14ac:dyDescent="0.35">
      <c r="B924"/>
      <c r="C924"/>
    </row>
    <row r="925" spans="2:3" x14ac:dyDescent="0.35">
      <c r="B925"/>
      <c r="C925"/>
    </row>
    <row r="926" spans="2:3" x14ac:dyDescent="0.35">
      <c r="B926"/>
      <c r="C926"/>
    </row>
    <row r="927" spans="2:3" x14ac:dyDescent="0.35">
      <c r="B927"/>
      <c r="C927"/>
    </row>
    <row r="928" spans="2:3" x14ac:dyDescent="0.35">
      <c r="B928"/>
      <c r="C928"/>
    </row>
    <row r="929" spans="2:3" x14ac:dyDescent="0.35">
      <c r="B929"/>
      <c r="C929"/>
    </row>
    <row r="930" spans="2:3" x14ac:dyDescent="0.35">
      <c r="B930"/>
      <c r="C930"/>
    </row>
    <row r="931" spans="2:3" x14ac:dyDescent="0.35">
      <c r="B931"/>
      <c r="C931"/>
    </row>
    <row r="932" spans="2:3" x14ac:dyDescent="0.35">
      <c r="B932"/>
      <c r="C932"/>
    </row>
    <row r="933" spans="2:3" x14ac:dyDescent="0.35">
      <c r="B933"/>
      <c r="C933"/>
    </row>
    <row r="934" spans="2:3" x14ac:dyDescent="0.35">
      <c r="B934"/>
      <c r="C934"/>
    </row>
    <row r="935" spans="2:3" x14ac:dyDescent="0.35">
      <c r="B935"/>
      <c r="C935"/>
    </row>
    <row r="936" spans="2:3" x14ac:dyDescent="0.35">
      <c r="B936"/>
      <c r="C936"/>
    </row>
    <row r="937" spans="2:3" x14ac:dyDescent="0.35">
      <c r="B937"/>
      <c r="C937"/>
    </row>
    <row r="938" spans="2:3" x14ac:dyDescent="0.35">
      <c r="B938"/>
      <c r="C938"/>
    </row>
    <row r="939" spans="2:3" x14ac:dyDescent="0.35">
      <c r="B939"/>
      <c r="C939"/>
    </row>
    <row r="940" spans="2:3" x14ac:dyDescent="0.35">
      <c r="B940"/>
      <c r="C940"/>
    </row>
    <row r="941" spans="2:3" x14ac:dyDescent="0.35">
      <c r="B941"/>
      <c r="C941"/>
    </row>
    <row r="942" spans="2:3" x14ac:dyDescent="0.35">
      <c r="B942"/>
      <c r="C942"/>
    </row>
    <row r="943" spans="2:3" x14ac:dyDescent="0.35">
      <c r="B943"/>
      <c r="C943"/>
    </row>
    <row r="944" spans="2:3" x14ac:dyDescent="0.35">
      <c r="B944"/>
      <c r="C944"/>
    </row>
    <row r="945" spans="2:3" x14ac:dyDescent="0.35">
      <c r="B945"/>
      <c r="C945"/>
    </row>
    <row r="946" spans="2:3" x14ac:dyDescent="0.35">
      <c r="B946"/>
      <c r="C946"/>
    </row>
    <row r="947" spans="2:3" x14ac:dyDescent="0.35">
      <c r="B947"/>
      <c r="C947"/>
    </row>
    <row r="948" spans="2:3" x14ac:dyDescent="0.35">
      <c r="B948"/>
      <c r="C948"/>
    </row>
    <row r="949" spans="2:3" x14ac:dyDescent="0.35">
      <c r="B949"/>
      <c r="C949"/>
    </row>
    <row r="950" spans="2:3" x14ac:dyDescent="0.35">
      <c r="B950"/>
      <c r="C950"/>
    </row>
    <row r="951" spans="2:3" x14ac:dyDescent="0.35">
      <c r="B951"/>
      <c r="C951"/>
    </row>
    <row r="952" spans="2:3" x14ac:dyDescent="0.35">
      <c r="B952"/>
      <c r="C952"/>
    </row>
    <row r="953" spans="2:3" x14ac:dyDescent="0.35">
      <c r="B953"/>
      <c r="C953"/>
    </row>
    <row r="954" spans="2:3" x14ac:dyDescent="0.35">
      <c r="B954"/>
      <c r="C954"/>
    </row>
    <row r="955" spans="2:3" x14ac:dyDescent="0.35">
      <c r="B955"/>
      <c r="C955"/>
    </row>
    <row r="956" spans="2:3" x14ac:dyDescent="0.35">
      <c r="B956"/>
      <c r="C956"/>
    </row>
    <row r="957" spans="2:3" x14ac:dyDescent="0.35">
      <c r="B957"/>
      <c r="C957"/>
    </row>
    <row r="958" spans="2:3" x14ac:dyDescent="0.35">
      <c r="B958"/>
      <c r="C958"/>
    </row>
    <row r="959" spans="2:3" x14ac:dyDescent="0.35">
      <c r="B959"/>
      <c r="C959"/>
    </row>
    <row r="960" spans="2:3" x14ac:dyDescent="0.35">
      <c r="B960"/>
      <c r="C960"/>
    </row>
    <row r="961" spans="2:3" x14ac:dyDescent="0.35">
      <c r="B961"/>
      <c r="C961"/>
    </row>
    <row r="962" spans="2:3" x14ac:dyDescent="0.35">
      <c r="B962"/>
      <c r="C962"/>
    </row>
    <row r="963" spans="2:3" x14ac:dyDescent="0.35">
      <c r="B963"/>
      <c r="C963"/>
    </row>
    <row r="964" spans="2:3" x14ac:dyDescent="0.35">
      <c r="B964"/>
      <c r="C964"/>
    </row>
    <row r="965" spans="2:3" x14ac:dyDescent="0.35">
      <c r="B965"/>
      <c r="C965"/>
    </row>
    <row r="966" spans="2:3" x14ac:dyDescent="0.35">
      <c r="B966"/>
      <c r="C966"/>
    </row>
    <row r="967" spans="2:3" x14ac:dyDescent="0.35">
      <c r="B967"/>
      <c r="C967"/>
    </row>
    <row r="968" spans="2:3" x14ac:dyDescent="0.35">
      <c r="B968"/>
      <c r="C968"/>
    </row>
    <row r="969" spans="2:3" x14ac:dyDescent="0.35">
      <c r="B969"/>
      <c r="C969"/>
    </row>
    <row r="970" spans="2:3" x14ac:dyDescent="0.35">
      <c r="B970"/>
      <c r="C970"/>
    </row>
    <row r="971" spans="2:3" x14ac:dyDescent="0.35">
      <c r="B971"/>
      <c r="C971"/>
    </row>
    <row r="972" spans="2:3" x14ac:dyDescent="0.35">
      <c r="B972"/>
      <c r="C972"/>
    </row>
    <row r="973" spans="2:3" x14ac:dyDescent="0.35">
      <c r="B973"/>
      <c r="C973"/>
    </row>
    <row r="974" spans="2:3" x14ac:dyDescent="0.35">
      <c r="B974"/>
      <c r="C974"/>
    </row>
    <row r="975" spans="2:3" x14ac:dyDescent="0.35">
      <c r="B975"/>
      <c r="C975"/>
    </row>
    <row r="976" spans="2:3" x14ac:dyDescent="0.35">
      <c r="B976"/>
      <c r="C976"/>
    </row>
    <row r="977" spans="2:3" x14ac:dyDescent="0.35">
      <c r="B977"/>
      <c r="C977"/>
    </row>
    <row r="978" spans="2:3" x14ac:dyDescent="0.35">
      <c r="B978"/>
      <c r="C978"/>
    </row>
    <row r="979" spans="2:3" x14ac:dyDescent="0.35">
      <c r="B979"/>
      <c r="C979"/>
    </row>
    <row r="980" spans="2:3" x14ac:dyDescent="0.35">
      <c r="B980"/>
      <c r="C980"/>
    </row>
    <row r="981" spans="2:3" x14ac:dyDescent="0.35">
      <c r="B981"/>
      <c r="C981"/>
    </row>
    <row r="982" spans="2:3" x14ac:dyDescent="0.35">
      <c r="B982"/>
      <c r="C982"/>
    </row>
    <row r="983" spans="2:3" x14ac:dyDescent="0.35">
      <c r="B983"/>
      <c r="C983"/>
    </row>
    <row r="984" spans="2:3" x14ac:dyDescent="0.35">
      <c r="B984"/>
      <c r="C984"/>
    </row>
    <row r="985" spans="2:3" x14ac:dyDescent="0.35">
      <c r="B985"/>
      <c r="C985"/>
    </row>
    <row r="986" spans="2:3" x14ac:dyDescent="0.35">
      <c r="B986"/>
      <c r="C986"/>
    </row>
    <row r="987" spans="2:3" x14ac:dyDescent="0.35">
      <c r="B987"/>
      <c r="C987"/>
    </row>
    <row r="988" spans="2:3" x14ac:dyDescent="0.35">
      <c r="B988"/>
      <c r="C988"/>
    </row>
    <row r="989" spans="2:3" x14ac:dyDescent="0.35">
      <c r="B989"/>
      <c r="C989"/>
    </row>
    <row r="990" spans="2:3" x14ac:dyDescent="0.35">
      <c r="B990"/>
      <c r="C990"/>
    </row>
    <row r="991" spans="2:3" x14ac:dyDescent="0.35">
      <c r="B991"/>
      <c r="C991"/>
    </row>
    <row r="992" spans="2:3" x14ac:dyDescent="0.35">
      <c r="B992"/>
      <c r="C992"/>
    </row>
    <row r="993" spans="2:3" x14ac:dyDescent="0.35">
      <c r="B993"/>
      <c r="C993"/>
    </row>
    <row r="994" spans="2:3" x14ac:dyDescent="0.35">
      <c r="B994"/>
      <c r="C994"/>
    </row>
    <row r="995" spans="2:3" x14ac:dyDescent="0.35">
      <c r="B995"/>
      <c r="C995"/>
    </row>
    <row r="996" spans="2:3" x14ac:dyDescent="0.35">
      <c r="B996"/>
      <c r="C996"/>
    </row>
    <row r="997" spans="2:3" x14ac:dyDescent="0.35">
      <c r="B997"/>
      <c r="C997"/>
    </row>
    <row r="998" spans="2:3" x14ac:dyDescent="0.35">
      <c r="B998"/>
      <c r="C998"/>
    </row>
    <row r="999" spans="2:3" x14ac:dyDescent="0.35">
      <c r="B999"/>
      <c r="C999"/>
    </row>
    <row r="1000" spans="2:3" x14ac:dyDescent="0.35">
      <c r="B1000"/>
      <c r="C1000"/>
    </row>
    <row r="1001" spans="2:3" x14ac:dyDescent="0.35">
      <c r="B1001"/>
      <c r="C1001"/>
    </row>
    <row r="1002" spans="2:3" x14ac:dyDescent="0.35">
      <c r="B1002"/>
      <c r="C1002"/>
    </row>
    <row r="1003" spans="2:3" x14ac:dyDescent="0.35">
      <c r="B1003"/>
      <c r="C1003"/>
    </row>
    <row r="1004" spans="2:3" x14ac:dyDescent="0.35">
      <c r="B1004"/>
      <c r="C1004"/>
    </row>
    <row r="1005" spans="2:3" x14ac:dyDescent="0.35">
      <c r="B1005"/>
      <c r="C1005"/>
    </row>
    <row r="1006" spans="2:3" x14ac:dyDescent="0.35">
      <c r="B1006"/>
      <c r="C1006"/>
    </row>
    <row r="1007" spans="2:3" x14ac:dyDescent="0.35">
      <c r="B1007"/>
      <c r="C1007"/>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7E9F6-BA7F-4F9C-8452-859451474CAD}">
  <dimension ref="B1:CC132"/>
  <sheetViews>
    <sheetView showGridLines="0" topLeftCell="AM7" zoomScale="99" workbookViewId="0">
      <selection activeCell="AE20" sqref="AE20"/>
    </sheetView>
  </sheetViews>
  <sheetFormatPr defaultRowHeight="14.5" x14ac:dyDescent="0.35"/>
  <cols>
    <col min="2" max="2" width="12.54296875" bestFit="1" customWidth="1"/>
    <col min="3" max="3" width="17.81640625" bestFit="1" customWidth="1"/>
    <col min="4" max="4" width="13.54296875" bestFit="1" customWidth="1"/>
    <col min="5" max="5" width="14.54296875" bestFit="1" customWidth="1"/>
    <col min="6" max="6" width="12.453125" bestFit="1" customWidth="1"/>
    <col min="7" max="7" width="33.1796875" bestFit="1" customWidth="1"/>
    <col min="8" max="9" width="13.54296875" bestFit="1" customWidth="1"/>
    <col min="10" max="10" width="12.453125" bestFit="1" customWidth="1"/>
    <col min="11" max="11" width="10.81640625" bestFit="1" customWidth="1"/>
    <col min="12" max="12" width="25.81640625" bestFit="1" customWidth="1"/>
    <col min="13" max="14" width="13.54296875" bestFit="1" customWidth="1"/>
    <col min="15" max="15" width="13.1796875" bestFit="1" customWidth="1"/>
    <col min="16" max="16" width="41.26953125" bestFit="1" customWidth="1"/>
    <col min="17" max="17" width="30.54296875" bestFit="1" customWidth="1"/>
    <col min="18" max="18" width="20.54296875" bestFit="1" customWidth="1"/>
    <col min="19" max="19" width="13" bestFit="1" customWidth="1"/>
    <col min="20" max="20" width="12.08984375" bestFit="1" customWidth="1"/>
    <col min="22" max="22" width="14.1796875" bestFit="1" customWidth="1"/>
    <col min="23" max="23" width="16.453125" bestFit="1" customWidth="1"/>
    <col min="24" max="24" width="16.08984375" bestFit="1" customWidth="1"/>
    <col min="25" max="25" width="17.36328125" bestFit="1" customWidth="1"/>
    <col min="28" max="28" width="8.90625" bestFit="1" customWidth="1"/>
    <col min="29" max="29" width="12.36328125" bestFit="1" customWidth="1"/>
    <col min="30" max="30" width="8.90625" bestFit="1" customWidth="1"/>
    <col min="31" max="31" width="11.54296875" bestFit="1" customWidth="1"/>
    <col min="32" max="32" width="22.81640625" bestFit="1" customWidth="1"/>
    <col min="33" max="33" width="11" bestFit="1" customWidth="1"/>
    <col min="34" max="34" width="17.7265625" bestFit="1" customWidth="1"/>
    <col min="35" max="35" width="11" bestFit="1" customWidth="1"/>
    <col min="36" max="36" width="22.81640625" bestFit="1" customWidth="1"/>
    <col min="37" max="37" width="11" bestFit="1" customWidth="1"/>
    <col min="38" max="38" width="17.7265625" bestFit="1" customWidth="1"/>
    <col min="39" max="39" width="10" bestFit="1" customWidth="1"/>
    <col min="40" max="40" width="22.81640625" bestFit="1" customWidth="1"/>
    <col min="41" max="41" width="11" bestFit="1" customWidth="1"/>
    <col min="42" max="42" width="17.7265625" bestFit="1" customWidth="1"/>
    <col min="43" max="43" width="10" bestFit="1" customWidth="1"/>
    <col min="44" max="44" width="22.81640625" bestFit="1" customWidth="1"/>
    <col min="45" max="45" width="4.90625" bestFit="1" customWidth="1"/>
    <col min="46" max="46" width="17.6328125" bestFit="1" customWidth="1"/>
    <col min="47" max="47" width="10.90625" bestFit="1" customWidth="1"/>
    <col min="48" max="48" width="22.7265625" bestFit="1" customWidth="1"/>
    <col min="49" max="49" width="4.81640625" bestFit="1" customWidth="1"/>
    <col min="50" max="50" width="17.6328125" bestFit="1" customWidth="1"/>
    <col min="51" max="51" width="10.90625" bestFit="1" customWidth="1"/>
    <col min="52" max="52" width="22.7265625" bestFit="1" customWidth="1"/>
    <col min="53" max="53" width="4.81640625" bestFit="1" customWidth="1"/>
    <col min="54" max="54" width="17.6328125" bestFit="1" customWidth="1"/>
    <col min="55" max="55" width="10.90625" bestFit="1" customWidth="1"/>
    <col min="56" max="56" width="22.7265625" bestFit="1" customWidth="1"/>
    <col min="57" max="57" width="4.81640625" bestFit="1" customWidth="1"/>
    <col min="58" max="58" width="17.6328125" bestFit="1" customWidth="1"/>
    <col min="59" max="59" width="10.90625" bestFit="1" customWidth="1"/>
    <col min="60" max="60" width="22.7265625" bestFit="1" customWidth="1"/>
    <col min="61" max="61" width="4.81640625" bestFit="1" customWidth="1"/>
    <col min="62" max="62" width="17.6328125" bestFit="1" customWidth="1"/>
    <col min="63" max="63" width="10.90625" bestFit="1" customWidth="1"/>
    <col min="64" max="64" width="22.7265625" bestFit="1" customWidth="1"/>
    <col min="65" max="65" width="4.81640625" bestFit="1" customWidth="1"/>
    <col min="66" max="66" width="17.6328125" bestFit="1" customWidth="1"/>
    <col min="67" max="67" width="10.90625" bestFit="1" customWidth="1"/>
    <col min="68" max="68" width="22.7265625" bestFit="1" customWidth="1"/>
    <col min="69" max="69" width="4.81640625" bestFit="1" customWidth="1"/>
    <col min="70" max="70" width="17.6328125" bestFit="1" customWidth="1"/>
    <col min="71" max="71" width="10.90625" bestFit="1" customWidth="1"/>
    <col min="72" max="72" width="22.7265625" bestFit="1" customWidth="1"/>
    <col min="73" max="73" width="4.81640625" bestFit="1" customWidth="1"/>
    <col min="74" max="74" width="17.6328125" bestFit="1" customWidth="1"/>
    <col min="75" max="75" width="10.90625" bestFit="1" customWidth="1"/>
    <col min="76" max="76" width="22.7265625" bestFit="1" customWidth="1"/>
    <col min="77" max="77" width="4.81640625" bestFit="1" customWidth="1"/>
    <col min="78" max="78" width="17.6328125" bestFit="1" customWidth="1"/>
    <col min="79" max="79" width="10.90625" bestFit="1" customWidth="1"/>
    <col min="80" max="80" width="27.26953125" bestFit="1" customWidth="1"/>
    <col min="81" max="81" width="22.1796875" bestFit="1" customWidth="1"/>
  </cols>
  <sheetData>
    <row r="1" spans="2:43" x14ac:dyDescent="0.35">
      <c r="W1" s="9" t="s">
        <v>1271</v>
      </c>
    </row>
    <row r="2" spans="2:43" x14ac:dyDescent="0.35">
      <c r="B2" s="9"/>
      <c r="C2" s="3" t="s">
        <v>1246</v>
      </c>
      <c r="P2" s="9" t="s">
        <v>1255</v>
      </c>
      <c r="Q2" s="9">
        <v>2019</v>
      </c>
      <c r="R2" s="9">
        <v>2020</v>
      </c>
      <c r="S2" s="9" t="s">
        <v>1257</v>
      </c>
      <c r="W2">
        <v>2019</v>
      </c>
      <c r="X2">
        <v>2020</v>
      </c>
      <c r="AF2" s="3" t="s">
        <v>1253</v>
      </c>
    </row>
    <row r="3" spans="2:43" x14ac:dyDescent="0.35">
      <c r="C3" t="s">
        <v>1171</v>
      </c>
      <c r="G3" t="s">
        <v>1172</v>
      </c>
      <c r="K3" t="s">
        <v>1230</v>
      </c>
      <c r="L3" t="s">
        <v>1185</v>
      </c>
      <c r="M3" t="s">
        <v>1169</v>
      </c>
      <c r="N3" t="s">
        <v>1165</v>
      </c>
      <c r="P3" s="9"/>
      <c r="V3" t="s">
        <v>1173</v>
      </c>
      <c r="W3" t="str" cm="1">
        <f t="array" ref="W3">IF(INDEX(W$21:W$32,_xlfn.XMATCH($V3,$V$21:$V$32,0))&lt;$S$19,"Below Average",IF(INDEX(W$21:W$32,_xlfn.XMATCH($V21,$V$21:$V$32,0))&gt;$S$21,"Above Average", "Average"))</f>
        <v>Average</v>
      </c>
      <c r="X3" t="str" cm="1">
        <f t="array" ref="X3">IF(INDEX(X$21:X$32,_xlfn.XMATCH($V3,$V$21:$V$32,0))&lt;$S$19,"Below Average",IF(INDEX(X$21:X$32,_xlfn.XMATCH($V21,$V$21:$V$32,0))&gt;$S$21,"Above Average", "Average"))</f>
        <v>Average</v>
      </c>
      <c r="AF3" t="s">
        <v>1171</v>
      </c>
      <c r="AJ3" t="s">
        <v>1172</v>
      </c>
      <c r="AN3" t="s">
        <v>1238</v>
      </c>
      <c r="AO3" t="s">
        <v>1235</v>
      </c>
      <c r="AP3" t="s">
        <v>1237</v>
      </c>
      <c r="AQ3" t="s">
        <v>1233</v>
      </c>
    </row>
    <row r="4" spans="2:43" x14ac:dyDescent="0.35">
      <c r="B4" s="3" t="s">
        <v>1218</v>
      </c>
      <c r="C4" t="s">
        <v>1244</v>
      </c>
      <c r="D4" t="s">
        <v>1243</v>
      </c>
      <c r="E4" t="s">
        <v>1245</v>
      </c>
      <c r="F4" t="s">
        <v>1232</v>
      </c>
      <c r="G4" t="s">
        <v>1244</v>
      </c>
      <c r="H4" t="s">
        <v>1243</v>
      </c>
      <c r="I4" t="s">
        <v>1245</v>
      </c>
      <c r="J4" t="s">
        <v>1232</v>
      </c>
      <c r="P4" s="9" t="s">
        <v>1254</v>
      </c>
      <c r="Q4">
        <f>CORREL(C5:C16,F5:F16)</f>
        <v>0.45204688381119579</v>
      </c>
      <c r="R4">
        <f>CORREL(G5:G16,J5:J16)</f>
        <v>0.37399861183706068</v>
      </c>
      <c r="S4">
        <f>CORREL(K5:K16,N5:N16)</f>
        <v>0.14238539033075298</v>
      </c>
      <c r="V4" t="s">
        <v>1174</v>
      </c>
      <c r="W4" t="str" cm="1">
        <f t="array" ref="W4">IF(INDEX($W$21:$W$32,_xlfn.XMATCH(V4,$V$21:$V$32,0))&lt;$S$19,"Below Average",IF(INDEX($W$21:$W$32,_xlfn.XMATCH(V22,$V$21:$V$32,0))&gt;$S$21,"Above Average", "Average"))</f>
        <v>Average</v>
      </c>
      <c r="X4" t="str" cm="1">
        <f t="array" ref="X4">IF(INDEX(X$21:X$32,_xlfn.XMATCH($V4,$V$21:$V$32,0))&lt;$S$19,"Below Average",IF(INDEX(X$21:X$32,_xlfn.XMATCH($V22,$V$21:$V$32,0))&gt;$S$21,"Above Average", "Average"))</f>
        <v>Below Average</v>
      </c>
      <c r="AE4" s="3" t="s">
        <v>1273</v>
      </c>
      <c r="AF4" t="s">
        <v>1239</v>
      </c>
      <c r="AG4" t="s">
        <v>1236</v>
      </c>
      <c r="AH4" t="s">
        <v>1229</v>
      </c>
      <c r="AI4" t="s">
        <v>1234</v>
      </c>
      <c r="AJ4" t="s">
        <v>1239</v>
      </c>
      <c r="AK4" t="s">
        <v>1236</v>
      </c>
      <c r="AL4" t="s">
        <v>1229</v>
      </c>
      <c r="AM4" t="s">
        <v>1234</v>
      </c>
    </row>
    <row r="5" spans="2:43" x14ac:dyDescent="0.35">
      <c r="B5" s="4" t="s">
        <v>1173</v>
      </c>
      <c r="C5">
        <v>44</v>
      </c>
      <c r="D5" s="14">
        <v>4516614.82</v>
      </c>
      <c r="E5" s="14">
        <v>3792383.51</v>
      </c>
      <c r="F5" s="14">
        <v>724231.31000000017</v>
      </c>
      <c r="G5">
        <v>51</v>
      </c>
      <c r="H5" s="14">
        <v>5215699.83</v>
      </c>
      <c r="I5" s="14">
        <v>4291060.8099999996</v>
      </c>
      <c r="J5" s="14">
        <v>924639.02</v>
      </c>
      <c r="K5">
        <v>95</v>
      </c>
      <c r="L5" s="14">
        <v>9732314.6500000004</v>
      </c>
      <c r="M5" s="14">
        <v>8083444.3200000003</v>
      </c>
      <c r="N5" s="14">
        <v>1648870.3299999994</v>
      </c>
      <c r="P5" s="9" t="s">
        <v>1261</v>
      </c>
      <c r="Q5">
        <f>100*_xlfn.STDEV.P(Q39:Q50)</f>
        <v>0.40545845185535645</v>
      </c>
      <c r="R5">
        <f>100*_xlfn.STDEV.P(R39:R50)</f>
        <v>0.52165336688453101</v>
      </c>
      <c r="S5">
        <f>_xlfn.STDEV.P(S39:S50)</f>
        <v>2.4180521627606916E-3</v>
      </c>
      <c r="V5" t="s">
        <v>1175</v>
      </c>
      <c r="W5" t="str" cm="1">
        <f t="array" ref="W5">IF(INDEX($W$21:$W$32,_xlfn.XMATCH(V5,$V$21:$V$32,0))&lt;$S$19,"Below Average",IF(INDEX($W$21:$W$32,_xlfn.XMATCH(V23,$V$21:$V$32,0))&gt;$S$21,"Above Average", "Average"))</f>
        <v>Below Average</v>
      </c>
      <c r="X5" t="str" cm="1">
        <f t="array" ref="X5">IF(INDEX(X$21:X$32,_xlfn.XMATCH($V5,$V$21:$V$32,0))&lt;$S$19,"Below Average",IF(INDEX(X$21:X$32,_xlfn.XMATCH($V23,$V$21:$V$32,0))&gt;$S$21,"Above Average", "Average"))</f>
        <v>Average</v>
      </c>
      <c r="AE5" s="4" t="s">
        <v>46</v>
      </c>
      <c r="AF5">
        <v>16</v>
      </c>
      <c r="AG5" s="14">
        <v>115805.454375</v>
      </c>
      <c r="AH5" s="14">
        <v>139551.06375</v>
      </c>
      <c r="AI5" s="14">
        <v>23745.609375000004</v>
      </c>
      <c r="AJ5">
        <v>19</v>
      </c>
      <c r="AK5" s="14">
        <v>108797.21578947369</v>
      </c>
      <c r="AL5" s="14">
        <v>130058.61473684211</v>
      </c>
      <c r="AM5" s="14">
        <v>21261.398947368416</v>
      </c>
      <c r="AN5">
        <v>35</v>
      </c>
      <c r="AO5" s="14">
        <v>112000.982</v>
      </c>
      <c r="AP5" s="14">
        <v>134398.02000000002</v>
      </c>
      <c r="AQ5" s="14">
        <v>22397.038</v>
      </c>
    </row>
    <row r="6" spans="2:43" x14ac:dyDescent="0.35">
      <c r="B6" s="4" t="s">
        <v>1174</v>
      </c>
      <c r="C6">
        <v>44</v>
      </c>
      <c r="D6" s="14">
        <v>2895563.9</v>
      </c>
      <c r="E6" s="14">
        <v>2402359</v>
      </c>
      <c r="F6" s="14">
        <v>493204.89999999997</v>
      </c>
      <c r="G6">
        <v>28</v>
      </c>
      <c r="H6" s="14">
        <v>1959413</v>
      </c>
      <c r="I6" s="14">
        <v>1643662.49</v>
      </c>
      <c r="J6" s="14">
        <v>315750.50999999995</v>
      </c>
      <c r="K6">
        <v>72</v>
      </c>
      <c r="L6" s="14">
        <v>4854976.9000000004</v>
      </c>
      <c r="M6" s="14">
        <v>4046021.49</v>
      </c>
      <c r="N6" s="14">
        <v>808955.41000000027</v>
      </c>
      <c r="P6" s="9" t="s">
        <v>1256</v>
      </c>
      <c r="Q6">
        <f>_xlfn.STDEV.P(C5:C16)</f>
        <v>5.2413950645054621</v>
      </c>
      <c r="R6">
        <f>_xlfn.STDEV.P(G5:G16)</f>
        <v>8.2815054992032291</v>
      </c>
      <c r="S6">
        <f>_xlfn.STDEV.P(K5:K16)</f>
        <v>8.429445744267861</v>
      </c>
      <c r="V6" t="s">
        <v>1176</v>
      </c>
      <c r="W6" t="str" cm="1">
        <f t="array" ref="W6">IF(INDEX($W$21:$W$32,_xlfn.XMATCH(V6,$V$21:$V$32,0))&lt;$S$19,"Below Average",IF(INDEX($W$21:$W$32,_xlfn.XMATCH(V24,$V$21:$V$32,0))&gt;$S$21,"Above Average", "Average"))</f>
        <v>Average</v>
      </c>
      <c r="X6" t="str" cm="1">
        <f t="array" ref="X6">IF(INDEX(X$21:X$32,_xlfn.XMATCH($V6,$V$21:$V$32,0))&lt;$S$19,"Below Average",IF(INDEX(X$21:X$32,_xlfn.XMATCH($V24,$V$21:$V$32,0))&gt;$S$21,"Above Average", "Average"))</f>
        <v>Average</v>
      </c>
      <c r="AE6" s="4" t="s">
        <v>51</v>
      </c>
      <c r="AF6">
        <v>62</v>
      </c>
      <c r="AG6" s="14">
        <v>95395.715967741926</v>
      </c>
      <c r="AH6" s="14">
        <v>114719.12887096775</v>
      </c>
      <c r="AI6" s="14">
        <v>19323.412903225817</v>
      </c>
      <c r="AJ6">
        <v>69</v>
      </c>
      <c r="AK6" s="14">
        <v>96960.217391304352</v>
      </c>
      <c r="AL6" s="14">
        <v>116334.53246376812</v>
      </c>
      <c r="AM6" s="14">
        <v>19374.315072463767</v>
      </c>
      <c r="AN6">
        <v>131</v>
      </c>
      <c r="AO6" s="14">
        <v>96219.766335877866</v>
      </c>
      <c r="AP6" s="14">
        <v>115569.99030534351</v>
      </c>
      <c r="AQ6" s="14">
        <v>19350.223969465645</v>
      </c>
    </row>
    <row r="7" spans="2:43" x14ac:dyDescent="0.35">
      <c r="B7" s="4" t="s">
        <v>1175</v>
      </c>
      <c r="C7">
        <v>41</v>
      </c>
      <c r="D7" s="14">
        <v>2521827.9900000002</v>
      </c>
      <c r="E7" s="14">
        <v>2092407.37</v>
      </c>
      <c r="F7" s="14">
        <v>429420.62000000011</v>
      </c>
      <c r="G7">
        <v>52</v>
      </c>
      <c r="H7" s="14">
        <v>3579943.84</v>
      </c>
      <c r="I7" s="14">
        <v>2983600.07</v>
      </c>
      <c r="J7" s="14">
        <v>596343.76999999979</v>
      </c>
      <c r="K7">
        <v>93</v>
      </c>
      <c r="L7" s="14">
        <v>6101771.8300000001</v>
      </c>
      <c r="M7" s="14">
        <v>5076007.4400000004</v>
      </c>
      <c r="N7" s="14">
        <v>1025764.3899999998</v>
      </c>
      <c r="P7" s="9" t="s">
        <v>1258</v>
      </c>
      <c r="Q7" s="7">
        <f>AVERAGE(H38:H49)</f>
        <v>7.9412485626841718E-4</v>
      </c>
      <c r="R7" s="7">
        <f>AVERAGE(I38:I49)</f>
        <v>-7.9412485626842325E-4</v>
      </c>
      <c r="S7" s="16">
        <v>0</v>
      </c>
      <c r="V7" t="s">
        <v>1177</v>
      </c>
      <c r="W7" t="str" cm="1">
        <f t="array" ref="W7">IF(INDEX($W$21:$W$32,_xlfn.XMATCH(V7,$V$21:$V$32,0))&lt;$S$19,"Below Average",IF(INDEX($W$21:$W$32,_xlfn.XMATCH(V25,$V$21:$V$32,0))&gt;$S$21,"Above Average", "Average"))</f>
        <v>Average</v>
      </c>
      <c r="X7" t="str" cm="1">
        <f t="array" ref="X7">IF(INDEX(X$21:X$32,_xlfn.XMATCH($V7,$V$21:$V$32,0))&lt;$S$19,"Below Average",IF(INDEX(X$21:X$32,_xlfn.XMATCH($V25,$V$21:$V$32,0))&gt;$S$21,"Above Average", "Average"))</f>
        <v>Average</v>
      </c>
      <c r="AE7" s="4" t="s">
        <v>30</v>
      </c>
      <c r="AF7">
        <v>61</v>
      </c>
      <c r="AG7" s="14">
        <v>99161.231475409833</v>
      </c>
      <c r="AH7" s="14">
        <v>118270.98180327869</v>
      </c>
      <c r="AI7" s="14">
        <v>19109.750327868856</v>
      </c>
      <c r="AJ7">
        <v>54</v>
      </c>
      <c r="AK7" s="14">
        <v>81514.839444444442</v>
      </c>
      <c r="AL7" s="14">
        <v>99158.036851851852</v>
      </c>
      <c r="AM7" s="14">
        <v>17643.19740740741</v>
      </c>
      <c r="AN7">
        <v>115</v>
      </c>
      <c r="AO7" s="14">
        <v>90875.099565217388</v>
      </c>
      <c r="AP7" s="14">
        <v>109296.20765217392</v>
      </c>
      <c r="AQ7" s="14">
        <v>18421.108086956516</v>
      </c>
    </row>
    <row r="8" spans="2:43" x14ac:dyDescent="0.35">
      <c r="B8" s="4" t="s">
        <v>1176</v>
      </c>
      <c r="C8">
        <v>36</v>
      </c>
      <c r="D8" s="14">
        <v>4172236.77</v>
      </c>
      <c r="E8" s="14">
        <v>3479483.15</v>
      </c>
      <c r="F8" s="14">
        <v>692753.62000000011</v>
      </c>
      <c r="G8">
        <v>38</v>
      </c>
      <c r="H8" s="14">
        <v>4069097.78</v>
      </c>
      <c r="I8" s="14">
        <v>3372878.32</v>
      </c>
      <c r="J8" s="14">
        <v>696219.45999999985</v>
      </c>
      <c r="K8">
        <v>74</v>
      </c>
      <c r="L8" s="14">
        <v>8241334.5499999998</v>
      </c>
      <c r="M8" s="14">
        <v>6852361.4699999997</v>
      </c>
      <c r="N8" s="14">
        <v>1388973.0799999998</v>
      </c>
      <c r="P8" s="9" t="s">
        <v>1259</v>
      </c>
      <c r="Q8">
        <f>_xlfn.STDEV.P(H38:H49)</f>
        <v>1.5481994749349562E-2</v>
      </c>
      <c r="R8">
        <f>_xlfn.STDEV.P(I38:I49)</f>
        <v>1.0967011243234761E-2</v>
      </c>
      <c r="S8">
        <f>_xlfn.STDEV.P(J38:J49)</f>
        <v>2.5969750037284099E-2</v>
      </c>
      <c r="V8" t="s">
        <v>1178</v>
      </c>
      <c r="W8" t="str" cm="1">
        <f t="array" ref="W8">IF(INDEX($W$21:$W$32,_xlfn.XMATCH(V8,$V$21:$V$32,0))&lt;$S$19,"Below Average",IF(INDEX($W$21:$W$32,_xlfn.XMATCH(V26,$V$21:$V$32,0))&gt;$S$21,"Above Average", "Average"))</f>
        <v>Above Average</v>
      </c>
      <c r="X8" t="str" cm="1">
        <f t="array" ref="X8">IF(INDEX(X$21:X$32,_xlfn.XMATCH($V8,$V$21:$V$32,0))&lt;$S$19,"Below Average",IF(INDEX(X$21:X$32,_xlfn.XMATCH($V26,$V$21:$V$32,0))&gt;$S$21,"Above Average", "Average"))</f>
        <v>Above Average</v>
      </c>
      <c r="AE8" s="4" t="s">
        <v>11</v>
      </c>
      <c r="AF8">
        <v>46</v>
      </c>
      <c r="AG8" s="14">
        <v>96982.911304347828</v>
      </c>
      <c r="AH8" s="14">
        <v>117734.88086956521</v>
      </c>
      <c r="AI8" s="14">
        <v>20751.969565217401</v>
      </c>
      <c r="AJ8">
        <v>71</v>
      </c>
      <c r="AK8" s="14">
        <v>91448.607042253512</v>
      </c>
      <c r="AL8" s="14">
        <v>109354.56873239437</v>
      </c>
      <c r="AM8" s="14">
        <v>17905.961690140841</v>
      </c>
      <c r="AN8">
        <v>117</v>
      </c>
      <c r="AO8" s="14">
        <v>93624.487350427342</v>
      </c>
      <c r="AP8" s="14">
        <v>112649.39230769231</v>
      </c>
      <c r="AQ8" s="14">
        <v>19024.904957264953</v>
      </c>
    </row>
    <row r="9" spans="2:43" x14ac:dyDescent="0.35">
      <c r="B9" s="4" t="s">
        <v>1177</v>
      </c>
      <c r="C9">
        <v>38</v>
      </c>
      <c r="D9" s="14">
        <v>3825681.97</v>
      </c>
      <c r="E9" s="14">
        <v>3177423.67</v>
      </c>
      <c r="F9" s="14">
        <v>648258.29999999993</v>
      </c>
      <c r="G9">
        <v>55</v>
      </c>
      <c r="H9" s="14">
        <v>5537943.7699999996</v>
      </c>
      <c r="I9" s="14">
        <v>4623092.12</v>
      </c>
      <c r="J9" s="14">
        <v>914851.65000000026</v>
      </c>
      <c r="K9">
        <v>93</v>
      </c>
      <c r="L9" s="14">
        <v>9363625.7400000002</v>
      </c>
      <c r="M9" s="14">
        <v>7800515.79</v>
      </c>
      <c r="N9" s="14">
        <v>1563109.95</v>
      </c>
      <c r="P9" s="9" t="s">
        <v>1260</v>
      </c>
      <c r="V9" t="s">
        <v>1179</v>
      </c>
      <c r="W9" t="str" cm="1">
        <f t="array" ref="W9">IF(INDEX($W$21:$W$32,_xlfn.XMATCH(V9,$V$21:$V$32,0))&lt;$S$19,"Below Average",IF(INDEX($W$21:$W$32,_xlfn.XMATCH(V27,$V$21:$V$32,0))&gt;$S$21,"Above Average", "Average"))</f>
        <v>Average</v>
      </c>
      <c r="X9" t="str" cm="1">
        <f t="array" ref="X9">IF(INDEX(X$21:X$32,_xlfn.XMATCH($V9,$V$21:$V$32,0))&lt;$S$19,"Below Average",IF(INDEX(X$21:X$32,_xlfn.XMATCH($V27,$V$21:$V$32,0))&gt;$S$21,"Above Average", "Average"))</f>
        <v>Average</v>
      </c>
      <c r="AE9" s="4" t="s">
        <v>24</v>
      </c>
      <c r="AF9">
        <v>85</v>
      </c>
      <c r="AG9" s="14">
        <v>100050.26811764705</v>
      </c>
      <c r="AH9" s="14">
        <v>119936.92505882354</v>
      </c>
      <c r="AI9" s="14">
        <v>19886.656941176472</v>
      </c>
      <c r="AJ9">
        <v>70</v>
      </c>
      <c r="AK9" s="14">
        <v>88792.446428571435</v>
      </c>
      <c r="AL9" s="14">
        <v>106672.05</v>
      </c>
      <c r="AM9" s="14">
        <v>17879.603571428583</v>
      </c>
      <c r="AN9">
        <v>155</v>
      </c>
      <c r="AO9" s="14">
        <v>94966.090580645148</v>
      </c>
      <c r="AP9" s="14">
        <v>113946.33632258064</v>
      </c>
      <c r="AQ9" s="14">
        <v>18980.245741935491</v>
      </c>
    </row>
    <row r="10" spans="2:43" x14ac:dyDescent="0.35">
      <c r="B10" s="4" t="s">
        <v>1178</v>
      </c>
      <c r="C10">
        <v>47</v>
      </c>
      <c r="D10" s="14">
        <v>7692234.9000000004</v>
      </c>
      <c r="E10" s="14">
        <v>6386956.5300000003</v>
      </c>
      <c r="F10" s="14">
        <v>1305278.3700000003</v>
      </c>
      <c r="G10">
        <v>43</v>
      </c>
      <c r="H10" s="14">
        <v>7158137.8600000003</v>
      </c>
      <c r="I10" s="14">
        <v>5971093.3899999997</v>
      </c>
      <c r="J10" s="14">
        <v>1187044.47</v>
      </c>
      <c r="K10">
        <v>90</v>
      </c>
      <c r="L10" s="14">
        <v>14850372.76</v>
      </c>
      <c r="M10" s="14">
        <v>12358049.92</v>
      </c>
      <c r="N10" s="14">
        <v>2492322.8400000003</v>
      </c>
      <c r="P10" s="9" t="s">
        <v>1260</v>
      </c>
      <c r="Q10">
        <f>CORREL(M21:M32,C38:C49)</f>
        <v>0.99727848201983116</v>
      </c>
      <c r="R10">
        <f>CORREL(D38:D49,N21:N32)</f>
        <v>0.99455161423576599</v>
      </c>
      <c r="V10" t="s">
        <v>1180</v>
      </c>
      <c r="W10" t="str" cm="1">
        <f t="array" ref="W10">IF(INDEX($W$21:$W$32,_xlfn.XMATCH(V10,$V$21:$V$32,0))&lt;$S$19,"Below Average",IF(INDEX($W$21:$W$32,_xlfn.XMATCH(V28,$V$21:$V$32,0))&gt;$S$21,"Above Average", "Average"))</f>
        <v>Average</v>
      </c>
      <c r="X10" t="str" cm="1">
        <f t="array" ref="X10">IF(INDEX(X$21:X$32,_xlfn.XMATCH($V10,$V$21:$V$32,0))&lt;$S$19,"Below Average",IF(INDEX(X$21:X$32,_xlfn.XMATCH($V28,$V$21:$V$32,0))&gt;$S$21,"Above Average", "Average"))</f>
        <v>Average</v>
      </c>
      <c r="AE10" s="4" t="s">
        <v>80</v>
      </c>
      <c r="AF10">
        <v>68</v>
      </c>
      <c r="AG10" s="14">
        <v>83612.752205882352</v>
      </c>
      <c r="AH10" s="14">
        <v>100864.40794117647</v>
      </c>
      <c r="AI10" s="14">
        <v>17251.65573529412</v>
      </c>
      <c r="AJ10">
        <v>66</v>
      </c>
      <c r="AK10" s="14">
        <v>96898.143484848479</v>
      </c>
      <c r="AL10" s="14">
        <v>115504.51333333334</v>
      </c>
      <c r="AM10" s="14">
        <v>18606.36984848485</v>
      </c>
      <c r="AN10">
        <v>134</v>
      </c>
      <c r="AO10" s="14">
        <v>90156.303134328351</v>
      </c>
      <c r="AP10" s="14">
        <v>108075.20611940298</v>
      </c>
      <c r="AQ10" s="14">
        <v>17918.902985074623</v>
      </c>
    </row>
    <row r="11" spans="2:43" x14ac:dyDescent="0.35">
      <c r="B11" s="4" t="s">
        <v>1179</v>
      </c>
      <c r="C11">
        <v>40</v>
      </c>
      <c r="D11" s="14">
        <v>6638609.21</v>
      </c>
      <c r="E11" s="14">
        <v>5554381.7999999998</v>
      </c>
      <c r="F11" s="14">
        <v>1084227.4100000001</v>
      </c>
      <c r="G11">
        <v>36</v>
      </c>
      <c r="H11" s="14">
        <v>5242556.46</v>
      </c>
      <c r="I11" s="14">
        <v>4402567.07</v>
      </c>
      <c r="J11" s="14">
        <v>839989.3899999999</v>
      </c>
      <c r="K11">
        <v>76</v>
      </c>
      <c r="L11" s="14">
        <v>11881165.67</v>
      </c>
      <c r="M11" s="14">
        <v>9956948.8699999992</v>
      </c>
      <c r="N11" s="14">
        <v>1924216.8000000007</v>
      </c>
      <c r="P11" s="9" t="s">
        <v>1262</v>
      </c>
      <c r="Q11" s="14">
        <f>AVERAGE(F5:F16)</f>
        <v>790606.49083333334</v>
      </c>
      <c r="R11" s="14">
        <f>AVERAGE(J5:J16)</f>
        <v>792095.81916666648</v>
      </c>
      <c r="S11" s="14">
        <f>AVERAGE(N5:N16)</f>
        <v>1582702.3100000003</v>
      </c>
      <c r="V11" t="s">
        <v>1181</v>
      </c>
      <c r="W11" t="str" cm="1">
        <f t="array" ref="W11">IF(INDEX($W$21:$W$32,_xlfn.XMATCH(V11,$V$21:$V$32,0))&lt;$S$19,"Below Average",IF(INDEX($W$21:$W$32,_xlfn.XMATCH(V29,$V$21:$V$32,0))&gt;$S$21,"Above Average", "Average"))</f>
        <v>Average</v>
      </c>
      <c r="X11" t="str" cm="1">
        <f t="array" ref="X11">IF(INDEX(X$21:X$32,_xlfn.XMATCH($V11,$V$21:$V$32,0))&lt;$S$19,"Below Average",IF(INDEX(X$21:X$32,_xlfn.XMATCH($V29,$V$21:$V$32,0))&gt;$S$21,"Above Average", "Average"))</f>
        <v>Average</v>
      </c>
      <c r="AE11" s="4" t="s">
        <v>18</v>
      </c>
      <c r="AF11">
        <v>74</v>
      </c>
      <c r="AG11" s="14">
        <v>91794.380405405405</v>
      </c>
      <c r="AH11" s="14">
        <v>109785.43878378379</v>
      </c>
      <c r="AI11" s="14">
        <v>17991.058378378373</v>
      </c>
      <c r="AJ11">
        <v>65</v>
      </c>
      <c r="AK11" s="14">
        <v>91831.43892307693</v>
      </c>
      <c r="AL11" s="14">
        <v>110730.78430769232</v>
      </c>
      <c r="AM11" s="14">
        <v>18899.345384615379</v>
      </c>
      <c r="AN11">
        <v>139</v>
      </c>
      <c r="AO11" s="14">
        <v>91811.709928057549</v>
      </c>
      <c r="AP11" s="14">
        <v>110227.50683453237</v>
      </c>
      <c r="AQ11" s="14">
        <v>18415.796906474825</v>
      </c>
    </row>
    <row r="12" spans="2:43" x14ac:dyDescent="0.35">
      <c r="B12" s="4" t="s">
        <v>1180</v>
      </c>
      <c r="C12">
        <v>31</v>
      </c>
      <c r="D12" s="14">
        <v>3437450.14</v>
      </c>
      <c r="E12" s="14">
        <v>2857134.02</v>
      </c>
      <c r="F12" s="14">
        <v>580316.11999999976</v>
      </c>
      <c r="G12">
        <v>45</v>
      </c>
      <c r="H12" s="14">
        <v>4714525.21</v>
      </c>
      <c r="I12" s="14">
        <v>3945548.85</v>
      </c>
      <c r="J12" s="14">
        <v>768976.3600000001</v>
      </c>
      <c r="K12">
        <v>76</v>
      </c>
      <c r="L12" s="14">
        <v>8151975.3499999996</v>
      </c>
      <c r="M12" s="14">
        <v>6802682.8700000001</v>
      </c>
      <c r="N12" s="14">
        <v>1349292.4799999997</v>
      </c>
      <c r="P12" s="9" t="s">
        <v>1263</v>
      </c>
      <c r="Q12" s="18">
        <f>_xlfn.STDEV.P(F5:F16)</f>
        <v>325312.74138627719</v>
      </c>
      <c r="R12" s="19">
        <f>_xlfn.STDEV.P(J5:J16)</f>
        <v>207506.5398702274</v>
      </c>
      <c r="S12" s="19">
        <f>_xlfn.STDEV.P(N5:N16)</f>
        <v>489874.99862354517</v>
      </c>
      <c r="V12" t="s">
        <v>1182</v>
      </c>
      <c r="W12" t="str" cm="1">
        <f t="array" ref="W12">IF(INDEX($W$21:$W$32,_xlfn.XMATCH(V12,$V$21:$V$32,0))&lt;$S$19,"Below Average",IF(INDEX($W$21:$W$32,_xlfn.XMATCH(V30,$V$21:$V$32,0))&gt;$S$21,"Above Average", "Average"))</f>
        <v>Average</v>
      </c>
      <c r="X12" t="str" cm="1">
        <f t="array" ref="X12">IF(INDEX(X$21:X$32,_xlfn.XMATCH($V12,$V$21:$V$32,0))&lt;$S$19,"Below Average",IF(INDEX(X$21:X$32,_xlfn.XMATCH($V30,$V$21:$V$32,0))&gt;$S$21,"Above Average", "Average"))</f>
        <v>Average</v>
      </c>
      <c r="AE12" s="4" t="s">
        <v>139</v>
      </c>
      <c r="AF12">
        <v>10</v>
      </c>
      <c r="AG12" s="14">
        <v>98834.290999999997</v>
      </c>
      <c r="AH12" s="14">
        <v>120111.054</v>
      </c>
      <c r="AI12" s="14">
        <v>21276.762999999999</v>
      </c>
      <c r="AJ12">
        <v>19</v>
      </c>
      <c r="AK12" s="14">
        <v>90821.39894736842</v>
      </c>
      <c r="AL12" s="14">
        <v>108519.61368421052</v>
      </c>
      <c r="AM12" s="14">
        <v>17698.214736842103</v>
      </c>
      <c r="AN12">
        <v>29</v>
      </c>
      <c r="AO12" s="14">
        <v>93584.465172413795</v>
      </c>
      <c r="AP12" s="14">
        <v>112516.66206896552</v>
      </c>
      <c r="AQ12" s="14">
        <v>18932.196896551723</v>
      </c>
    </row>
    <row r="13" spans="2:43" x14ac:dyDescent="0.35">
      <c r="B13" s="4" t="s">
        <v>1181</v>
      </c>
      <c r="C13">
        <v>49</v>
      </c>
      <c r="D13" s="14">
        <v>4870060.55</v>
      </c>
      <c r="E13" s="14">
        <v>4081868.97</v>
      </c>
      <c r="F13" s="14">
        <v>788191.58000000007</v>
      </c>
      <c r="G13">
        <v>34</v>
      </c>
      <c r="H13" s="14">
        <v>3778141.37</v>
      </c>
      <c r="I13" s="14">
        <v>3114973.72</v>
      </c>
      <c r="J13" s="14">
        <v>663167.65</v>
      </c>
      <c r="K13">
        <v>83</v>
      </c>
      <c r="L13" s="14">
        <v>8648201.9199999999</v>
      </c>
      <c r="M13" s="14">
        <v>7196842.6900000004</v>
      </c>
      <c r="N13" s="14">
        <v>1451359.2299999997</v>
      </c>
      <c r="P13" s="9" t="s">
        <v>1286</v>
      </c>
      <c r="Q13">
        <f>CORREL(AB21:AB32,C38:C49)</f>
        <v>0.17781761382386779</v>
      </c>
      <c r="R13">
        <f>CORREL(AC21:AC32,D38:D49)</f>
        <v>-0.27722848932476485</v>
      </c>
      <c r="V13" t="s">
        <v>1183</v>
      </c>
      <c r="W13" t="str" cm="1">
        <f t="array" ref="W13">IF(INDEX($W$21:$W$32,_xlfn.XMATCH(V13,$V$21:$V$32,0))&lt;$S$19,"Below Average",IF(INDEX($W$21:$W$32,_xlfn.XMATCH(V31,$V$21:$V$32,0))&gt;$S$21,"Above Average", "Average"))</f>
        <v>Average</v>
      </c>
      <c r="X13" t="str" cm="1">
        <f t="array" ref="X13">IF(INDEX(X$21:X$32,_xlfn.XMATCH($V13,$V$21:$V$32,0))&lt;$S$19,"Below Average",IF(INDEX(X$21:X$32,_xlfn.XMATCH($V31,$V$21:$V$32,0))&gt;$S$21,"Above Average", "Average"))</f>
        <v>Average</v>
      </c>
      <c r="AE13" s="4" t="s">
        <v>62</v>
      </c>
      <c r="AF13">
        <v>21</v>
      </c>
      <c r="AG13" s="14">
        <v>90273.627142857134</v>
      </c>
      <c r="AH13" s="14">
        <v>109635.75476190477</v>
      </c>
      <c r="AI13" s="14">
        <v>19362.12761904762</v>
      </c>
      <c r="AJ13">
        <v>29</v>
      </c>
      <c r="AK13" s="14">
        <v>102985.06068965516</v>
      </c>
      <c r="AL13" s="14">
        <v>125404.29620689654</v>
      </c>
      <c r="AM13" s="14">
        <v>22419.23551724137</v>
      </c>
      <c r="AN13">
        <v>50</v>
      </c>
      <c r="AO13" s="14">
        <v>97646.258600000001</v>
      </c>
      <c r="AP13" s="14">
        <v>118781.50880000001</v>
      </c>
      <c r="AQ13" s="14">
        <v>21135.250199999995</v>
      </c>
    </row>
    <row r="14" spans="2:43" x14ac:dyDescent="0.35">
      <c r="B14" s="4" t="s">
        <v>1182</v>
      </c>
      <c r="C14">
        <v>43</v>
      </c>
      <c r="D14" s="14">
        <v>4372149.55</v>
      </c>
      <c r="E14" s="14">
        <v>3627715.07</v>
      </c>
      <c r="F14" s="14">
        <v>744434.48</v>
      </c>
      <c r="G14">
        <v>50</v>
      </c>
      <c r="H14" s="14">
        <v>4869726.8499999996</v>
      </c>
      <c r="I14" s="14">
        <v>4030025.89</v>
      </c>
      <c r="J14" s="14">
        <v>839700.96000000008</v>
      </c>
      <c r="K14">
        <v>93</v>
      </c>
      <c r="L14" s="14">
        <v>9241876.4000000004</v>
      </c>
      <c r="M14" s="14">
        <v>7657740.96</v>
      </c>
      <c r="N14" s="14">
        <v>1584135.4399999995</v>
      </c>
      <c r="P14" s="9"/>
      <c r="V14" t="s">
        <v>1184</v>
      </c>
      <c r="W14" t="str" cm="1">
        <f t="array" ref="W14">IF(INDEX($W$21:$W$32,_xlfn.XMATCH(V14,$V$21:$V$32,0))&lt;$S$19,"Below Average",IF(INDEX($W$21:$W$32,_xlfn.XMATCH(V32,$V$21:$V$32,0))&gt;$S$21,"Above Average", "Average"))</f>
        <v>Above Average</v>
      </c>
      <c r="X14" t="str" cm="1">
        <f t="array" ref="X14">IF(INDEX(X$21:X$32,_xlfn.XMATCH($V14,$V$21:$V$32,0))&lt;$S$19,"Below Average",IF(INDEX(X$21:X$32,_xlfn.XMATCH($V32,$V$21:$V$32,0))&gt;$S$21,"Above Average", "Average"))</f>
        <v>Average</v>
      </c>
      <c r="AE14" s="4" t="s">
        <v>60</v>
      </c>
      <c r="AF14">
        <v>47</v>
      </c>
      <c r="AG14" s="14">
        <v>106084.3114893617</v>
      </c>
      <c r="AH14" s="14">
        <v>126825.2074468085</v>
      </c>
      <c r="AI14" s="14">
        <v>20740.89595744681</v>
      </c>
      <c r="AJ14">
        <v>48</v>
      </c>
      <c r="AK14" s="14">
        <v>89480.090833333335</v>
      </c>
      <c r="AL14" s="14">
        <v>107101.45645833334</v>
      </c>
      <c r="AM14" s="14">
        <v>17621.365625000002</v>
      </c>
      <c r="AN14">
        <v>95</v>
      </c>
      <c r="AO14" s="14">
        <v>97694.810526315792</v>
      </c>
      <c r="AP14" s="14">
        <v>116859.5227368421</v>
      </c>
      <c r="AQ14" s="14">
        <v>19164.712210526308</v>
      </c>
    </row>
    <row r="15" spans="2:43" x14ac:dyDescent="0.35">
      <c r="B15" s="4" t="s">
        <v>1183</v>
      </c>
      <c r="C15">
        <v>33</v>
      </c>
      <c r="D15" s="14">
        <v>2961318.57</v>
      </c>
      <c r="E15" s="14">
        <v>2479030.9500000002</v>
      </c>
      <c r="F15" s="14">
        <v>482287.62000000011</v>
      </c>
      <c r="G15">
        <v>45</v>
      </c>
      <c r="H15" s="14">
        <v>4734730.08</v>
      </c>
      <c r="I15" s="14">
        <v>3947059.71</v>
      </c>
      <c r="J15" s="14">
        <v>787670.37000000011</v>
      </c>
      <c r="K15">
        <v>78</v>
      </c>
      <c r="L15" s="14">
        <v>7696048.6500000004</v>
      </c>
      <c r="M15" s="14">
        <v>6426090.6600000001</v>
      </c>
      <c r="N15" s="14">
        <v>1269957.9899999995</v>
      </c>
      <c r="Q15" s="14">
        <f>Q11+Q12</f>
        <v>1115919.2322196106</v>
      </c>
      <c r="R15" s="14">
        <f>SUM(R11,R12)</f>
        <v>999602.35903689382</v>
      </c>
      <c r="AE15" s="4" t="s">
        <v>1164</v>
      </c>
      <c r="AF15">
        <v>490</v>
      </c>
      <c r="AG15" s="14">
        <v>96184.176551020399</v>
      </c>
      <c r="AH15" s="14">
        <v>115545.96816326531</v>
      </c>
      <c r="AI15" s="14">
        <v>19361.791612244881</v>
      </c>
      <c r="AJ15">
        <v>510</v>
      </c>
      <c r="AK15" s="14">
        <v>92625.616627450974</v>
      </c>
      <c r="AL15" s="14">
        <v>111263.16531372549</v>
      </c>
      <c r="AM15" s="14">
        <v>18637.548686274509</v>
      </c>
      <c r="AN15">
        <v>1000</v>
      </c>
      <c r="AO15" s="14">
        <v>94369.310989999998</v>
      </c>
      <c r="AP15" s="14">
        <v>113361.73870999999</v>
      </c>
      <c r="AQ15" s="14">
        <v>18992.427720000003</v>
      </c>
    </row>
    <row r="16" spans="2:43" x14ac:dyDescent="0.35">
      <c r="B16" s="4" t="s">
        <v>1184</v>
      </c>
      <c r="C16">
        <v>44</v>
      </c>
      <c r="D16" s="14">
        <v>8713776.0299999993</v>
      </c>
      <c r="E16" s="14">
        <v>7199102.4699999997</v>
      </c>
      <c r="F16" s="14">
        <v>1514673.56</v>
      </c>
      <c r="G16">
        <v>33</v>
      </c>
      <c r="H16" s="14">
        <v>5884298.2599999998</v>
      </c>
      <c r="I16" s="14">
        <v>4913502.04</v>
      </c>
      <c r="J16" s="14">
        <v>970796.21999999974</v>
      </c>
      <c r="K16">
        <v>77</v>
      </c>
      <c r="L16" s="14">
        <v>14598074.289999999</v>
      </c>
      <c r="M16" s="14">
        <v>12112604.51</v>
      </c>
      <c r="N16" s="14">
        <v>2485469.7799999998</v>
      </c>
    </row>
    <row r="17" spans="2:81" x14ac:dyDescent="0.35">
      <c r="B17" s="4" t="s">
        <v>1164</v>
      </c>
      <c r="C17">
        <v>490</v>
      </c>
      <c r="D17" s="14">
        <v>56617524.399999999</v>
      </c>
      <c r="E17" s="14">
        <v>47130246.509999998</v>
      </c>
      <c r="F17" s="14">
        <v>9487277.8899999913</v>
      </c>
      <c r="G17">
        <v>510</v>
      </c>
      <c r="H17" s="14">
        <v>56744214.310000002</v>
      </c>
      <c r="I17" s="14">
        <v>47239064.479999997</v>
      </c>
      <c r="J17" s="14">
        <v>9505149.8300000001</v>
      </c>
      <c r="K17">
        <v>1000</v>
      </c>
      <c r="L17" s="14">
        <v>113361738.70999999</v>
      </c>
      <c r="M17" s="14">
        <v>94369310.989999995</v>
      </c>
      <c r="N17" s="14">
        <v>18992427.720000003</v>
      </c>
    </row>
    <row r="18" spans="2:81" x14ac:dyDescent="0.35">
      <c r="S18">
        <v>2019</v>
      </c>
      <c r="T18">
        <v>2020</v>
      </c>
      <c r="AF18" s="3" t="s">
        <v>1275</v>
      </c>
    </row>
    <row r="19" spans="2:81" x14ac:dyDescent="0.35">
      <c r="B19" s="3" t="s">
        <v>1247</v>
      </c>
      <c r="C19" s="3" t="s">
        <v>1217</v>
      </c>
      <c r="L19" s="3" t="s">
        <v>1249</v>
      </c>
      <c r="M19" s="3" t="s">
        <v>1217</v>
      </c>
      <c r="R19" t="s">
        <v>1265</v>
      </c>
      <c r="S19" s="14">
        <f>Q11-Q12</f>
        <v>465293.74944705615</v>
      </c>
      <c r="T19" s="14">
        <f>R11-R12</f>
        <v>584589.27929643914</v>
      </c>
      <c r="V19" s="3" t="s">
        <v>1251</v>
      </c>
      <c r="W19" s="3" t="s">
        <v>1223</v>
      </c>
      <c r="AA19" s="3" t="s">
        <v>1248</v>
      </c>
      <c r="AB19" s="3" t="s">
        <v>1217</v>
      </c>
      <c r="AF19" t="s">
        <v>1173</v>
      </c>
      <c r="AJ19" t="s">
        <v>1174</v>
      </c>
      <c r="AN19" t="s">
        <v>1175</v>
      </c>
      <c r="AR19" t="s">
        <v>1176</v>
      </c>
      <c r="AV19" t="s">
        <v>1177</v>
      </c>
      <c r="AZ19" t="s">
        <v>1178</v>
      </c>
      <c r="BD19" t="s">
        <v>1179</v>
      </c>
      <c r="BH19" t="s">
        <v>1180</v>
      </c>
      <c r="BL19" t="s">
        <v>1181</v>
      </c>
      <c r="BP19" t="s">
        <v>1182</v>
      </c>
      <c r="BT19" t="s">
        <v>1183</v>
      </c>
      <c r="BX19" t="s">
        <v>1184</v>
      </c>
      <c r="CB19" t="s">
        <v>1276</v>
      </c>
      <c r="CC19" t="s">
        <v>1237</v>
      </c>
    </row>
    <row r="20" spans="2:81" x14ac:dyDescent="0.35">
      <c r="B20" s="3" t="s">
        <v>1218</v>
      </c>
      <c r="C20" t="s">
        <v>1171</v>
      </c>
      <c r="D20" t="s">
        <v>1172</v>
      </c>
      <c r="E20" t="s">
        <v>1164</v>
      </c>
      <c r="L20" s="3" t="s">
        <v>1218</v>
      </c>
      <c r="M20" t="s">
        <v>1171</v>
      </c>
      <c r="N20" t="s">
        <v>1172</v>
      </c>
      <c r="O20" t="s">
        <v>1164</v>
      </c>
      <c r="R20" t="s">
        <v>1264</v>
      </c>
      <c r="S20" s="14">
        <f>Q11</f>
        <v>790606.49083333334</v>
      </c>
      <c r="T20" s="14">
        <f>R11</f>
        <v>792095.81916666648</v>
      </c>
      <c r="V20" s="3" t="s">
        <v>1225</v>
      </c>
      <c r="W20" t="s">
        <v>1171</v>
      </c>
      <c r="X20" t="s">
        <v>1172</v>
      </c>
      <c r="Y20" t="s">
        <v>1164</v>
      </c>
      <c r="AA20" s="3" t="s">
        <v>1218</v>
      </c>
      <c r="AB20" t="s">
        <v>1171</v>
      </c>
      <c r="AC20" t="s">
        <v>1172</v>
      </c>
      <c r="AD20" t="s">
        <v>1164</v>
      </c>
      <c r="AF20" t="s">
        <v>1274</v>
      </c>
      <c r="AH20" t="s">
        <v>1229</v>
      </c>
      <c r="AJ20" t="s">
        <v>1274</v>
      </c>
      <c r="AL20" t="s">
        <v>1229</v>
      </c>
      <c r="AN20" t="s">
        <v>1274</v>
      </c>
      <c r="AP20" t="s">
        <v>1229</v>
      </c>
      <c r="AR20" t="s">
        <v>1274</v>
      </c>
      <c r="AT20" t="s">
        <v>1229</v>
      </c>
      <c r="AV20" t="s">
        <v>1274</v>
      </c>
      <c r="AX20" t="s">
        <v>1229</v>
      </c>
      <c r="AZ20" t="s">
        <v>1274</v>
      </c>
      <c r="BB20" t="s">
        <v>1229</v>
      </c>
      <c r="BD20" t="s">
        <v>1274</v>
      </c>
      <c r="BF20" t="s">
        <v>1229</v>
      </c>
      <c r="BH20" t="s">
        <v>1274</v>
      </c>
      <c r="BJ20" t="s">
        <v>1229</v>
      </c>
      <c r="BL20" t="s">
        <v>1274</v>
      </c>
      <c r="BN20" t="s">
        <v>1229</v>
      </c>
      <c r="BP20" t="s">
        <v>1274</v>
      </c>
      <c r="BR20" t="s">
        <v>1229</v>
      </c>
      <c r="BT20" t="s">
        <v>1274</v>
      </c>
      <c r="BV20" t="s">
        <v>1229</v>
      </c>
      <c r="BX20" t="s">
        <v>1274</v>
      </c>
      <c r="BZ20" t="s">
        <v>1229</v>
      </c>
    </row>
    <row r="21" spans="2:81" x14ac:dyDescent="0.35">
      <c r="B21" s="4" t="s">
        <v>1173</v>
      </c>
      <c r="C21" s="14">
        <v>4516614.82</v>
      </c>
      <c r="D21" s="14">
        <v>5215699.83</v>
      </c>
      <c r="E21" s="14">
        <v>9732314.6500000004</v>
      </c>
      <c r="L21" s="4" t="s">
        <v>1173</v>
      </c>
      <c r="M21" s="14">
        <v>102650.33681818182</v>
      </c>
      <c r="N21" s="14">
        <v>102268.62411764706</v>
      </c>
      <c r="O21" s="14">
        <v>102445.41736842105</v>
      </c>
      <c r="R21" t="s">
        <v>1266</v>
      </c>
      <c r="S21" s="14">
        <f>Q11+Q12</f>
        <v>1115919.2322196106</v>
      </c>
      <c r="T21" s="14">
        <f>R11+R12</f>
        <v>999602.35903689382</v>
      </c>
      <c r="V21" s="4" t="s">
        <v>1173</v>
      </c>
      <c r="W21" s="14">
        <v>724231.31000000017</v>
      </c>
      <c r="X21" s="14">
        <v>924639.02</v>
      </c>
      <c r="Y21" s="14">
        <v>1648870.3299999994</v>
      </c>
      <c r="AA21" s="4" t="s">
        <v>1173</v>
      </c>
      <c r="AB21">
        <v>44</v>
      </c>
      <c r="AC21">
        <v>51</v>
      </c>
      <c r="AD21">
        <v>95</v>
      </c>
      <c r="AE21" s="3" t="s">
        <v>1267</v>
      </c>
      <c r="AF21" t="s">
        <v>1171</v>
      </c>
      <c r="AG21" t="s">
        <v>1172</v>
      </c>
      <c r="AH21" t="s">
        <v>1171</v>
      </c>
      <c r="AI21" t="s">
        <v>1172</v>
      </c>
      <c r="AJ21" t="s">
        <v>1171</v>
      </c>
      <c r="AK21" t="s">
        <v>1172</v>
      </c>
      <c r="AL21" t="s">
        <v>1171</v>
      </c>
      <c r="AM21" t="s">
        <v>1172</v>
      </c>
      <c r="AN21" t="s">
        <v>1171</v>
      </c>
      <c r="AO21" t="s">
        <v>1172</v>
      </c>
      <c r="AP21" t="s">
        <v>1171</v>
      </c>
      <c r="AQ21" t="s">
        <v>1172</v>
      </c>
      <c r="AR21" t="s">
        <v>1171</v>
      </c>
      <c r="AS21" t="s">
        <v>1172</v>
      </c>
      <c r="AT21" t="s">
        <v>1171</v>
      </c>
      <c r="AU21" t="s">
        <v>1172</v>
      </c>
      <c r="AV21" t="s">
        <v>1171</v>
      </c>
      <c r="AW21" t="s">
        <v>1172</v>
      </c>
      <c r="AX21" t="s">
        <v>1171</v>
      </c>
      <c r="AY21" t="s">
        <v>1172</v>
      </c>
      <c r="AZ21" t="s">
        <v>1171</v>
      </c>
      <c r="BA21" t="s">
        <v>1172</v>
      </c>
      <c r="BB21" t="s">
        <v>1171</v>
      </c>
      <c r="BC21" t="s">
        <v>1172</v>
      </c>
      <c r="BD21" t="s">
        <v>1171</v>
      </c>
      <c r="BE21" t="s">
        <v>1172</v>
      </c>
      <c r="BF21" t="s">
        <v>1171</v>
      </c>
      <c r="BG21" t="s">
        <v>1172</v>
      </c>
      <c r="BH21" t="s">
        <v>1171</v>
      </c>
      <c r="BI21" t="s">
        <v>1172</v>
      </c>
      <c r="BJ21" t="s">
        <v>1171</v>
      </c>
      <c r="BK21" t="s">
        <v>1172</v>
      </c>
      <c r="BL21" t="s">
        <v>1171</v>
      </c>
      <c r="BM21" t="s">
        <v>1172</v>
      </c>
      <c r="BN21" t="s">
        <v>1171</v>
      </c>
      <c r="BO21" t="s">
        <v>1172</v>
      </c>
      <c r="BP21" t="s">
        <v>1171</v>
      </c>
      <c r="BQ21" t="s">
        <v>1172</v>
      </c>
      <c r="BR21" t="s">
        <v>1171</v>
      </c>
      <c r="BS21" t="s">
        <v>1172</v>
      </c>
      <c r="BT21" t="s">
        <v>1171</v>
      </c>
      <c r="BU21" t="s">
        <v>1172</v>
      </c>
      <c r="BV21" t="s">
        <v>1171</v>
      </c>
      <c r="BW21" t="s">
        <v>1172</v>
      </c>
      <c r="BX21" t="s">
        <v>1171</v>
      </c>
      <c r="BY21" t="s">
        <v>1172</v>
      </c>
      <c r="BZ21" t="s">
        <v>1171</v>
      </c>
      <c r="CA21" t="s">
        <v>1172</v>
      </c>
    </row>
    <row r="22" spans="2:81" x14ac:dyDescent="0.35">
      <c r="B22" s="4" t="s">
        <v>1174</v>
      </c>
      <c r="C22" s="14">
        <v>2895563.9</v>
      </c>
      <c r="D22" s="14">
        <v>1959413</v>
      </c>
      <c r="E22" s="14">
        <v>4854976.9000000004</v>
      </c>
      <c r="L22" s="4" t="s">
        <v>1174</v>
      </c>
      <c r="M22" s="14">
        <v>65808.270454545447</v>
      </c>
      <c r="N22" s="14">
        <v>69979.03571428571</v>
      </c>
      <c r="O22" s="14">
        <v>67430.234722222231</v>
      </c>
      <c r="V22" s="4" t="s">
        <v>1174</v>
      </c>
      <c r="W22" s="14">
        <v>493204.89999999997</v>
      </c>
      <c r="X22" s="14">
        <v>315750.50999999995</v>
      </c>
      <c r="Y22" s="14">
        <v>808955.41000000027</v>
      </c>
      <c r="AA22" s="4" t="s">
        <v>1174</v>
      </c>
      <c r="AB22">
        <v>44</v>
      </c>
      <c r="AC22">
        <v>28</v>
      </c>
      <c r="AD22">
        <v>72</v>
      </c>
      <c r="AE22" s="4" t="s">
        <v>46</v>
      </c>
      <c r="AF22">
        <v>1</v>
      </c>
      <c r="AG22">
        <v>1</v>
      </c>
      <c r="AH22" s="14">
        <v>36747.24</v>
      </c>
      <c r="AI22" s="14">
        <v>107716.72</v>
      </c>
      <c r="AJ22">
        <v>1</v>
      </c>
      <c r="AL22" s="14">
        <v>60592.4</v>
      </c>
      <c r="AM22" s="14"/>
      <c r="AN22">
        <v>1</v>
      </c>
      <c r="AO22">
        <v>1</v>
      </c>
      <c r="AP22" s="14">
        <v>76543.360000000001</v>
      </c>
      <c r="AQ22" s="14">
        <v>46311.34</v>
      </c>
      <c r="AR22">
        <v>2</v>
      </c>
      <c r="AS22">
        <v>1</v>
      </c>
      <c r="AT22" s="14">
        <v>82860.585000000006</v>
      </c>
      <c r="AU22" s="14">
        <v>178465.4</v>
      </c>
      <c r="AW22">
        <v>1</v>
      </c>
      <c r="AX22" s="14"/>
      <c r="AY22" s="14">
        <v>121736.23</v>
      </c>
      <c r="AZ22">
        <v>3</v>
      </c>
      <c r="BA22">
        <v>1</v>
      </c>
      <c r="BB22" s="14">
        <v>183687.75666666668</v>
      </c>
      <c r="BC22" s="14">
        <v>122035.93</v>
      </c>
      <c r="BD22">
        <v>3</v>
      </c>
      <c r="BE22">
        <v>3</v>
      </c>
      <c r="BF22" s="14">
        <v>211061.68999999997</v>
      </c>
      <c r="BG22" s="14">
        <v>163701.1</v>
      </c>
      <c r="BI22">
        <v>5</v>
      </c>
      <c r="BJ22" s="14"/>
      <c r="BK22" s="14">
        <v>144243.12599999999</v>
      </c>
      <c r="BL22">
        <v>1</v>
      </c>
      <c r="BM22">
        <v>2</v>
      </c>
      <c r="BN22" s="14">
        <v>94925</v>
      </c>
      <c r="BO22" s="14">
        <v>167759.01500000001</v>
      </c>
      <c r="BP22">
        <v>1</v>
      </c>
      <c r="BQ22">
        <v>3</v>
      </c>
      <c r="BR22" s="14">
        <v>62947.82</v>
      </c>
      <c r="BS22" s="14">
        <v>104771.90999999999</v>
      </c>
      <c r="BT22">
        <v>1</v>
      </c>
      <c r="BU22">
        <v>1</v>
      </c>
      <c r="BV22" s="14">
        <v>102771.44</v>
      </c>
      <c r="BW22" s="14">
        <v>32695.37</v>
      </c>
      <c r="BX22">
        <v>2</v>
      </c>
      <c r="BZ22" s="14">
        <v>224160.125</v>
      </c>
      <c r="CA22" s="14"/>
      <c r="CB22">
        <v>35</v>
      </c>
      <c r="CC22" s="14">
        <v>134398.02000000002</v>
      </c>
    </row>
    <row r="23" spans="2:81" x14ac:dyDescent="0.35">
      <c r="B23" s="4" t="s">
        <v>1175</v>
      </c>
      <c r="C23" s="14">
        <v>2521827.9900000002</v>
      </c>
      <c r="D23" s="14">
        <v>3579943.84</v>
      </c>
      <c r="E23" s="14">
        <v>6101771.8300000001</v>
      </c>
      <c r="L23" s="4" t="s">
        <v>1175</v>
      </c>
      <c r="M23" s="14">
        <v>61507.999756097568</v>
      </c>
      <c r="N23" s="14">
        <v>68845.073846153842</v>
      </c>
      <c r="O23" s="14">
        <v>65610.449784946235</v>
      </c>
      <c r="V23" s="4" t="s">
        <v>1175</v>
      </c>
      <c r="W23" s="14">
        <v>429420.62000000011</v>
      </c>
      <c r="X23" s="14">
        <v>596343.76999999979</v>
      </c>
      <c r="Y23" s="14">
        <v>1025764.3899999998</v>
      </c>
      <c r="AA23" s="4" t="s">
        <v>1175</v>
      </c>
      <c r="AB23">
        <v>41</v>
      </c>
      <c r="AC23">
        <v>52</v>
      </c>
      <c r="AD23">
        <v>93</v>
      </c>
      <c r="AE23" s="4" t="s">
        <v>51</v>
      </c>
      <c r="AF23">
        <v>6</v>
      </c>
      <c r="AG23">
        <v>6</v>
      </c>
      <c r="AH23" s="14">
        <v>117021.58500000001</v>
      </c>
      <c r="AI23" s="14">
        <v>100486.17333333334</v>
      </c>
      <c r="AJ23">
        <v>3</v>
      </c>
      <c r="AK23">
        <v>5</v>
      </c>
      <c r="AL23" s="14">
        <v>85879.316666666666</v>
      </c>
      <c r="AM23" s="14">
        <v>91053.23000000001</v>
      </c>
      <c r="AN23">
        <v>4</v>
      </c>
      <c r="AO23">
        <v>8</v>
      </c>
      <c r="AP23" s="14">
        <v>57945.445</v>
      </c>
      <c r="AQ23" s="14">
        <v>66500.463749999995</v>
      </c>
      <c r="AR23">
        <v>6</v>
      </c>
      <c r="AS23">
        <v>7</v>
      </c>
      <c r="AT23" s="14">
        <v>137186.62666666668</v>
      </c>
      <c r="AU23" s="14">
        <v>77208.951428571439</v>
      </c>
      <c r="AV23">
        <v>3</v>
      </c>
      <c r="AW23">
        <v>9</v>
      </c>
      <c r="AX23" s="14">
        <v>135488.11666666667</v>
      </c>
      <c r="AY23" s="14">
        <v>121417.54666666666</v>
      </c>
      <c r="AZ23">
        <v>6</v>
      </c>
      <c r="BA23">
        <v>7</v>
      </c>
      <c r="BB23" s="14">
        <v>159086.13500000001</v>
      </c>
      <c r="BC23" s="14">
        <v>196754.84142857141</v>
      </c>
      <c r="BD23">
        <v>3</v>
      </c>
      <c r="BE23">
        <v>6</v>
      </c>
      <c r="BF23" s="14">
        <v>111631.71666666667</v>
      </c>
      <c r="BG23" s="14">
        <v>139828.23833333334</v>
      </c>
      <c r="BH23">
        <v>3</v>
      </c>
      <c r="BI23">
        <v>5</v>
      </c>
      <c r="BJ23" s="14">
        <v>70026.166666666672</v>
      </c>
      <c r="BK23" s="14">
        <v>99976.53</v>
      </c>
      <c r="BL23">
        <v>10</v>
      </c>
      <c r="BM23">
        <v>3</v>
      </c>
      <c r="BN23" s="14">
        <v>106811.079</v>
      </c>
      <c r="BO23" s="14">
        <v>108435.87333333334</v>
      </c>
      <c r="BP23">
        <v>3</v>
      </c>
      <c r="BQ23">
        <v>7</v>
      </c>
      <c r="BR23" s="14">
        <v>95949.58</v>
      </c>
      <c r="BS23" s="14">
        <v>93236.027142857129</v>
      </c>
      <c r="BT23">
        <v>8</v>
      </c>
      <c r="BU23">
        <v>1</v>
      </c>
      <c r="BV23" s="14">
        <v>62464.863749999997</v>
      </c>
      <c r="BW23" s="14">
        <v>149938.35999999999</v>
      </c>
      <c r="BX23">
        <v>7</v>
      </c>
      <c r="BY23">
        <v>5</v>
      </c>
      <c r="BZ23" s="14">
        <v>190897.67714285714</v>
      </c>
      <c r="CA23" s="14">
        <v>191928.22399999999</v>
      </c>
      <c r="CB23">
        <v>131</v>
      </c>
      <c r="CC23" s="14">
        <v>115569.99030534351</v>
      </c>
    </row>
    <row r="24" spans="2:81" x14ac:dyDescent="0.35">
      <c r="B24" s="4" t="s">
        <v>1176</v>
      </c>
      <c r="C24" s="14">
        <v>4172236.77</v>
      </c>
      <c r="D24" s="14">
        <v>4069097.78</v>
      </c>
      <c r="E24" s="14">
        <v>8241334.5499999998</v>
      </c>
      <c r="L24" s="4" t="s">
        <v>1176</v>
      </c>
      <c r="M24" s="14">
        <v>115895.46583333334</v>
      </c>
      <c r="N24" s="14">
        <v>107081.52052631578</v>
      </c>
      <c r="O24" s="14">
        <v>111369.38581081081</v>
      </c>
      <c r="V24" s="4" t="s">
        <v>1176</v>
      </c>
      <c r="W24" s="14">
        <v>692753.62000000011</v>
      </c>
      <c r="X24" s="14">
        <v>696219.45999999985</v>
      </c>
      <c r="Y24" s="14">
        <v>1388973.0799999998</v>
      </c>
      <c r="AA24" s="4" t="s">
        <v>1176</v>
      </c>
      <c r="AB24">
        <v>36</v>
      </c>
      <c r="AC24">
        <v>38</v>
      </c>
      <c r="AD24">
        <v>74</v>
      </c>
      <c r="AE24" s="4" t="s">
        <v>30</v>
      </c>
      <c r="AF24">
        <v>4</v>
      </c>
      <c r="AG24">
        <v>6</v>
      </c>
      <c r="AH24" s="14">
        <v>91790.695000000007</v>
      </c>
      <c r="AI24" s="14">
        <v>94858.863333333342</v>
      </c>
      <c r="AJ24">
        <v>6</v>
      </c>
      <c r="AK24">
        <v>3</v>
      </c>
      <c r="AL24" s="14">
        <v>65861.493333333332</v>
      </c>
      <c r="AM24" s="14">
        <v>93563.486666666679</v>
      </c>
      <c r="AN24">
        <v>4</v>
      </c>
      <c r="AO24">
        <v>3</v>
      </c>
      <c r="AP24" s="14">
        <v>65300.442499999997</v>
      </c>
      <c r="AQ24" s="14">
        <v>71895.296666666676</v>
      </c>
      <c r="AR24">
        <v>3</v>
      </c>
      <c r="AS24">
        <v>5</v>
      </c>
      <c r="AT24" s="14">
        <v>120516.26000000001</v>
      </c>
      <c r="AU24" s="14">
        <v>141973.83799999999</v>
      </c>
      <c r="AV24">
        <v>6</v>
      </c>
      <c r="AW24">
        <v>7</v>
      </c>
      <c r="AX24" s="14">
        <v>84972.349999999991</v>
      </c>
      <c r="AY24" s="14">
        <v>75271.331428571415</v>
      </c>
      <c r="AZ24">
        <v>4</v>
      </c>
      <c r="BA24">
        <v>6</v>
      </c>
      <c r="BB24" s="14">
        <v>150137.91750000001</v>
      </c>
      <c r="BC24" s="14">
        <v>152779.15833333333</v>
      </c>
      <c r="BD24">
        <v>9</v>
      </c>
      <c r="BE24">
        <v>3</v>
      </c>
      <c r="BF24" s="14">
        <v>169797.17</v>
      </c>
      <c r="BG24" s="14">
        <v>86745.056666666671</v>
      </c>
      <c r="BH24">
        <v>7</v>
      </c>
      <c r="BI24">
        <v>4</v>
      </c>
      <c r="BJ24" s="14">
        <v>108305.81000000001</v>
      </c>
      <c r="BK24" s="14">
        <v>66760.777499999997</v>
      </c>
      <c r="BL24">
        <v>7</v>
      </c>
      <c r="BM24">
        <v>5</v>
      </c>
      <c r="BN24" s="14">
        <v>113780.85428571429</v>
      </c>
      <c r="BO24" s="14">
        <v>103028.726</v>
      </c>
      <c r="BP24">
        <v>4</v>
      </c>
      <c r="BQ24">
        <v>3</v>
      </c>
      <c r="BR24" s="14">
        <v>119230.1375</v>
      </c>
      <c r="BS24" s="14">
        <v>35161.396666666667</v>
      </c>
      <c r="BT24">
        <v>4</v>
      </c>
      <c r="BU24">
        <v>5</v>
      </c>
      <c r="BV24" s="14">
        <v>124370.8925</v>
      </c>
      <c r="BW24" s="14">
        <v>92074.64</v>
      </c>
      <c r="BX24">
        <v>3</v>
      </c>
      <c r="BY24">
        <v>4</v>
      </c>
      <c r="BZ24" s="14">
        <v>220625.51</v>
      </c>
      <c r="CA24" s="14">
        <v>131820.42499999999</v>
      </c>
      <c r="CB24">
        <v>115</v>
      </c>
      <c r="CC24" s="14">
        <v>109296.20765217392</v>
      </c>
    </row>
    <row r="25" spans="2:81" x14ac:dyDescent="0.35">
      <c r="B25" s="4" t="s">
        <v>1177</v>
      </c>
      <c r="C25" s="14">
        <v>3825681.97</v>
      </c>
      <c r="D25" s="14">
        <v>5537943.7699999996</v>
      </c>
      <c r="E25" s="14">
        <v>9363625.7400000002</v>
      </c>
      <c r="L25" s="4" t="s">
        <v>1177</v>
      </c>
      <c r="M25" s="14">
        <v>100675.84131578948</v>
      </c>
      <c r="N25" s="14">
        <v>100689.88672727272</v>
      </c>
      <c r="O25" s="14">
        <v>100684.14774193549</v>
      </c>
      <c r="V25" s="4" t="s">
        <v>1177</v>
      </c>
      <c r="W25" s="14">
        <v>648258.29999999993</v>
      </c>
      <c r="X25" s="14">
        <v>914851.65000000026</v>
      </c>
      <c r="Y25" s="14">
        <v>1563109.95</v>
      </c>
      <c r="AA25" s="4" t="s">
        <v>1177</v>
      </c>
      <c r="AB25">
        <v>38</v>
      </c>
      <c r="AC25">
        <v>55</v>
      </c>
      <c r="AD25">
        <v>93</v>
      </c>
      <c r="AE25" s="4" t="s">
        <v>11</v>
      </c>
      <c r="AF25">
        <v>1</v>
      </c>
      <c r="AG25">
        <v>5</v>
      </c>
      <c r="AH25" s="14">
        <v>173478.65</v>
      </c>
      <c r="AI25" s="14">
        <v>108100.68400000001</v>
      </c>
      <c r="AJ25">
        <v>6</v>
      </c>
      <c r="AK25">
        <v>4</v>
      </c>
      <c r="AL25" s="14">
        <v>60870.328333333331</v>
      </c>
      <c r="AM25" s="14">
        <v>65042.294999999998</v>
      </c>
      <c r="AN25">
        <v>6</v>
      </c>
      <c r="AO25">
        <v>4</v>
      </c>
      <c r="AP25" s="14">
        <v>65617.933333333334</v>
      </c>
      <c r="AQ25" s="14">
        <v>89002.577499999999</v>
      </c>
      <c r="AR25">
        <v>3</v>
      </c>
      <c r="AS25">
        <v>5</v>
      </c>
      <c r="AT25" s="14">
        <v>98486.760000000009</v>
      </c>
      <c r="AU25" s="14">
        <v>107973.15400000001</v>
      </c>
      <c r="AV25">
        <v>1</v>
      </c>
      <c r="AW25">
        <v>5</v>
      </c>
      <c r="AX25" s="14">
        <v>49374.25</v>
      </c>
      <c r="AY25" s="14">
        <v>101677.304</v>
      </c>
      <c r="AZ25">
        <v>3</v>
      </c>
      <c r="BA25">
        <v>4</v>
      </c>
      <c r="BB25" s="14">
        <v>212801.78333333333</v>
      </c>
      <c r="BC25" s="14">
        <v>192073.39499999999</v>
      </c>
      <c r="BD25">
        <v>4</v>
      </c>
      <c r="BE25">
        <v>5</v>
      </c>
      <c r="BF25" s="14">
        <v>156870.69</v>
      </c>
      <c r="BG25" s="14">
        <v>147342.85399999999</v>
      </c>
      <c r="BH25">
        <v>3</v>
      </c>
      <c r="BI25">
        <v>10</v>
      </c>
      <c r="BJ25" s="14">
        <v>144892.47</v>
      </c>
      <c r="BK25" s="14">
        <v>93513.123999999996</v>
      </c>
      <c r="BL25">
        <v>3</v>
      </c>
      <c r="BM25">
        <v>9</v>
      </c>
      <c r="BN25" s="14">
        <v>101838.26000000001</v>
      </c>
      <c r="BO25" s="14">
        <v>115130.77777777778</v>
      </c>
      <c r="BP25">
        <v>6</v>
      </c>
      <c r="BQ25">
        <v>9</v>
      </c>
      <c r="BR25" s="14">
        <v>93440.650000000009</v>
      </c>
      <c r="BS25" s="14">
        <v>74464.537777777776</v>
      </c>
      <c r="BT25">
        <v>4</v>
      </c>
      <c r="BU25">
        <v>6</v>
      </c>
      <c r="BV25" s="14">
        <v>87393.642500000002</v>
      </c>
      <c r="BW25" s="14">
        <v>110007.76333333332</v>
      </c>
      <c r="BX25">
        <v>6</v>
      </c>
      <c r="BY25">
        <v>5</v>
      </c>
      <c r="BZ25" s="14">
        <v>203710.5</v>
      </c>
      <c r="CA25" s="14">
        <v>150539.13400000002</v>
      </c>
      <c r="CB25">
        <v>117</v>
      </c>
      <c r="CC25" s="14">
        <v>112649.39230769231</v>
      </c>
    </row>
    <row r="26" spans="2:81" x14ac:dyDescent="0.35">
      <c r="B26" s="4" t="s">
        <v>1178</v>
      </c>
      <c r="C26" s="14">
        <v>7692234.9000000004</v>
      </c>
      <c r="D26" s="14">
        <v>7158137.8600000003</v>
      </c>
      <c r="E26" s="14">
        <v>14850372.76</v>
      </c>
      <c r="L26" s="4" t="s">
        <v>1178</v>
      </c>
      <c r="M26" s="14">
        <v>163664.57234042554</v>
      </c>
      <c r="N26" s="14">
        <v>166468.32232558139</v>
      </c>
      <c r="O26" s="14">
        <v>165004.14177777778</v>
      </c>
      <c r="V26" s="4" t="s">
        <v>1178</v>
      </c>
      <c r="W26" s="14">
        <v>1305278.3700000003</v>
      </c>
      <c r="X26" s="14">
        <v>1187044.47</v>
      </c>
      <c r="Y26" s="14">
        <v>2492322.8400000003</v>
      </c>
      <c r="AA26" s="4" t="s">
        <v>1178</v>
      </c>
      <c r="AB26">
        <v>47</v>
      </c>
      <c r="AC26">
        <v>43</v>
      </c>
      <c r="AD26">
        <v>90</v>
      </c>
      <c r="AE26" s="4" t="s">
        <v>24</v>
      </c>
      <c r="AF26">
        <v>8</v>
      </c>
      <c r="AG26">
        <v>8</v>
      </c>
      <c r="AH26" s="14">
        <v>115469.15</v>
      </c>
      <c r="AI26" s="14">
        <v>97928.023749999993</v>
      </c>
      <c r="AJ26">
        <v>4</v>
      </c>
      <c r="AK26">
        <v>4</v>
      </c>
      <c r="AL26" s="14">
        <v>75589.667499999996</v>
      </c>
      <c r="AM26" s="14">
        <v>42820.182500000003</v>
      </c>
      <c r="AN26">
        <v>9</v>
      </c>
      <c r="AO26">
        <v>8</v>
      </c>
      <c r="AP26" s="14">
        <v>65406.664444444439</v>
      </c>
      <c r="AQ26" s="14">
        <v>63947.142500000002</v>
      </c>
      <c r="AR26">
        <v>5</v>
      </c>
      <c r="AS26">
        <v>9</v>
      </c>
      <c r="AT26" s="14">
        <v>109646.00200000001</v>
      </c>
      <c r="AU26" s="14">
        <v>110384.24777777778</v>
      </c>
      <c r="AV26">
        <v>11</v>
      </c>
      <c r="AW26">
        <v>9</v>
      </c>
      <c r="AX26" s="14">
        <v>100904.85090909092</v>
      </c>
      <c r="AY26" s="14">
        <v>84757.165555555548</v>
      </c>
      <c r="AZ26">
        <v>6</v>
      </c>
      <c r="BA26">
        <v>1</v>
      </c>
      <c r="BB26" s="14">
        <v>150438.85666666666</v>
      </c>
      <c r="BC26" s="14">
        <v>128221.13</v>
      </c>
      <c r="BD26">
        <v>11</v>
      </c>
      <c r="BE26">
        <v>5</v>
      </c>
      <c r="BF26" s="14">
        <v>171360.68363636362</v>
      </c>
      <c r="BG26" s="14">
        <v>184148.11599999998</v>
      </c>
      <c r="BH26">
        <v>1</v>
      </c>
      <c r="BI26">
        <v>5</v>
      </c>
      <c r="BJ26" s="14">
        <v>135211.42000000001</v>
      </c>
      <c r="BK26" s="14">
        <v>106541.36399999999</v>
      </c>
      <c r="BL26">
        <v>10</v>
      </c>
      <c r="BM26">
        <v>3</v>
      </c>
      <c r="BN26" s="14">
        <v>121062.81200000001</v>
      </c>
      <c r="BO26" s="14">
        <v>106943.15999999999</v>
      </c>
      <c r="BP26">
        <v>8</v>
      </c>
      <c r="BQ26">
        <v>5</v>
      </c>
      <c r="BR26" s="14">
        <v>81444.028749999998</v>
      </c>
      <c r="BS26" s="14">
        <v>108892.92199999999</v>
      </c>
      <c r="BT26">
        <v>4</v>
      </c>
      <c r="BU26">
        <v>8</v>
      </c>
      <c r="BV26" s="14">
        <v>102255.71249999999</v>
      </c>
      <c r="BW26" s="14">
        <v>93380.942500000005</v>
      </c>
      <c r="BX26">
        <v>8</v>
      </c>
      <c r="BY26">
        <v>5</v>
      </c>
      <c r="BZ26" s="14">
        <v>190958.51624999999</v>
      </c>
      <c r="CA26" s="14">
        <v>210095.712</v>
      </c>
      <c r="CB26">
        <v>155</v>
      </c>
      <c r="CC26" s="14">
        <v>113946.33632258064</v>
      </c>
    </row>
    <row r="27" spans="2:81" x14ac:dyDescent="0.35">
      <c r="B27" s="4" t="s">
        <v>1179</v>
      </c>
      <c r="C27" s="14">
        <v>6638609.21</v>
      </c>
      <c r="D27" s="14">
        <v>5242556.46</v>
      </c>
      <c r="E27" s="14">
        <v>11881165.67</v>
      </c>
      <c r="L27" s="4" t="s">
        <v>1179</v>
      </c>
      <c r="M27" s="14">
        <v>165965.23024999999</v>
      </c>
      <c r="N27" s="14">
        <v>145626.56833333333</v>
      </c>
      <c r="O27" s="14">
        <v>156331.12723684209</v>
      </c>
      <c r="V27" s="4" t="s">
        <v>1179</v>
      </c>
      <c r="W27" s="14">
        <v>1084227.4100000001</v>
      </c>
      <c r="X27" s="14">
        <v>839989.3899999999</v>
      </c>
      <c r="Y27" s="14">
        <v>1924216.8000000007</v>
      </c>
      <c r="AA27" s="4" t="s">
        <v>1179</v>
      </c>
      <c r="AB27">
        <v>40</v>
      </c>
      <c r="AC27">
        <v>36</v>
      </c>
      <c r="AD27">
        <v>76</v>
      </c>
      <c r="AE27" s="4" t="s">
        <v>80</v>
      </c>
      <c r="AF27">
        <v>11</v>
      </c>
      <c r="AG27">
        <v>7</v>
      </c>
      <c r="AH27" s="14">
        <v>72315.762727272726</v>
      </c>
      <c r="AI27" s="14">
        <v>84007.36714285714</v>
      </c>
      <c r="AJ27">
        <v>7</v>
      </c>
      <c r="AK27">
        <v>4</v>
      </c>
      <c r="AL27" s="14">
        <v>60647.298571428575</v>
      </c>
      <c r="AM27" s="14">
        <v>78687.152499999997</v>
      </c>
      <c r="AN27">
        <v>4</v>
      </c>
      <c r="AO27">
        <v>10</v>
      </c>
      <c r="AP27" s="14">
        <v>61569.58</v>
      </c>
      <c r="AQ27" s="14">
        <v>65375.514999999999</v>
      </c>
      <c r="AR27">
        <v>4</v>
      </c>
      <c r="AS27">
        <v>6</v>
      </c>
      <c r="AT27" s="14">
        <v>115434.625</v>
      </c>
      <c r="AU27" s="14">
        <v>97912.686666666661</v>
      </c>
      <c r="AV27">
        <v>5</v>
      </c>
      <c r="AW27">
        <v>4</v>
      </c>
      <c r="AX27" s="14">
        <v>127419.89199999999</v>
      </c>
      <c r="AY27" s="14">
        <v>136289.64000000001</v>
      </c>
      <c r="AZ27">
        <v>7</v>
      </c>
      <c r="BA27">
        <v>8</v>
      </c>
      <c r="BB27" s="14">
        <v>141676.95000000001</v>
      </c>
      <c r="BC27" s="14">
        <v>178279.60250000001</v>
      </c>
      <c r="BD27">
        <v>3</v>
      </c>
      <c r="BE27">
        <v>5</v>
      </c>
      <c r="BF27" s="14">
        <v>145461.80000000002</v>
      </c>
      <c r="BG27" s="14">
        <v>153067.07</v>
      </c>
      <c r="BH27">
        <v>1</v>
      </c>
      <c r="BI27">
        <v>4</v>
      </c>
      <c r="BJ27" s="14">
        <v>95966.17</v>
      </c>
      <c r="BK27" s="14">
        <v>78238.012499999997</v>
      </c>
      <c r="BL27">
        <v>6</v>
      </c>
      <c r="BM27">
        <v>2</v>
      </c>
      <c r="BN27" s="14">
        <v>77519.911666666667</v>
      </c>
      <c r="BO27" s="14">
        <v>123539.97</v>
      </c>
      <c r="BP27">
        <v>8</v>
      </c>
      <c r="BQ27">
        <v>5</v>
      </c>
      <c r="BR27" s="14">
        <v>119296.13250000001</v>
      </c>
      <c r="BS27" s="14">
        <v>121334.236</v>
      </c>
      <c r="BT27">
        <v>5</v>
      </c>
      <c r="BU27">
        <v>7</v>
      </c>
      <c r="BV27" s="14">
        <v>78546.752000000008</v>
      </c>
      <c r="BW27" s="14">
        <v>125092.65714285713</v>
      </c>
      <c r="BX27">
        <v>7</v>
      </c>
      <c r="BY27">
        <v>4</v>
      </c>
      <c r="BZ27" s="14">
        <v>136763.78142857141</v>
      </c>
      <c r="CA27" s="14">
        <v>175045.98250000001</v>
      </c>
      <c r="CB27">
        <v>134</v>
      </c>
      <c r="CC27" s="14">
        <v>108075.20611940298</v>
      </c>
    </row>
    <row r="28" spans="2:81" x14ac:dyDescent="0.35">
      <c r="B28" s="4" t="s">
        <v>1180</v>
      </c>
      <c r="C28" s="14">
        <v>3437450.14</v>
      </c>
      <c r="D28" s="14">
        <v>4714525.21</v>
      </c>
      <c r="E28" s="14">
        <v>8151975.3499999996</v>
      </c>
      <c r="L28" s="4" t="s">
        <v>1180</v>
      </c>
      <c r="M28" s="14">
        <v>110885.48838709678</v>
      </c>
      <c r="N28" s="14">
        <v>104767.22688888889</v>
      </c>
      <c r="O28" s="14">
        <v>107262.83355263158</v>
      </c>
      <c r="V28" s="4" t="s">
        <v>1180</v>
      </c>
      <c r="W28" s="14">
        <v>580316.11999999976</v>
      </c>
      <c r="X28" s="14">
        <v>768976.3600000001</v>
      </c>
      <c r="Y28" s="14">
        <v>1349292.4799999997</v>
      </c>
      <c r="AA28" s="4" t="s">
        <v>1180</v>
      </c>
      <c r="AB28">
        <v>31</v>
      </c>
      <c r="AC28">
        <v>45</v>
      </c>
      <c r="AD28">
        <v>76</v>
      </c>
      <c r="AE28" s="4" t="s">
        <v>18</v>
      </c>
      <c r="AF28">
        <v>6</v>
      </c>
      <c r="AG28">
        <v>9</v>
      </c>
      <c r="AH28" s="14">
        <v>121640.21833333334</v>
      </c>
      <c r="AI28" s="14">
        <v>108595.65333333334</v>
      </c>
      <c r="AJ28">
        <v>8</v>
      </c>
      <c r="AK28">
        <v>1</v>
      </c>
      <c r="AL28" s="14">
        <v>62735.368750000001</v>
      </c>
      <c r="AM28" s="14">
        <v>61374.06</v>
      </c>
      <c r="AN28">
        <v>7</v>
      </c>
      <c r="AO28">
        <v>2</v>
      </c>
      <c r="AP28" s="14">
        <v>44769.33142857143</v>
      </c>
      <c r="AQ28" s="14">
        <v>60683.66</v>
      </c>
      <c r="AR28">
        <v>10</v>
      </c>
      <c r="AS28">
        <v>3</v>
      </c>
      <c r="AT28" s="14">
        <v>118033.41</v>
      </c>
      <c r="AU28" s="14">
        <v>105187.07666666666</v>
      </c>
      <c r="AV28">
        <v>3</v>
      </c>
      <c r="AW28">
        <v>13</v>
      </c>
      <c r="AX28" s="14">
        <v>62095.323333333334</v>
      </c>
      <c r="AY28" s="14">
        <v>92771.99</v>
      </c>
      <c r="AZ28">
        <v>7</v>
      </c>
      <c r="BA28">
        <v>7</v>
      </c>
      <c r="BB28" s="14">
        <v>164179.5557142857</v>
      </c>
      <c r="BC28" s="14">
        <v>131738.21</v>
      </c>
      <c r="BD28">
        <v>4</v>
      </c>
      <c r="BE28">
        <v>5</v>
      </c>
      <c r="BF28" s="14">
        <v>170397.46249999999</v>
      </c>
      <c r="BG28" s="14">
        <v>188381.40600000002</v>
      </c>
      <c r="BH28">
        <v>9</v>
      </c>
      <c r="BI28">
        <v>5</v>
      </c>
      <c r="BJ28" s="14">
        <v>129878.23666666665</v>
      </c>
      <c r="BK28" s="14">
        <v>114048.946</v>
      </c>
      <c r="BL28">
        <v>6</v>
      </c>
      <c r="BM28">
        <v>5</v>
      </c>
      <c r="BN28" s="14">
        <v>71867.011666666673</v>
      </c>
      <c r="BO28" s="14">
        <v>101369.374</v>
      </c>
      <c r="BP28">
        <v>6</v>
      </c>
      <c r="BQ28">
        <v>6</v>
      </c>
      <c r="BR28" s="14">
        <v>101941.60333333333</v>
      </c>
      <c r="BS28" s="14">
        <v>102306.29666666668</v>
      </c>
      <c r="BT28">
        <v>5</v>
      </c>
      <c r="BU28">
        <v>7</v>
      </c>
      <c r="BV28" s="14">
        <v>92824.323999999993</v>
      </c>
      <c r="BW28" s="14">
        <v>108971.54857142856</v>
      </c>
      <c r="BX28">
        <v>3</v>
      </c>
      <c r="BY28">
        <v>2</v>
      </c>
      <c r="BZ28" s="14">
        <v>235222.88</v>
      </c>
      <c r="CA28" s="14">
        <v>98998.45</v>
      </c>
      <c r="CB28">
        <v>139</v>
      </c>
      <c r="CC28" s="14">
        <v>110227.50683453237</v>
      </c>
    </row>
    <row r="29" spans="2:81" x14ac:dyDescent="0.35">
      <c r="B29" s="4" t="s">
        <v>1181</v>
      </c>
      <c r="C29" s="14">
        <v>4870060.55</v>
      </c>
      <c r="D29" s="14">
        <v>3778141.37</v>
      </c>
      <c r="E29" s="14">
        <v>8648201.9199999999</v>
      </c>
      <c r="L29" s="4" t="s">
        <v>1181</v>
      </c>
      <c r="M29" s="14">
        <v>99388.990816326521</v>
      </c>
      <c r="N29" s="14">
        <v>111121.80500000001</v>
      </c>
      <c r="O29" s="14">
        <v>104195.20385542169</v>
      </c>
      <c r="V29" s="4" t="s">
        <v>1181</v>
      </c>
      <c r="W29" s="14">
        <v>788191.58000000007</v>
      </c>
      <c r="X29" s="14">
        <v>663167.65</v>
      </c>
      <c r="Y29" s="14">
        <v>1451359.2299999997</v>
      </c>
      <c r="AA29" s="4" t="s">
        <v>1181</v>
      </c>
      <c r="AB29">
        <v>49</v>
      </c>
      <c r="AC29">
        <v>34</v>
      </c>
      <c r="AD29">
        <v>83</v>
      </c>
      <c r="AE29" s="4" t="s">
        <v>139</v>
      </c>
      <c r="AF29">
        <v>1</v>
      </c>
      <c r="AG29">
        <v>2</v>
      </c>
      <c r="AH29" s="14">
        <v>45256.74</v>
      </c>
      <c r="AI29" s="14">
        <v>119030.48</v>
      </c>
      <c r="AJ29">
        <v>1</v>
      </c>
      <c r="AK29">
        <v>1</v>
      </c>
      <c r="AL29" s="14">
        <v>24787.65</v>
      </c>
      <c r="AM29" s="14">
        <v>18897.97</v>
      </c>
      <c r="AO29">
        <v>4</v>
      </c>
      <c r="AP29" s="14"/>
      <c r="AQ29" s="14">
        <v>79785.75</v>
      </c>
      <c r="AT29" s="14"/>
      <c r="AU29" s="14"/>
      <c r="AV29">
        <v>2</v>
      </c>
      <c r="AW29">
        <v>3</v>
      </c>
      <c r="AX29" s="14">
        <v>50553.785000000003</v>
      </c>
      <c r="AY29" s="14">
        <v>90071.206666666665</v>
      </c>
      <c r="AZ29">
        <v>2</v>
      </c>
      <c r="BA29">
        <v>2</v>
      </c>
      <c r="BB29" s="14">
        <v>178267.97500000001</v>
      </c>
      <c r="BC29" s="14">
        <v>179596.14</v>
      </c>
      <c r="BD29">
        <v>1</v>
      </c>
      <c r="BE29">
        <v>1</v>
      </c>
      <c r="BF29" s="14">
        <v>177802.7</v>
      </c>
      <c r="BG29" s="14">
        <v>45725.53</v>
      </c>
      <c r="BI29">
        <v>1</v>
      </c>
      <c r="BJ29" s="14"/>
      <c r="BK29" s="14">
        <v>144530.35</v>
      </c>
      <c r="BL29">
        <v>2</v>
      </c>
      <c r="BM29">
        <v>1</v>
      </c>
      <c r="BN29" s="14">
        <v>55811.584999999999</v>
      </c>
      <c r="BO29" s="14">
        <v>70657.259999999995</v>
      </c>
      <c r="BQ29">
        <v>1</v>
      </c>
      <c r="BR29" s="14"/>
      <c r="BS29" s="14">
        <v>57333.85</v>
      </c>
      <c r="BU29">
        <v>2</v>
      </c>
      <c r="BV29" s="14"/>
      <c r="BW29" s="14">
        <v>123783.05</v>
      </c>
      <c r="BX29">
        <v>1</v>
      </c>
      <c r="BY29">
        <v>1</v>
      </c>
      <c r="BZ29" s="14">
        <v>383996.76</v>
      </c>
      <c r="CA29" s="14">
        <v>290551.74</v>
      </c>
      <c r="CB29">
        <v>29</v>
      </c>
      <c r="CC29" s="14">
        <v>112516.66206896552</v>
      </c>
    </row>
    <row r="30" spans="2:81" x14ac:dyDescent="0.35">
      <c r="B30" s="4" t="s">
        <v>1182</v>
      </c>
      <c r="C30" s="14">
        <v>4372149.55</v>
      </c>
      <c r="D30" s="14">
        <v>4869726.8499999996</v>
      </c>
      <c r="E30" s="14">
        <v>9241876.4000000004</v>
      </c>
      <c r="L30" s="4" t="s">
        <v>1182</v>
      </c>
      <c r="M30" s="14">
        <v>101677.8965116279</v>
      </c>
      <c r="N30" s="14">
        <v>97394.536999999997</v>
      </c>
      <c r="O30" s="14">
        <v>99375.015053763447</v>
      </c>
      <c r="V30" s="4" t="s">
        <v>1182</v>
      </c>
      <c r="W30" s="14">
        <v>744434.48</v>
      </c>
      <c r="X30" s="14">
        <v>839700.96000000008</v>
      </c>
      <c r="Y30" s="14">
        <v>1584135.4399999995</v>
      </c>
      <c r="AA30" s="4" t="s">
        <v>1182</v>
      </c>
      <c r="AB30">
        <v>43</v>
      </c>
      <c r="AC30">
        <v>50</v>
      </c>
      <c r="AD30">
        <v>93</v>
      </c>
      <c r="AE30" s="4" t="s">
        <v>62</v>
      </c>
      <c r="AF30">
        <v>1</v>
      </c>
      <c r="AG30">
        <v>3</v>
      </c>
      <c r="AH30" s="14">
        <v>103874.1</v>
      </c>
      <c r="AI30" s="14">
        <v>143616.59</v>
      </c>
      <c r="AJ30">
        <v>2</v>
      </c>
      <c r="AK30">
        <v>3</v>
      </c>
      <c r="AL30" s="14">
        <v>85145.884999999995</v>
      </c>
      <c r="AM30" s="14">
        <v>61360.656666666669</v>
      </c>
      <c r="AN30">
        <v>1</v>
      </c>
      <c r="AO30">
        <v>5</v>
      </c>
      <c r="AP30" s="14">
        <v>83141.47</v>
      </c>
      <c r="AQ30" s="14">
        <v>75357.567999999999</v>
      </c>
      <c r="AS30">
        <v>1</v>
      </c>
      <c r="AT30" s="14"/>
      <c r="AU30" s="14">
        <v>152522.94</v>
      </c>
      <c r="AV30">
        <v>2</v>
      </c>
      <c r="AW30">
        <v>2</v>
      </c>
      <c r="AX30" s="14">
        <v>154369.25</v>
      </c>
      <c r="AY30" s="14">
        <v>118694.045</v>
      </c>
      <c r="AZ30">
        <v>2</v>
      </c>
      <c r="BA30">
        <v>4</v>
      </c>
      <c r="BB30" s="14">
        <v>110386.595</v>
      </c>
      <c r="BC30" s="14">
        <v>200705.405</v>
      </c>
      <c r="BD30">
        <v>1</v>
      </c>
      <c r="BE30">
        <v>1</v>
      </c>
      <c r="BF30" s="14">
        <v>77522.570000000007</v>
      </c>
      <c r="BG30" s="14">
        <v>152676.76999999999</v>
      </c>
      <c r="BH30">
        <v>3</v>
      </c>
      <c r="BI30">
        <v>1</v>
      </c>
      <c r="BJ30" s="14">
        <v>79821.240000000005</v>
      </c>
      <c r="BK30" s="14">
        <v>87085.71</v>
      </c>
      <c r="BL30">
        <v>4</v>
      </c>
      <c r="BM30">
        <v>2</v>
      </c>
      <c r="BN30" s="14">
        <v>96617.792499999996</v>
      </c>
      <c r="BO30" s="14">
        <v>117848.895</v>
      </c>
      <c r="BP30">
        <v>3</v>
      </c>
      <c r="BQ30">
        <v>2</v>
      </c>
      <c r="BR30" s="14">
        <v>117076.09000000001</v>
      </c>
      <c r="BS30" s="14">
        <v>90997.21</v>
      </c>
      <c r="BU30">
        <v>3</v>
      </c>
      <c r="BV30" s="14"/>
      <c r="BW30" s="14">
        <v>70603.933333333334</v>
      </c>
      <c r="BX30">
        <v>2</v>
      </c>
      <c r="BY30">
        <v>2</v>
      </c>
      <c r="BZ30" s="14">
        <v>180423.04500000001</v>
      </c>
      <c r="CA30" s="14">
        <v>291502.935</v>
      </c>
      <c r="CB30">
        <v>50</v>
      </c>
      <c r="CC30" s="14">
        <v>118781.50880000001</v>
      </c>
    </row>
    <row r="31" spans="2:81" x14ac:dyDescent="0.35">
      <c r="B31" s="4" t="s">
        <v>1183</v>
      </c>
      <c r="C31" s="14">
        <v>2961318.57</v>
      </c>
      <c r="D31" s="14">
        <v>4734730.08</v>
      </c>
      <c r="E31" s="14">
        <v>7696048.6500000004</v>
      </c>
      <c r="L31" s="4" t="s">
        <v>1183</v>
      </c>
      <c r="M31" s="14">
        <v>89736.926363636361</v>
      </c>
      <c r="N31" s="14">
        <v>105216.224</v>
      </c>
      <c r="O31" s="14">
        <v>98667.290384615393</v>
      </c>
      <c r="V31" s="4" t="s">
        <v>1183</v>
      </c>
      <c r="W31" s="14">
        <v>482287.62000000011</v>
      </c>
      <c r="X31" s="14">
        <v>787670.37000000011</v>
      </c>
      <c r="Y31" s="14">
        <v>1269957.9899999995</v>
      </c>
      <c r="AA31" s="4" t="s">
        <v>1183</v>
      </c>
      <c r="AB31">
        <v>33</v>
      </c>
      <c r="AC31">
        <v>45</v>
      </c>
      <c r="AD31">
        <v>78</v>
      </c>
      <c r="AE31" s="4" t="s">
        <v>60</v>
      </c>
      <c r="AF31">
        <v>5</v>
      </c>
      <c r="AG31">
        <v>4</v>
      </c>
      <c r="AH31" s="14">
        <v>127779.58</v>
      </c>
      <c r="AI31" s="14">
        <v>94415.524999999994</v>
      </c>
      <c r="AJ31">
        <v>6</v>
      </c>
      <c r="AK31">
        <v>3</v>
      </c>
      <c r="AL31" s="14">
        <v>65515.081666666665</v>
      </c>
      <c r="AM31" s="14">
        <v>70967.956666666665</v>
      </c>
      <c r="AN31">
        <v>5</v>
      </c>
      <c r="AO31">
        <v>7</v>
      </c>
      <c r="AP31" s="14">
        <v>65425.678</v>
      </c>
      <c r="AQ31" s="14">
        <v>63900.305714285714</v>
      </c>
      <c r="AR31">
        <v>3</v>
      </c>
      <c r="AS31">
        <v>1</v>
      </c>
      <c r="AT31" s="14">
        <v>112028.05666666666</v>
      </c>
      <c r="AU31" s="14">
        <v>51416.24</v>
      </c>
      <c r="AV31">
        <v>5</v>
      </c>
      <c r="AW31">
        <v>2</v>
      </c>
      <c r="AX31" s="14">
        <v>103364.882</v>
      </c>
      <c r="AY31" s="14">
        <v>133276.57500000001</v>
      </c>
      <c r="AZ31">
        <v>7</v>
      </c>
      <c r="BA31">
        <v>3</v>
      </c>
      <c r="BB31" s="14">
        <v>189537.13999999998</v>
      </c>
      <c r="BC31" s="14">
        <v>111736.73</v>
      </c>
      <c r="BD31">
        <v>1</v>
      </c>
      <c r="BE31">
        <v>2</v>
      </c>
      <c r="BF31" s="14">
        <v>256603.66</v>
      </c>
      <c r="BG31" s="14">
        <v>44574.514999999999</v>
      </c>
      <c r="BH31">
        <v>4</v>
      </c>
      <c r="BI31">
        <v>5</v>
      </c>
      <c r="BJ31" s="14">
        <v>98752.03</v>
      </c>
      <c r="BK31" s="14">
        <v>128746.584</v>
      </c>
      <c r="BM31">
        <v>2</v>
      </c>
      <c r="BN31" s="14"/>
      <c r="BO31" s="14">
        <v>92441.875</v>
      </c>
      <c r="BP31">
        <v>4</v>
      </c>
      <c r="BQ31">
        <v>9</v>
      </c>
      <c r="BR31" s="14">
        <v>103747.34</v>
      </c>
      <c r="BS31" s="14">
        <v>124754.67333333334</v>
      </c>
      <c r="BT31">
        <v>2</v>
      </c>
      <c r="BU31">
        <v>5</v>
      </c>
      <c r="BV31" s="14">
        <v>122945.925</v>
      </c>
      <c r="BW31" s="14">
        <v>117360.33799999999</v>
      </c>
      <c r="BX31">
        <v>5</v>
      </c>
      <c r="BY31">
        <v>5</v>
      </c>
      <c r="BZ31" s="14">
        <v>221901.28399999999</v>
      </c>
      <c r="CA31" s="14">
        <v>164492.554</v>
      </c>
      <c r="CB31">
        <v>95</v>
      </c>
      <c r="CC31" s="14">
        <v>116859.5227368421</v>
      </c>
    </row>
    <row r="32" spans="2:81" x14ac:dyDescent="0.35">
      <c r="B32" s="4" t="s">
        <v>1184</v>
      </c>
      <c r="C32" s="14">
        <v>8713776.0299999993</v>
      </c>
      <c r="D32" s="14">
        <v>5884298.2599999998</v>
      </c>
      <c r="E32" s="14">
        <v>14598074.289999999</v>
      </c>
      <c r="L32" s="4" t="s">
        <v>1184</v>
      </c>
      <c r="M32" s="14">
        <v>198040.36431818179</v>
      </c>
      <c r="N32" s="14">
        <v>178312.06848484848</v>
      </c>
      <c r="O32" s="14">
        <v>189585.38038961036</v>
      </c>
      <c r="V32" s="4" t="s">
        <v>1184</v>
      </c>
      <c r="W32" s="14">
        <v>1514673.56</v>
      </c>
      <c r="X32" s="14">
        <v>970796.21999999974</v>
      </c>
      <c r="Y32" s="14">
        <v>2485469.7799999998</v>
      </c>
      <c r="AA32" s="4" t="s">
        <v>1184</v>
      </c>
      <c r="AB32">
        <v>44</v>
      </c>
      <c r="AC32">
        <v>33</v>
      </c>
      <c r="AD32">
        <v>77</v>
      </c>
      <c r="AE32" s="4" t="s">
        <v>1164</v>
      </c>
      <c r="AF32">
        <v>44</v>
      </c>
      <c r="AG32">
        <v>51</v>
      </c>
      <c r="AH32" s="14">
        <v>102650.33681818182</v>
      </c>
      <c r="AI32" s="14">
        <v>102268.62411764706</v>
      </c>
      <c r="AJ32">
        <v>44</v>
      </c>
      <c r="AK32">
        <v>28</v>
      </c>
      <c r="AL32" s="14">
        <v>65808.270454545447</v>
      </c>
      <c r="AM32" s="14">
        <v>69979.03571428571</v>
      </c>
      <c r="AN32">
        <v>41</v>
      </c>
      <c r="AO32">
        <v>52</v>
      </c>
      <c r="AP32" s="14">
        <v>61507.999756097568</v>
      </c>
      <c r="AQ32" s="14">
        <v>68845.073846153842</v>
      </c>
      <c r="AR32">
        <v>36</v>
      </c>
      <c r="AS32">
        <v>38</v>
      </c>
      <c r="AT32" s="14">
        <v>115895.46583333334</v>
      </c>
      <c r="AU32" s="14">
        <v>107081.52052631578</v>
      </c>
      <c r="AV32">
        <v>38</v>
      </c>
      <c r="AW32">
        <v>55</v>
      </c>
      <c r="AX32" s="14">
        <v>100675.84131578948</v>
      </c>
      <c r="AY32" s="14">
        <v>100689.88672727272</v>
      </c>
      <c r="AZ32">
        <v>47</v>
      </c>
      <c r="BA32">
        <v>43</v>
      </c>
      <c r="BB32" s="14">
        <v>163664.57234042554</v>
      </c>
      <c r="BC32" s="14">
        <v>166468.32232558139</v>
      </c>
      <c r="BD32">
        <v>40</v>
      </c>
      <c r="BE32">
        <v>36</v>
      </c>
      <c r="BF32" s="14">
        <v>165965.23024999999</v>
      </c>
      <c r="BG32" s="14">
        <v>145626.56833333333</v>
      </c>
      <c r="BH32">
        <v>31</v>
      </c>
      <c r="BI32">
        <v>45</v>
      </c>
      <c r="BJ32" s="14">
        <v>110885.48838709678</v>
      </c>
      <c r="BK32" s="14">
        <v>104767.22688888889</v>
      </c>
      <c r="BL32">
        <v>49</v>
      </c>
      <c r="BM32">
        <v>34</v>
      </c>
      <c r="BN32" s="14">
        <v>99388.990816326521</v>
      </c>
      <c r="BO32" s="14">
        <v>111121.80500000001</v>
      </c>
      <c r="BP32">
        <v>43</v>
      </c>
      <c r="BQ32">
        <v>50</v>
      </c>
      <c r="BR32" s="14">
        <v>101677.8965116279</v>
      </c>
      <c r="BS32" s="14">
        <v>97394.536999999997</v>
      </c>
      <c r="BT32">
        <v>33</v>
      </c>
      <c r="BU32">
        <v>45</v>
      </c>
      <c r="BV32" s="14">
        <v>89736.926363636361</v>
      </c>
      <c r="BW32" s="14">
        <v>105216.224</v>
      </c>
      <c r="BX32">
        <v>44</v>
      </c>
      <c r="BY32">
        <v>33</v>
      </c>
      <c r="BZ32" s="14">
        <v>198040.36431818179</v>
      </c>
      <c r="CA32" s="14">
        <v>178312.06848484848</v>
      </c>
      <c r="CB32">
        <v>1000</v>
      </c>
      <c r="CC32" s="14">
        <v>113361.73870999999</v>
      </c>
    </row>
    <row r="33" spans="2:30" x14ac:dyDescent="0.35">
      <c r="B33" s="4" t="s">
        <v>1164</v>
      </c>
      <c r="C33" s="14">
        <v>56617524.399999999</v>
      </c>
      <c r="D33" s="14">
        <v>56744214.310000002</v>
      </c>
      <c r="E33" s="14">
        <v>113361738.70999999</v>
      </c>
      <c r="L33" s="4" t="s">
        <v>1164</v>
      </c>
      <c r="M33" s="14">
        <v>115545.96816326531</v>
      </c>
      <c r="N33" s="14">
        <v>111263.16531372549</v>
      </c>
      <c r="O33" s="14">
        <v>113361.73870999999</v>
      </c>
      <c r="V33" s="4" t="s">
        <v>1164</v>
      </c>
      <c r="W33" s="14">
        <v>9487277.8899999913</v>
      </c>
      <c r="X33" s="14">
        <v>9505149.8300000001</v>
      </c>
      <c r="Y33" s="14">
        <v>18992427.720000003</v>
      </c>
      <c r="AA33" s="4" t="s">
        <v>1164</v>
      </c>
      <c r="AB33">
        <v>490</v>
      </c>
      <c r="AC33">
        <v>510</v>
      </c>
      <c r="AD33">
        <v>1000</v>
      </c>
    </row>
    <row r="34" spans="2:30" x14ac:dyDescent="0.35">
      <c r="D34" s="14"/>
      <c r="E34" s="14"/>
      <c r="G34" s="4"/>
      <c r="V34" s="4"/>
      <c r="W34" s="14"/>
      <c r="X34" s="14"/>
      <c r="Y34" s="14"/>
    </row>
    <row r="36" spans="2:30" x14ac:dyDescent="0.35">
      <c r="B36" s="3" t="s">
        <v>1168</v>
      </c>
      <c r="C36" s="3" t="s">
        <v>1252</v>
      </c>
      <c r="G36" s="3" t="s">
        <v>1167</v>
      </c>
      <c r="H36" s="3" t="s">
        <v>1223</v>
      </c>
    </row>
    <row r="37" spans="2:30" x14ac:dyDescent="0.35">
      <c r="B37" s="3" t="s">
        <v>1231</v>
      </c>
      <c r="C37" t="s">
        <v>1171</v>
      </c>
      <c r="D37" t="s">
        <v>1172</v>
      </c>
      <c r="E37" t="s">
        <v>1164</v>
      </c>
      <c r="G37" s="3" t="s">
        <v>1225</v>
      </c>
      <c r="H37" t="s">
        <v>1171</v>
      </c>
      <c r="I37" t="s">
        <v>1172</v>
      </c>
      <c r="J37" t="s">
        <v>1164</v>
      </c>
      <c r="P37" s="3" t="s">
        <v>1250</v>
      </c>
      <c r="Q37" s="3" t="s">
        <v>1223</v>
      </c>
    </row>
    <row r="38" spans="2:30" x14ac:dyDescent="0.35">
      <c r="B38" s="4" t="s">
        <v>1173</v>
      </c>
      <c r="C38" s="14">
        <v>16459.802500000013</v>
      </c>
      <c r="D38" s="14">
        <v>18130.176862745109</v>
      </c>
      <c r="E38" s="14">
        <v>17356.529789473683</v>
      </c>
      <c r="G38" s="4" t="s">
        <v>1173</v>
      </c>
      <c r="H38" s="7">
        <v>-5.8673652111705873E-3</v>
      </c>
      <c r="I38" s="7">
        <v>-2.3153856035841233E-3</v>
      </c>
      <c r="J38" s="7">
        <v>-8.1827508147547523E-3</v>
      </c>
      <c r="P38" s="3" t="s">
        <v>1225</v>
      </c>
      <c r="Q38" t="s">
        <v>1171</v>
      </c>
      <c r="R38" t="s">
        <v>1172</v>
      </c>
      <c r="S38" t="s">
        <v>1164</v>
      </c>
      <c r="AB38" s="4" t="s">
        <v>46</v>
      </c>
    </row>
    <row r="39" spans="2:30" x14ac:dyDescent="0.35">
      <c r="B39" s="4" t="s">
        <v>1174</v>
      </c>
      <c r="C39" s="14">
        <v>11209.202272727271</v>
      </c>
      <c r="D39" s="14">
        <v>11276.803928571429</v>
      </c>
      <c r="E39" s="14">
        <v>11235.491805555557</v>
      </c>
      <c r="G39" s="4" t="s">
        <v>1174</v>
      </c>
      <c r="H39" s="7">
        <v>-1.803149785424062E-2</v>
      </c>
      <c r="I39" s="7">
        <v>-1.1374926330903003E-2</v>
      </c>
      <c r="J39" s="7">
        <v>-2.9406424185143602E-2</v>
      </c>
      <c r="P39" s="4" t="s">
        <v>1173</v>
      </c>
      <c r="Q39" s="7">
        <v>0.160348256130462</v>
      </c>
      <c r="R39" s="7">
        <v>0.17727995286109102</v>
      </c>
      <c r="S39" s="7">
        <v>0.16942221756054712</v>
      </c>
      <c r="AB39" s="4" t="s">
        <v>51</v>
      </c>
    </row>
    <row r="40" spans="2:30" x14ac:dyDescent="0.35">
      <c r="B40" s="4" t="s">
        <v>1175</v>
      </c>
      <c r="C40" s="14">
        <v>10473.673658536589</v>
      </c>
      <c r="D40" s="14">
        <v>11468.149423076924</v>
      </c>
      <c r="E40" s="14">
        <v>11029.724623655911</v>
      </c>
      <c r="G40" s="4" t="s">
        <v>1175</v>
      </c>
      <c r="H40" s="7">
        <v>-1.8389903685256725E-2</v>
      </c>
      <c r="I40" s="7">
        <v>-2.0600971987798103E-2</v>
      </c>
      <c r="J40" s="7">
        <v>-3.8990875673054835E-2</v>
      </c>
      <c r="P40" s="4" t="s">
        <v>1174</v>
      </c>
      <c r="Q40" s="7">
        <v>0.17033120906086718</v>
      </c>
      <c r="R40" s="7">
        <v>0.1611454604006404</v>
      </c>
      <c r="S40" s="7">
        <v>0.16662394624369894</v>
      </c>
      <c r="AB40" s="4" t="s">
        <v>30</v>
      </c>
    </row>
    <row r="41" spans="2:30" x14ac:dyDescent="0.35">
      <c r="B41" s="4" t="s">
        <v>1176</v>
      </c>
      <c r="C41" s="14">
        <v>19243.156111111115</v>
      </c>
      <c r="D41" s="14">
        <v>18321.564736842105</v>
      </c>
      <c r="E41" s="14">
        <v>18769.906486486489</v>
      </c>
      <c r="G41" s="4" t="s">
        <v>1176</v>
      </c>
      <c r="H41" s="7">
        <v>4.7525372812107919E-4</v>
      </c>
      <c r="I41" s="7">
        <v>-1.3422609123927357E-3</v>
      </c>
      <c r="J41" s="7">
        <v>-8.6700718427165646E-4</v>
      </c>
      <c r="P41" s="4" t="s">
        <v>1175</v>
      </c>
      <c r="Q41" s="7">
        <v>0.17028148696216194</v>
      </c>
      <c r="R41" s="7">
        <v>0.16657908521827539</v>
      </c>
      <c r="S41" s="7">
        <v>0.16810926704219284</v>
      </c>
      <c r="AB41" s="4" t="s">
        <v>11</v>
      </c>
    </row>
    <row r="42" spans="2:30" x14ac:dyDescent="0.35">
      <c r="B42" s="4" t="s">
        <v>1177</v>
      </c>
      <c r="C42" s="14">
        <v>17059.428947368429</v>
      </c>
      <c r="D42" s="14">
        <v>16633.666363636352</v>
      </c>
      <c r="E42" s="14">
        <v>16807.633870967744</v>
      </c>
      <c r="G42" s="4" t="s">
        <v>1177</v>
      </c>
      <c r="H42" s="7">
        <v>-3.8675389182947564E-3</v>
      </c>
      <c r="I42" s="7">
        <v>-6.8307157206335192E-3</v>
      </c>
      <c r="J42" s="7">
        <v>-1.069825463892829E-2</v>
      </c>
      <c r="P42" s="4" t="s">
        <v>1176</v>
      </c>
      <c r="Q42" s="7">
        <v>0.16603890387553438</v>
      </c>
      <c r="R42" s="7">
        <v>0.17109922091869711</v>
      </c>
      <c r="S42" s="7">
        <v>0.16853739786598035</v>
      </c>
      <c r="AB42" s="4" t="s">
        <v>24</v>
      </c>
    </row>
    <row r="43" spans="2:30" x14ac:dyDescent="0.35">
      <c r="B43" s="4" t="s">
        <v>1178</v>
      </c>
      <c r="C43" s="14">
        <v>27771.880212765958</v>
      </c>
      <c r="D43" s="14">
        <v>27605.685348837225</v>
      </c>
      <c r="E43" s="14">
        <v>27692.475999999999</v>
      </c>
      <c r="G43" s="4" t="s">
        <v>1178</v>
      </c>
      <c r="H43" s="7">
        <v>2.172625181168783E-2</v>
      </c>
      <c r="I43" s="7">
        <v>1.9500933924838967E-2</v>
      </c>
      <c r="J43" s="7">
        <v>4.1227185736526784E-2</v>
      </c>
      <c r="P43" s="4" t="s">
        <v>1177</v>
      </c>
      <c r="Q43" s="7">
        <v>0.16944908256448726</v>
      </c>
      <c r="R43" s="7">
        <v>0.16519699151802683</v>
      </c>
      <c r="S43" s="7">
        <v>0.16693426172755171</v>
      </c>
      <c r="AB43" s="4" t="s">
        <v>80</v>
      </c>
    </row>
    <row r="44" spans="2:30" x14ac:dyDescent="0.35">
      <c r="B44" s="4" t="s">
        <v>1179</v>
      </c>
      <c r="C44" s="14">
        <v>27105.685250000002</v>
      </c>
      <c r="D44" s="14">
        <v>23333.0386111111</v>
      </c>
      <c r="E44" s="14">
        <v>25318.642105263167</v>
      </c>
      <c r="G44" s="4" t="s">
        <v>1179</v>
      </c>
      <c r="H44" s="7">
        <v>1.7087352179745455E-2</v>
      </c>
      <c r="I44" s="7">
        <v>8.2275944067670692E-3</v>
      </c>
      <c r="J44" s="7">
        <v>2.5314946586512566E-2</v>
      </c>
      <c r="P44" s="4" t="s">
        <v>1178</v>
      </c>
      <c r="Q44" s="7">
        <v>0.16968779385559327</v>
      </c>
      <c r="R44" s="7">
        <v>0.16583146248597128</v>
      </c>
      <c r="S44" s="7">
        <v>0.16782897508897276</v>
      </c>
      <c r="AB44" s="4" t="s">
        <v>18</v>
      </c>
    </row>
    <row r="45" spans="2:30" x14ac:dyDescent="0.35">
      <c r="B45" s="4" t="s">
        <v>1180</v>
      </c>
      <c r="C45" s="14">
        <v>18719.874838709682</v>
      </c>
      <c r="D45" s="14">
        <v>17088.363555555552</v>
      </c>
      <c r="E45" s="14">
        <v>17753.848421052626</v>
      </c>
      <c r="G45" s="4" t="s">
        <v>1180</v>
      </c>
      <c r="H45" s="7">
        <v>-4.4486884165434795E-4</v>
      </c>
      <c r="I45" s="7">
        <v>-4.5114236401579896E-3</v>
      </c>
      <c r="J45" s="7">
        <v>-4.9562924818123411E-3</v>
      </c>
      <c r="P45" s="4" t="s">
        <v>1179</v>
      </c>
      <c r="Q45" s="7">
        <v>0.16332146925696206</v>
      </c>
      <c r="R45" s="7">
        <v>0.16022514901060306</v>
      </c>
      <c r="S45" s="7">
        <v>0.16195522000494086</v>
      </c>
      <c r="AB45" s="4" t="s">
        <v>139</v>
      </c>
    </row>
    <row r="46" spans="2:30" x14ac:dyDescent="0.35">
      <c r="B46" s="4" t="s">
        <v>1181</v>
      </c>
      <c r="C46" s="14">
        <v>16085.542448979584</v>
      </c>
      <c r="D46" s="14">
        <v>19504.930882352939</v>
      </c>
      <c r="E46" s="14">
        <v>17486.255783132525</v>
      </c>
      <c r="G46" s="4" t="s">
        <v>1181</v>
      </c>
      <c r="H46" s="7">
        <v>-7.4996930555647837E-3</v>
      </c>
      <c r="I46" s="7">
        <v>9.1747657418489448E-4</v>
      </c>
      <c r="J46" s="7">
        <v>-6.5822164813798961E-3</v>
      </c>
      <c r="P46" s="4" t="s">
        <v>1180</v>
      </c>
      <c r="Q46" s="7">
        <v>0.1688216836215696</v>
      </c>
      <c r="R46" s="7">
        <v>0.16310791134787461</v>
      </c>
      <c r="S46" s="7">
        <v>0.16551724239450744</v>
      </c>
      <c r="AB46" s="4" t="s">
        <v>62</v>
      </c>
    </row>
    <row r="47" spans="2:30" x14ac:dyDescent="0.35">
      <c r="B47" s="4" t="s">
        <v>1182</v>
      </c>
      <c r="C47" s="14">
        <v>17312.429767441859</v>
      </c>
      <c r="D47" s="14">
        <v>16794.019199999992</v>
      </c>
      <c r="E47" s="14">
        <v>17033.714408602154</v>
      </c>
      <c r="G47" s="4" t="s">
        <v>1182</v>
      </c>
      <c r="H47" s="7">
        <v>-3.803616526808086E-3</v>
      </c>
      <c r="I47" s="7">
        <v>-5.787592172023813E-3</v>
      </c>
      <c r="J47" s="7">
        <v>-9.5912086988319267E-3</v>
      </c>
      <c r="P47" s="4" t="s">
        <v>1181</v>
      </c>
      <c r="Q47" s="7">
        <v>0.16184430807538924</v>
      </c>
      <c r="R47" s="7">
        <v>0.17552748429845014</v>
      </c>
      <c r="S47" s="7">
        <v>0.16782207948262146</v>
      </c>
      <c r="AB47" s="4" t="s">
        <v>60</v>
      </c>
    </row>
    <row r="48" spans="2:30" x14ac:dyDescent="0.35">
      <c r="B48" s="4" t="s">
        <v>1183</v>
      </c>
      <c r="C48" s="14">
        <v>14614.776363636352</v>
      </c>
      <c r="D48" s="14">
        <v>17503.786000000004</v>
      </c>
      <c r="E48" s="14">
        <v>16281.512692307695</v>
      </c>
      <c r="G48" s="4" t="s">
        <v>1183</v>
      </c>
      <c r="H48" s="7">
        <v>-7.6063206289248425E-3</v>
      </c>
      <c r="I48" s="7">
        <v>-3.5271360980069569E-3</v>
      </c>
      <c r="J48" s="7">
        <v>-1.1133456726931834E-2</v>
      </c>
      <c r="P48" s="4" t="s">
        <v>1182</v>
      </c>
      <c r="Q48" s="7">
        <v>0.17026738712540151</v>
      </c>
      <c r="R48" s="7">
        <v>0.17243286653747317</v>
      </c>
      <c r="S48" s="7">
        <v>0.17140842091331154</v>
      </c>
    </row>
    <row r="49" spans="2:43" x14ac:dyDescent="0.35">
      <c r="B49" s="4" t="s">
        <v>1184</v>
      </c>
      <c r="C49" s="14">
        <v>34424.399090909079</v>
      </c>
      <c r="D49" s="14">
        <v>29418.067272727265</v>
      </c>
      <c r="E49" s="14">
        <v>32278.828311688303</v>
      </c>
      <c r="G49" s="4" t="s">
        <v>1184</v>
      </c>
      <c r="H49" s="7">
        <v>3.5751445277581395E-2</v>
      </c>
      <c r="I49" s="7">
        <v>1.811490928448823E-2</v>
      </c>
      <c r="J49" s="7">
        <v>5.3866354562069632E-2</v>
      </c>
      <c r="P49" s="4" t="s">
        <v>1183</v>
      </c>
      <c r="Q49" s="7">
        <v>0.16286245758422394</v>
      </c>
      <c r="R49" s="7">
        <v>0.16636014232938071</v>
      </c>
      <c r="S49" s="7">
        <v>0.16501428820879402</v>
      </c>
    </row>
    <row r="50" spans="2:43" x14ac:dyDescent="0.35">
      <c r="B50" s="4" t="s">
        <v>1164</v>
      </c>
      <c r="C50" s="14">
        <v>19361.791612244899</v>
      </c>
      <c r="D50" s="14">
        <v>18637.54868627452</v>
      </c>
      <c r="E50" s="14">
        <v>18992.42772</v>
      </c>
      <c r="G50" s="4" t="s">
        <v>1164</v>
      </c>
      <c r="H50" s="7">
        <v>9.5294982752204827E-3</v>
      </c>
      <c r="I50" s="7">
        <v>-9.5294982752210933E-3</v>
      </c>
      <c r="J50" s="7">
        <v>0</v>
      </c>
      <c r="P50" s="4" t="s">
        <v>1184</v>
      </c>
      <c r="Q50" s="7">
        <v>0.17382516543749171</v>
      </c>
      <c r="R50" s="7">
        <v>0.16498079755732839</v>
      </c>
      <c r="S50" s="7">
        <v>0.17026011312345496</v>
      </c>
    </row>
    <row r="51" spans="2:43" x14ac:dyDescent="0.35">
      <c r="P51" s="4" t="s">
        <v>1164</v>
      </c>
      <c r="Q51" s="7">
        <v>0.16756786861560483</v>
      </c>
      <c r="R51" s="7">
        <v>0.16750870455395342</v>
      </c>
      <c r="S51" s="7">
        <v>0.16753825352472843</v>
      </c>
    </row>
    <row r="52" spans="2:43" x14ac:dyDescent="0.35">
      <c r="AJ52" s="4">
        <f>CORREL(AH57:AH131,AG57:AG131)</f>
        <v>1.8987968848479808E-2</v>
      </c>
      <c r="AK52" t="s">
        <v>1278</v>
      </c>
      <c r="AL52" t="s">
        <v>1319</v>
      </c>
    </row>
    <row r="53" spans="2:43" x14ac:dyDescent="0.35">
      <c r="B53" s="3" t="s">
        <v>1225</v>
      </c>
      <c r="C53" t="s">
        <v>1229</v>
      </c>
      <c r="D53" t="s">
        <v>1272</v>
      </c>
      <c r="AJ53" s="4">
        <f>CORREL(AH57:AH131,AF57:AF131)</f>
        <v>0.95783384799446358</v>
      </c>
      <c r="AK53" t="s">
        <v>1279</v>
      </c>
    </row>
    <row r="54" spans="2:43" x14ac:dyDescent="0.35">
      <c r="B54" s="4" t="s">
        <v>1171</v>
      </c>
      <c r="AI54" t="s">
        <v>51</v>
      </c>
      <c r="AJ54">
        <f>CORREL(AF57:AF131,AG57:AG131)</f>
        <v>3.4433589034297198E-2</v>
      </c>
      <c r="AK54" t="s">
        <v>1325</v>
      </c>
    </row>
    <row r="55" spans="2:43" x14ac:dyDescent="0.35">
      <c r="B55" s="8" t="s">
        <v>1173</v>
      </c>
      <c r="C55" s="14">
        <v>102650.33681818182</v>
      </c>
      <c r="D55" s="14">
        <v>16459.802500000005</v>
      </c>
      <c r="AC55" s="19">
        <f>_xlfn.STDEV.P(AF54:AF128)</f>
        <v>22916.097437941855</v>
      </c>
      <c r="AO55" t="s">
        <v>1323</v>
      </c>
      <c r="AP55" t="s">
        <v>1322</v>
      </c>
      <c r="AQ55" t="s">
        <v>1324</v>
      </c>
    </row>
    <row r="56" spans="2:43" x14ac:dyDescent="0.35">
      <c r="B56" s="8" t="s">
        <v>1174</v>
      </c>
      <c r="C56" s="14">
        <v>65808.270454545447</v>
      </c>
      <c r="D56" s="14">
        <v>11209.202272727272</v>
      </c>
      <c r="AC56" s="23">
        <f>MAX(AF54:AF128)-MIN(AF54:AF128)</f>
        <v>135828.94200000001</v>
      </c>
      <c r="AE56" s="3" t="s">
        <v>1277</v>
      </c>
      <c r="AF56" t="s">
        <v>1229</v>
      </c>
      <c r="AG56" t="s">
        <v>1244</v>
      </c>
      <c r="AH56" t="s">
        <v>1234</v>
      </c>
      <c r="AJ56" s="9" t="s">
        <v>1231</v>
      </c>
      <c r="AK56" s="9" t="s">
        <v>1320</v>
      </c>
      <c r="AL56" s="9" t="s">
        <v>1244</v>
      </c>
      <c r="AM56" s="9" t="s">
        <v>1321</v>
      </c>
      <c r="AO56">
        <f>CORREL(AK57:AK83,AL57:AL83)</f>
        <v>0.36633918030612833</v>
      </c>
      <c r="AP56">
        <f>CORREL(AL57:AL66,AM57:AM66)</f>
        <v>0.4594790591828255</v>
      </c>
      <c r="AQ56">
        <f>CORREL(AK57:AK66,AM57:AM66)</f>
        <v>0.93697190308908695</v>
      </c>
    </row>
    <row r="57" spans="2:43" x14ac:dyDescent="0.35">
      <c r="B57" s="8" t="s">
        <v>1175</v>
      </c>
      <c r="C57" s="14">
        <v>61507.999756097568</v>
      </c>
      <c r="D57" s="14">
        <v>10473.673658536589</v>
      </c>
      <c r="AE57" s="4" t="s">
        <v>999</v>
      </c>
      <c r="AF57" s="14">
        <v>95588.925000000003</v>
      </c>
      <c r="AG57">
        <v>2</v>
      </c>
      <c r="AH57" s="14">
        <v>13607.120000000003</v>
      </c>
      <c r="AJ57" s="4" t="str" cm="1">
        <f t="array" ref="AJ57:AM66">_xlfn._xlws.FILTER(AE57:AH131,AG57:AG131&gt;20)</f>
        <v>Dickinson, Hyatt and Berge</v>
      </c>
      <c r="AK57" s="19">
        <v>112780.43</v>
      </c>
      <c r="AL57">
        <v>24</v>
      </c>
      <c r="AM57" s="19">
        <v>18969.824166666669</v>
      </c>
    </row>
    <row r="58" spans="2:43" x14ac:dyDescent="0.35">
      <c r="B58" s="8" t="s">
        <v>1176</v>
      </c>
      <c r="C58" s="14">
        <v>115895.46583333334</v>
      </c>
      <c r="D58" s="14">
        <v>19243.156111111115</v>
      </c>
      <c r="AE58" s="4" t="s">
        <v>160</v>
      </c>
      <c r="AF58" s="14">
        <v>126210.41699999999</v>
      </c>
      <c r="AG58">
        <v>20</v>
      </c>
      <c r="AH58" s="14">
        <v>20596.087999999996</v>
      </c>
      <c r="AJ58" s="4" t="str">
        <v>Hessel-Stiedemann</v>
      </c>
      <c r="AK58" s="19">
        <v>118401.16145454545</v>
      </c>
      <c r="AL58">
        <v>55</v>
      </c>
      <c r="AM58" s="19">
        <v>19196.303272727277</v>
      </c>
    </row>
    <row r="59" spans="2:43" x14ac:dyDescent="0.35">
      <c r="B59" s="8" t="s">
        <v>1177</v>
      </c>
      <c r="C59" s="14">
        <v>100675.84131578948</v>
      </c>
      <c r="D59" s="14">
        <v>17059.428947368418</v>
      </c>
      <c r="AE59" s="4" t="s">
        <v>97</v>
      </c>
      <c r="AF59" s="14">
        <v>108330.9194736842</v>
      </c>
      <c r="AG59">
        <v>19</v>
      </c>
      <c r="AH59" s="14">
        <v>18170.767368421049</v>
      </c>
      <c r="AJ59" s="4" t="str">
        <v>Johns and Sons</v>
      </c>
      <c r="AK59" s="19">
        <v>115213.07971830986</v>
      </c>
      <c r="AL59">
        <v>142</v>
      </c>
      <c r="AM59" s="19">
        <v>19860.202535211276</v>
      </c>
    </row>
    <row r="60" spans="2:43" x14ac:dyDescent="0.35">
      <c r="B60" s="8" t="s">
        <v>1178</v>
      </c>
      <c r="C60" s="14">
        <v>163664.57234042554</v>
      </c>
      <c r="D60" s="14">
        <v>27771.880212765966</v>
      </c>
      <c r="AE60" s="4" t="s">
        <v>180</v>
      </c>
      <c r="AF60" s="14">
        <v>104150.05153846153</v>
      </c>
      <c r="AG60">
        <v>13</v>
      </c>
      <c r="AH60" s="14">
        <v>17593.624615384615</v>
      </c>
      <c r="AJ60" s="4" t="str">
        <v>Kihn Inc</v>
      </c>
      <c r="AK60" s="19">
        <v>91057.221818181817</v>
      </c>
      <c r="AL60">
        <v>22</v>
      </c>
      <c r="AM60" s="19">
        <v>14477.000454545456</v>
      </c>
    </row>
    <row r="61" spans="2:43" x14ac:dyDescent="0.35">
      <c r="B61" s="8" t="s">
        <v>1179</v>
      </c>
      <c r="C61" s="14">
        <v>165965.23024999999</v>
      </c>
      <c r="D61" s="14">
        <v>27105.685250000002</v>
      </c>
      <c r="AE61" s="4" t="s">
        <v>467</v>
      </c>
      <c r="AF61" s="14">
        <v>85769.964999999997</v>
      </c>
      <c r="AG61">
        <v>2</v>
      </c>
      <c r="AH61" s="14">
        <v>14734.199999999997</v>
      </c>
      <c r="AJ61" s="4" t="str">
        <v>Larkin-Collier</v>
      </c>
      <c r="AK61" s="19">
        <v>122216.6619047619</v>
      </c>
      <c r="AL61">
        <v>21</v>
      </c>
      <c r="AM61" s="19">
        <v>19083.672380952379</v>
      </c>
    </row>
    <row r="62" spans="2:43" x14ac:dyDescent="0.35">
      <c r="B62" s="8" t="s">
        <v>1180</v>
      </c>
      <c r="C62" s="14">
        <v>110885.48838709678</v>
      </c>
      <c r="D62" s="14">
        <v>18719.874838709671</v>
      </c>
      <c r="AE62" s="4" t="s">
        <v>158</v>
      </c>
      <c r="AF62" s="14">
        <v>129885.28333333334</v>
      </c>
      <c r="AG62">
        <v>15</v>
      </c>
      <c r="AH62" s="14">
        <v>22228.510000000006</v>
      </c>
      <c r="AJ62" s="4" t="str">
        <v>Murray, Reichel and Nolan</v>
      </c>
      <c r="AK62" s="19">
        <v>84271.48391304347</v>
      </c>
      <c r="AL62">
        <v>23</v>
      </c>
      <c r="AM62" s="19">
        <v>14458.846956521738</v>
      </c>
    </row>
    <row r="63" spans="2:43" x14ac:dyDescent="0.35">
      <c r="B63" s="8" t="s">
        <v>1181</v>
      </c>
      <c r="C63" s="14">
        <v>99388.990816326521</v>
      </c>
      <c r="D63" s="14">
        <v>16085.542448979593</v>
      </c>
      <c r="AE63" s="4" t="s">
        <v>395</v>
      </c>
      <c r="AF63" s="14">
        <v>126190.88</v>
      </c>
      <c r="AG63">
        <v>5</v>
      </c>
      <c r="AH63" s="14">
        <v>21623.364000000001</v>
      </c>
      <c r="AJ63" s="4" t="str">
        <v>Rowe, Hermiston and Kessler</v>
      </c>
      <c r="AK63" s="19">
        <v>105114.77</v>
      </c>
      <c r="AL63">
        <v>22</v>
      </c>
      <c r="AM63" s="19">
        <v>18338.410454545457</v>
      </c>
    </row>
    <row r="64" spans="2:43" x14ac:dyDescent="0.35">
      <c r="B64" s="8" t="s">
        <v>1182</v>
      </c>
      <c r="C64" s="14">
        <v>101677.8965116279</v>
      </c>
      <c r="D64" s="14">
        <v>17312.429767441859</v>
      </c>
      <c r="AE64" s="4" t="s">
        <v>110</v>
      </c>
      <c r="AF64" s="14">
        <v>120611.0209090909</v>
      </c>
      <c r="AG64">
        <v>11</v>
      </c>
      <c r="AH64" s="14">
        <v>19912.482727272727</v>
      </c>
      <c r="AJ64" s="4" t="str">
        <v>Swaniawski, Runolfsson and Green</v>
      </c>
      <c r="AK64" s="19">
        <v>100245.3824</v>
      </c>
      <c r="AL64">
        <v>25</v>
      </c>
      <c r="AM64" s="19">
        <v>16364.2484</v>
      </c>
    </row>
    <row r="65" spans="2:39" x14ac:dyDescent="0.35">
      <c r="B65" s="8" t="s">
        <v>1183</v>
      </c>
      <c r="C65" s="14">
        <v>89736.926363636361</v>
      </c>
      <c r="D65" s="14">
        <v>14614.776363636367</v>
      </c>
      <c r="AE65" s="4" t="s">
        <v>254</v>
      </c>
      <c r="AF65" s="14">
        <v>123737.89</v>
      </c>
      <c r="AG65">
        <v>15</v>
      </c>
      <c r="AH65" s="14">
        <v>21043.156666666666</v>
      </c>
      <c r="AJ65" s="4" t="str">
        <v>Tillman and Sons</v>
      </c>
      <c r="AK65" s="19">
        <v>99014.510952380951</v>
      </c>
      <c r="AL65">
        <v>21</v>
      </c>
      <c r="AM65" s="19">
        <v>16196.406666666668</v>
      </c>
    </row>
    <row r="66" spans="2:39" x14ac:dyDescent="0.35">
      <c r="B66" s="8" t="s">
        <v>1184</v>
      </c>
      <c r="C66" s="14">
        <v>198040.36431818179</v>
      </c>
      <c r="D66" s="14">
        <v>34424.399090909094</v>
      </c>
      <c r="AE66" s="4" t="s">
        <v>121</v>
      </c>
      <c r="AF66" s="14">
        <v>104188.68111111112</v>
      </c>
      <c r="AG66">
        <v>18</v>
      </c>
      <c r="AH66" s="14">
        <v>16254.099999999999</v>
      </c>
      <c r="AJ66" s="4" t="str">
        <v>Wisoky Inc</v>
      </c>
      <c r="AK66" s="19">
        <v>108462.59190476191</v>
      </c>
      <c r="AL66">
        <v>21</v>
      </c>
      <c r="AM66" s="19">
        <v>18932.587142857144</v>
      </c>
    </row>
    <row r="67" spans="2:39" x14ac:dyDescent="0.35">
      <c r="B67" s="4" t="s">
        <v>1172</v>
      </c>
      <c r="AE67" s="4" t="s">
        <v>210</v>
      </c>
      <c r="AF67" s="14">
        <v>112780.43</v>
      </c>
      <c r="AG67">
        <v>24</v>
      </c>
      <c r="AH67" s="14">
        <v>18969.824166666669</v>
      </c>
    </row>
    <row r="68" spans="2:39" x14ac:dyDescent="0.35">
      <c r="B68" s="8" t="s">
        <v>1173</v>
      </c>
      <c r="C68" s="14">
        <v>102268.62411764706</v>
      </c>
      <c r="D68" s="14">
        <v>18130.176862745098</v>
      </c>
      <c r="AE68" s="4" t="s">
        <v>40</v>
      </c>
      <c r="AF68" s="14">
        <v>94214.644705882354</v>
      </c>
      <c r="AG68">
        <v>17</v>
      </c>
      <c r="AH68" s="14">
        <v>16201.327058823526</v>
      </c>
    </row>
    <row r="69" spans="2:39" x14ac:dyDescent="0.35">
      <c r="B69" s="8" t="s">
        <v>1174</v>
      </c>
      <c r="C69" s="14">
        <v>69979.03571428571</v>
      </c>
      <c r="D69" s="14">
        <v>11276.803928571428</v>
      </c>
      <c r="AE69" s="4" t="s">
        <v>146</v>
      </c>
      <c r="AF69" s="14">
        <v>96254.501111111109</v>
      </c>
      <c r="AG69">
        <v>9</v>
      </c>
      <c r="AH69" s="14">
        <v>16060.79777777778</v>
      </c>
    </row>
    <row r="70" spans="2:39" x14ac:dyDescent="0.35">
      <c r="B70" s="8" t="s">
        <v>1175</v>
      </c>
      <c r="C70" s="14">
        <v>68845.073846153842</v>
      </c>
      <c r="D70" s="14">
        <v>11468.149423076919</v>
      </c>
      <c r="AE70" s="4" t="s">
        <v>92</v>
      </c>
      <c r="AF70" s="14">
        <v>125235.21571428572</v>
      </c>
      <c r="AG70">
        <v>7</v>
      </c>
      <c r="AH70" s="14">
        <v>22616.33571428572</v>
      </c>
    </row>
    <row r="71" spans="2:39" x14ac:dyDescent="0.35">
      <c r="B71" s="8" t="s">
        <v>1176</v>
      </c>
      <c r="C71" s="14">
        <v>107081.52052631578</v>
      </c>
      <c r="D71" s="14">
        <v>18321.564736842101</v>
      </c>
      <c r="AE71" s="4" t="s">
        <v>368</v>
      </c>
      <c r="AF71" s="14">
        <v>105464.75166666666</v>
      </c>
      <c r="AG71">
        <v>6</v>
      </c>
      <c r="AH71" s="14">
        <v>16678.004999999994</v>
      </c>
    </row>
    <row r="72" spans="2:39" x14ac:dyDescent="0.35">
      <c r="B72" s="8" t="s">
        <v>1177</v>
      </c>
      <c r="C72" s="14">
        <v>100689.88672727272</v>
      </c>
      <c r="D72" s="14">
        <v>16633.66636363637</v>
      </c>
      <c r="AE72" s="4" t="s">
        <v>114</v>
      </c>
      <c r="AF72" s="14">
        <v>110306.74947368421</v>
      </c>
      <c r="AG72">
        <v>19</v>
      </c>
      <c r="AH72" s="14">
        <v>19132.836842105266</v>
      </c>
    </row>
    <row r="73" spans="2:39" x14ac:dyDescent="0.35">
      <c r="B73" s="8" t="s">
        <v>1178</v>
      </c>
      <c r="C73" s="14">
        <v>166468.32232558139</v>
      </c>
      <c r="D73" s="14">
        <v>27605.685348837207</v>
      </c>
      <c r="AE73" s="4" t="s">
        <v>54</v>
      </c>
      <c r="AF73" s="14">
        <v>118254.39705882352</v>
      </c>
      <c r="AG73">
        <v>17</v>
      </c>
      <c r="AH73" s="14">
        <v>19516.626470588239</v>
      </c>
    </row>
    <row r="74" spans="2:39" x14ac:dyDescent="0.35">
      <c r="B74" s="8" t="s">
        <v>1179</v>
      </c>
      <c r="C74" s="14">
        <v>145626.56833333333</v>
      </c>
      <c r="D74" s="14">
        <v>23333.038611111107</v>
      </c>
      <c r="AE74" s="4" t="s">
        <v>446</v>
      </c>
      <c r="AF74" s="14">
        <v>154762.58333333334</v>
      </c>
      <c r="AG74">
        <v>3</v>
      </c>
      <c r="AH74" s="14">
        <v>26234.603333333329</v>
      </c>
    </row>
    <row r="75" spans="2:39" x14ac:dyDescent="0.35">
      <c r="B75" s="8" t="s">
        <v>1180</v>
      </c>
      <c r="C75" s="14">
        <v>104767.22688888889</v>
      </c>
      <c r="D75" s="14">
        <v>17088.363555555559</v>
      </c>
      <c r="AE75" s="4" t="s">
        <v>12</v>
      </c>
      <c r="AF75" s="14">
        <v>100941.25444444445</v>
      </c>
      <c r="AG75">
        <v>9</v>
      </c>
      <c r="AH75" s="14">
        <v>15782.092222222223</v>
      </c>
    </row>
    <row r="76" spans="2:39" x14ac:dyDescent="0.35">
      <c r="B76" s="8" t="s">
        <v>1181</v>
      </c>
      <c r="C76" s="14">
        <v>111121.80500000001</v>
      </c>
      <c r="D76" s="14">
        <v>19504.930882352943</v>
      </c>
      <c r="AE76" s="4" t="s">
        <v>672</v>
      </c>
      <c r="AF76" s="14">
        <v>33724.53</v>
      </c>
      <c r="AG76">
        <v>1</v>
      </c>
      <c r="AH76" s="14">
        <v>6954</v>
      </c>
    </row>
    <row r="77" spans="2:39" x14ac:dyDescent="0.35">
      <c r="B77" s="8" t="s">
        <v>1182</v>
      </c>
      <c r="C77" s="14">
        <v>97394.536999999997</v>
      </c>
      <c r="D77" s="14">
        <v>16794.019200000002</v>
      </c>
      <c r="AE77" s="4" t="s">
        <v>135</v>
      </c>
      <c r="AF77" s="14">
        <v>110790.79000000001</v>
      </c>
      <c r="AG77">
        <v>13</v>
      </c>
      <c r="AH77" s="14">
        <v>18364.644615384619</v>
      </c>
    </row>
    <row r="78" spans="2:39" x14ac:dyDescent="0.35">
      <c r="B78" s="8" t="s">
        <v>1183</v>
      </c>
      <c r="C78" s="14">
        <v>105216.224</v>
      </c>
      <c r="D78" s="14">
        <v>17503.786000000004</v>
      </c>
      <c r="AE78" s="4" t="s">
        <v>231</v>
      </c>
      <c r="AF78" s="14">
        <v>115277.345</v>
      </c>
      <c r="AG78">
        <v>4</v>
      </c>
      <c r="AH78" s="14">
        <v>20294.269999999997</v>
      </c>
    </row>
    <row r="79" spans="2:39" x14ac:dyDescent="0.35">
      <c r="B79" s="8" t="s">
        <v>1184</v>
      </c>
      <c r="C79" s="14">
        <v>178312.06848484848</v>
      </c>
      <c r="D79" s="14">
        <v>29418.067272727265</v>
      </c>
      <c r="AE79" s="4" t="s">
        <v>434</v>
      </c>
      <c r="AF79" s="14">
        <v>111761.35</v>
      </c>
      <c r="AG79">
        <v>9</v>
      </c>
      <c r="AH79" s="14">
        <v>20009.624444444438</v>
      </c>
    </row>
    <row r="80" spans="2:39" x14ac:dyDescent="0.35">
      <c r="B80" s="4" t="s">
        <v>1164</v>
      </c>
      <c r="C80" s="14">
        <v>113361.73870999999</v>
      </c>
      <c r="D80" s="14">
        <v>18992.427720000003</v>
      </c>
      <c r="AE80" s="4" t="s">
        <v>734</v>
      </c>
      <c r="AF80" s="14">
        <v>110552.55499999999</v>
      </c>
      <c r="AG80">
        <v>4</v>
      </c>
      <c r="AH80" s="14">
        <v>17634.237500000003</v>
      </c>
    </row>
    <row r="81" spans="31:34" x14ac:dyDescent="0.35">
      <c r="AE81" s="4" t="s">
        <v>166</v>
      </c>
      <c r="AF81" s="14">
        <v>124595.80733333335</v>
      </c>
      <c r="AG81">
        <v>15</v>
      </c>
      <c r="AH81" s="14">
        <v>20745.870666666669</v>
      </c>
    </row>
    <row r="82" spans="31:34" x14ac:dyDescent="0.35">
      <c r="AE82" s="4" t="s">
        <v>47</v>
      </c>
      <c r="AF82" s="14">
        <v>107191.41799999999</v>
      </c>
      <c r="AG82">
        <v>10</v>
      </c>
      <c r="AH82" s="14">
        <v>17858.761999999999</v>
      </c>
    </row>
    <row r="83" spans="31:34" x14ac:dyDescent="0.35">
      <c r="AE83" s="4" t="s">
        <v>31</v>
      </c>
      <c r="AF83" s="14">
        <v>118401.16145454545</v>
      </c>
      <c r="AG83">
        <v>55</v>
      </c>
      <c r="AH83" s="14">
        <v>19196.303272727277</v>
      </c>
    </row>
    <row r="84" spans="31:34" x14ac:dyDescent="0.35">
      <c r="AE84" s="4" t="s">
        <v>19</v>
      </c>
      <c r="AF84" s="14">
        <v>114416.183125</v>
      </c>
      <c r="AG84">
        <v>16</v>
      </c>
      <c r="AH84" s="14">
        <v>17648.25</v>
      </c>
    </row>
    <row r="85" spans="31:34" x14ac:dyDescent="0.35">
      <c r="AE85" s="4" t="s">
        <v>341</v>
      </c>
      <c r="AF85" s="14">
        <v>85186.813333333339</v>
      </c>
      <c r="AG85">
        <v>6</v>
      </c>
      <c r="AH85" s="14">
        <v>13241.999999999998</v>
      </c>
    </row>
    <row r="86" spans="31:34" x14ac:dyDescent="0.35">
      <c r="AE86" s="4" t="s">
        <v>94</v>
      </c>
      <c r="AF86" s="14">
        <v>155424.00142857144</v>
      </c>
      <c r="AG86">
        <v>7</v>
      </c>
      <c r="AH86" s="14">
        <v>26353.47</v>
      </c>
    </row>
    <row r="87" spans="31:34" x14ac:dyDescent="0.35">
      <c r="AE87" s="4" t="s">
        <v>35</v>
      </c>
      <c r="AF87" s="14">
        <v>115213.07971830986</v>
      </c>
      <c r="AG87">
        <v>142</v>
      </c>
      <c r="AH87" s="14">
        <v>19860.202535211276</v>
      </c>
    </row>
    <row r="88" spans="31:34" x14ac:dyDescent="0.35">
      <c r="AE88" s="4" t="s">
        <v>116</v>
      </c>
      <c r="AF88" s="14">
        <v>126333.60909090909</v>
      </c>
      <c r="AG88">
        <v>11</v>
      </c>
      <c r="AH88" s="14">
        <v>20617.314545454545</v>
      </c>
    </row>
    <row r="89" spans="31:34" x14ac:dyDescent="0.35">
      <c r="AE89" s="4" t="s">
        <v>234</v>
      </c>
      <c r="AF89" s="14">
        <v>91057.221818181817</v>
      </c>
      <c r="AG89">
        <v>22</v>
      </c>
      <c r="AH89" s="14">
        <v>14477.000454545456</v>
      </c>
    </row>
    <row r="90" spans="31:34" x14ac:dyDescent="0.35">
      <c r="AE90" s="4" t="s">
        <v>112</v>
      </c>
      <c r="AF90" s="14">
        <v>123571.40749999999</v>
      </c>
      <c r="AG90">
        <v>12</v>
      </c>
      <c r="AH90" s="14">
        <v>19625.864999999998</v>
      </c>
    </row>
    <row r="91" spans="31:34" x14ac:dyDescent="0.35">
      <c r="AE91" s="4" t="s">
        <v>311</v>
      </c>
      <c r="AF91" s="14">
        <v>106182.704</v>
      </c>
      <c r="AG91">
        <v>5</v>
      </c>
      <c r="AH91" s="14">
        <v>21213.614000000001</v>
      </c>
    </row>
    <row r="92" spans="31:34" x14ac:dyDescent="0.35">
      <c r="AE92" s="4" t="s">
        <v>123</v>
      </c>
      <c r="AF92" s="14">
        <v>113961.31105263159</v>
      </c>
      <c r="AG92">
        <v>19</v>
      </c>
      <c r="AH92" s="14">
        <v>18453.857894736844</v>
      </c>
    </row>
    <row r="93" spans="31:34" x14ac:dyDescent="0.35">
      <c r="AE93" s="4" t="s">
        <v>25</v>
      </c>
      <c r="AF93" s="14">
        <v>122216.6619047619</v>
      </c>
      <c r="AG93">
        <v>21</v>
      </c>
      <c r="AH93" s="14">
        <v>19083.672380952379</v>
      </c>
    </row>
    <row r="94" spans="31:34" x14ac:dyDescent="0.35">
      <c r="AE94" s="4" t="s">
        <v>168</v>
      </c>
      <c r="AF94" s="14">
        <v>85585.712222222224</v>
      </c>
      <c r="AG94">
        <v>9</v>
      </c>
      <c r="AH94" s="14">
        <v>14587.51666666667</v>
      </c>
    </row>
    <row r="95" spans="31:34" x14ac:dyDescent="0.35">
      <c r="AE95" s="4" t="s">
        <v>1081</v>
      </c>
      <c r="AF95" s="14">
        <v>57115.99</v>
      </c>
      <c r="AG95">
        <v>1</v>
      </c>
      <c r="AH95" s="14">
        <v>8139.0299999999988</v>
      </c>
    </row>
    <row r="96" spans="31:34" x14ac:dyDescent="0.35">
      <c r="AE96" s="4" t="s">
        <v>974</v>
      </c>
      <c r="AF96" s="14">
        <v>95966.17</v>
      </c>
      <c r="AG96">
        <v>1</v>
      </c>
      <c r="AH96" s="14">
        <v>19989.75</v>
      </c>
    </row>
    <row r="97" spans="31:34" x14ac:dyDescent="0.35">
      <c r="AE97" s="4" t="s">
        <v>203</v>
      </c>
      <c r="AF97" s="14">
        <v>89681.442857142858</v>
      </c>
      <c r="AG97">
        <v>7</v>
      </c>
      <c r="AH97" s="14">
        <v>15844.622857142856</v>
      </c>
    </row>
    <row r="98" spans="31:34" x14ac:dyDescent="0.35">
      <c r="AE98" s="4" t="s">
        <v>265</v>
      </c>
      <c r="AF98" s="14">
        <v>86341.42</v>
      </c>
      <c r="AG98">
        <v>5</v>
      </c>
      <c r="AH98" s="14">
        <v>14718.347999999998</v>
      </c>
    </row>
    <row r="99" spans="31:34" x14ac:dyDescent="0.35">
      <c r="AE99" s="4" t="s">
        <v>294</v>
      </c>
      <c r="AF99" s="14">
        <v>98276.904999999999</v>
      </c>
      <c r="AG99">
        <v>2</v>
      </c>
      <c r="AH99" s="14">
        <v>15853.099999999999</v>
      </c>
    </row>
    <row r="100" spans="31:34" x14ac:dyDescent="0.35">
      <c r="AE100" s="4" t="s">
        <v>224</v>
      </c>
      <c r="AF100" s="14">
        <v>111636.81909090909</v>
      </c>
      <c r="AG100">
        <v>11</v>
      </c>
      <c r="AH100" s="14">
        <v>17643.176363636365</v>
      </c>
    </row>
    <row r="101" spans="31:34" x14ac:dyDescent="0.35">
      <c r="AE101" s="4" t="s">
        <v>148</v>
      </c>
      <c r="AF101" s="14">
        <v>107639.12363636364</v>
      </c>
      <c r="AG101">
        <v>11</v>
      </c>
      <c r="AH101" s="14">
        <v>18035.31818181818</v>
      </c>
    </row>
    <row r="102" spans="31:34" x14ac:dyDescent="0.35">
      <c r="AE102" s="4" t="s">
        <v>182</v>
      </c>
      <c r="AF102" s="14">
        <v>118770.311875</v>
      </c>
      <c r="AG102">
        <v>16</v>
      </c>
      <c r="AH102" s="14">
        <v>19209.488124999996</v>
      </c>
    </row>
    <row r="103" spans="31:34" x14ac:dyDescent="0.35">
      <c r="AE103" s="4" t="s">
        <v>282</v>
      </c>
      <c r="AF103" s="14">
        <v>117573.33</v>
      </c>
      <c r="AG103">
        <v>6</v>
      </c>
      <c r="AH103" s="14">
        <v>16467.761666666669</v>
      </c>
    </row>
    <row r="104" spans="31:34" x14ac:dyDescent="0.35">
      <c r="AE104" s="4" t="s">
        <v>102</v>
      </c>
      <c r="AF104" s="14">
        <v>84271.48391304347</v>
      </c>
      <c r="AG104">
        <v>23</v>
      </c>
      <c r="AH104" s="14">
        <v>14458.846956521738</v>
      </c>
    </row>
    <row r="105" spans="31:34" x14ac:dyDescent="0.35">
      <c r="AE105" s="4" t="s">
        <v>185</v>
      </c>
      <c r="AF105" s="14">
        <v>166888.427</v>
      </c>
      <c r="AG105">
        <v>10</v>
      </c>
      <c r="AH105" s="14">
        <v>28394.283000000003</v>
      </c>
    </row>
    <row r="106" spans="31:34" x14ac:dyDescent="0.35">
      <c r="AE106" s="4" t="s">
        <v>333</v>
      </c>
      <c r="AF106" s="14">
        <v>118245.075</v>
      </c>
      <c r="AG106">
        <v>2</v>
      </c>
      <c r="AH106" s="14">
        <v>18520.829999999994</v>
      </c>
    </row>
    <row r="107" spans="31:34" x14ac:dyDescent="0.35">
      <c r="AE107" s="4" t="s">
        <v>205</v>
      </c>
      <c r="AF107" s="14">
        <v>69664.884999999995</v>
      </c>
      <c r="AG107">
        <v>2</v>
      </c>
      <c r="AH107" s="14">
        <v>12837.895000000006</v>
      </c>
    </row>
    <row r="108" spans="31:34" x14ac:dyDescent="0.35">
      <c r="AE108" s="4" t="s">
        <v>89</v>
      </c>
      <c r="AF108" s="14">
        <v>121335.42</v>
      </c>
      <c r="AG108">
        <v>20</v>
      </c>
      <c r="AH108" s="14">
        <v>21462.073000000004</v>
      </c>
    </row>
    <row r="109" spans="31:34" x14ac:dyDescent="0.35">
      <c r="AE109" s="4" t="s">
        <v>302</v>
      </c>
      <c r="AF109" s="14">
        <v>103771.38374999999</v>
      </c>
      <c r="AG109">
        <v>16</v>
      </c>
      <c r="AH109" s="14">
        <v>16946.936874999999</v>
      </c>
    </row>
    <row r="110" spans="31:34" x14ac:dyDescent="0.35">
      <c r="AE110" s="4" t="s">
        <v>71</v>
      </c>
      <c r="AF110" s="14">
        <v>105114.77</v>
      </c>
      <c r="AG110">
        <v>22</v>
      </c>
      <c r="AH110" s="14">
        <v>18338.410454545457</v>
      </c>
    </row>
    <row r="111" spans="31:34" x14ac:dyDescent="0.35">
      <c r="AE111" s="4" t="s">
        <v>132</v>
      </c>
      <c r="AF111" s="14">
        <v>135923.21727272726</v>
      </c>
      <c r="AG111">
        <v>11</v>
      </c>
      <c r="AH111" s="14">
        <v>23276.816363636357</v>
      </c>
    </row>
    <row r="112" spans="31:34" x14ac:dyDescent="0.35">
      <c r="AE112" s="4" t="s">
        <v>43</v>
      </c>
      <c r="AF112" s="14">
        <v>83383.017000000007</v>
      </c>
      <c r="AG112">
        <v>10</v>
      </c>
      <c r="AH112" s="14">
        <v>12733.511000000002</v>
      </c>
    </row>
    <row r="113" spans="31:34" x14ac:dyDescent="0.35">
      <c r="AE113" s="4" t="s">
        <v>237</v>
      </c>
      <c r="AF113" s="14">
        <v>126085.69687499999</v>
      </c>
      <c r="AG113">
        <v>16</v>
      </c>
      <c r="AH113" s="14">
        <v>20529.434374999997</v>
      </c>
    </row>
    <row r="114" spans="31:34" x14ac:dyDescent="0.35">
      <c r="AE114" s="4" t="s">
        <v>707</v>
      </c>
      <c r="AF114" s="14">
        <v>150089.53666666665</v>
      </c>
      <c r="AG114">
        <v>3</v>
      </c>
      <c r="AH114" s="14">
        <v>28063.966666666674</v>
      </c>
    </row>
    <row r="115" spans="31:34" x14ac:dyDescent="0.35">
      <c r="AE115" s="4" t="s">
        <v>201</v>
      </c>
      <c r="AF115" s="14">
        <v>116152.96599999999</v>
      </c>
      <c r="AG115">
        <v>5</v>
      </c>
      <c r="AH115" s="14">
        <v>18525.204000000002</v>
      </c>
    </row>
    <row r="116" spans="31:34" x14ac:dyDescent="0.35">
      <c r="AE116" s="4" t="s">
        <v>174</v>
      </c>
      <c r="AF116" s="14">
        <v>139244.02846153846</v>
      </c>
      <c r="AG116">
        <v>13</v>
      </c>
      <c r="AH116" s="14">
        <v>25172.3623076923</v>
      </c>
    </row>
    <row r="117" spans="31:34" x14ac:dyDescent="0.35">
      <c r="AE117" s="4" t="s">
        <v>150</v>
      </c>
      <c r="AF117" s="14">
        <v>99489.452499999999</v>
      </c>
      <c r="AG117">
        <v>16</v>
      </c>
      <c r="AH117" s="14">
        <v>15530.128125000003</v>
      </c>
    </row>
    <row r="118" spans="31:34" x14ac:dyDescent="0.35">
      <c r="AE118" s="4" t="s">
        <v>78</v>
      </c>
      <c r="AF118" s="14">
        <v>130114.32</v>
      </c>
      <c r="AG118">
        <v>4</v>
      </c>
      <c r="AH118" s="14">
        <v>20296.345000000001</v>
      </c>
    </row>
    <row r="119" spans="31:34" x14ac:dyDescent="0.35">
      <c r="AE119" s="4" t="s">
        <v>648</v>
      </c>
      <c r="AF119" s="14">
        <v>82735.11</v>
      </c>
      <c r="AG119">
        <v>5</v>
      </c>
      <c r="AH119" s="14">
        <v>13922.113999999998</v>
      </c>
    </row>
    <row r="120" spans="31:34" x14ac:dyDescent="0.35">
      <c r="AE120" s="4" t="s">
        <v>327</v>
      </c>
      <c r="AF120" s="14">
        <v>114605.68444444444</v>
      </c>
      <c r="AG120">
        <v>9</v>
      </c>
      <c r="AH120" s="14">
        <v>21028.567777777775</v>
      </c>
    </row>
    <row r="121" spans="31:34" x14ac:dyDescent="0.35">
      <c r="AE121" s="4" t="s">
        <v>380</v>
      </c>
      <c r="AF121" s="14">
        <v>156789.15666666665</v>
      </c>
      <c r="AG121">
        <v>3</v>
      </c>
      <c r="AH121" s="14">
        <v>27832.529999999995</v>
      </c>
    </row>
    <row r="122" spans="31:34" x14ac:dyDescent="0.35">
      <c r="AE122" s="4" t="s">
        <v>58</v>
      </c>
      <c r="AF122" s="14">
        <v>100245.3824</v>
      </c>
      <c r="AG122">
        <v>25</v>
      </c>
      <c r="AH122" s="14">
        <v>16364.2484</v>
      </c>
    </row>
    <row r="123" spans="31:34" x14ac:dyDescent="0.35">
      <c r="AE123" s="4" t="s">
        <v>68</v>
      </c>
      <c r="AF123" s="14">
        <v>99014.510952380951</v>
      </c>
      <c r="AG123">
        <v>21</v>
      </c>
      <c r="AH123" s="14">
        <v>16196.406666666668</v>
      </c>
    </row>
    <row r="124" spans="31:34" x14ac:dyDescent="0.35">
      <c r="AE124" s="4" t="s">
        <v>291</v>
      </c>
      <c r="AF124" s="14">
        <v>169553.47200000001</v>
      </c>
      <c r="AG124">
        <v>5</v>
      </c>
      <c r="AH124" s="14">
        <v>32152.815999999999</v>
      </c>
    </row>
    <row r="125" spans="31:34" x14ac:dyDescent="0.35">
      <c r="AE125" s="4" t="s">
        <v>155</v>
      </c>
      <c r="AF125" s="14">
        <v>127076.35117647061</v>
      </c>
      <c r="AG125">
        <v>17</v>
      </c>
      <c r="AH125" s="14">
        <v>22485.218235294116</v>
      </c>
    </row>
    <row r="126" spans="31:34" x14ac:dyDescent="0.35">
      <c r="AE126" s="4" t="s">
        <v>188</v>
      </c>
      <c r="AF126" s="14">
        <v>139313.31636363638</v>
      </c>
      <c r="AG126">
        <v>11</v>
      </c>
      <c r="AH126" s="14">
        <v>22649.04545454546</v>
      </c>
    </row>
    <row r="127" spans="31:34" x14ac:dyDescent="0.35">
      <c r="AE127" s="4" t="s">
        <v>64</v>
      </c>
      <c r="AF127" s="14">
        <v>108462.59190476191</v>
      </c>
      <c r="AG127">
        <v>21</v>
      </c>
      <c r="AH127" s="14">
        <v>18932.587142857144</v>
      </c>
    </row>
    <row r="128" spans="31:34" x14ac:dyDescent="0.35">
      <c r="AE128" s="4" t="s">
        <v>126</v>
      </c>
      <c r="AF128" s="14">
        <v>100857.83692307692</v>
      </c>
      <c r="AG128">
        <v>13</v>
      </c>
      <c r="AH128" s="14">
        <v>16671.469230769231</v>
      </c>
    </row>
    <row r="129" spans="31:34" x14ac:dyDescent="0.35">
      <c r="AE129" s="4" t="s">
        <v>153</v>
      </c>
      <c r="AF129" s="14">
        <v>145610.46666666667</v>
      </c>
      <c r="AG129">
        <v>6</v>
      </c>
      <c r="AH129" s="14">
        <v>24578.315000000002</v>
      </c>
    </row>
    <row r="130" spans="31:34" x14ac:dyDescent="0.35">
      <c r="AE130" s="4" t="s">
        <v>606</v>
      </c>
      <c r="AF130" s="14">
        <v>128287.825</v>
      </c>
      <c r="AG130">
        <v>4</v>
      </c>
      <c r="AH130" s="14">
        <v>21823.557499999995</v>
      </c>
    </row>
    <row r="131" spans="31:34" x14ac:dyDescent="0.35">
      <c r="AE131" s="4" t="s">
        <v>178</v>
      </c>
      <c r="AF131" s="14">
        <v>106722.80066666666</v>
      </c>
      <c r="AG131">
        <v>15</v>
      </c>
      <c r="AH131" s="14">
        <v>17861.404666666665</v>
      </c>
    </row>
    <row r="132" spans="31:34" x14ac:dyDescent="0.35">
      <c r="AE132" s="4" t="s">
        <v>1164</v>
      </c>
      <c r="AF132" s="14">
        <v>113361.73870999999</v>
      </c>
      <c r="AG132">
        <v>1000</v>
      </c>
      <c r="AH132" s="14">
        <v>18992.427720000003</v>
      </c>
    </row>
  </sheetData>
  <phoneticPr fontId="6" type="noConversion"/>
  <conditionalFormatting sqref="W3:X14">
    <cfRule type="expression" dxfId="7" priority="1">
      <formula>W3="Above Average"</formula>
    </cfRule>
    <cfRule type="expression" dxfId="6" priority="2">
      <formula>W3="Below Average"</formula>
    </cfRule>
  </conditionalFormatting>
  <dataValidations count="2">
    <dataValidation type="custom" allowBlank="1" showInputMessage="1" showErrorMessage="1" sqref="AI56" xr:uid="{9B6FC828-98E8-446A-8BA5-2F368EDE33B4}">
      <formula1>_xlfn.UNIQUE(AE5:AE14)</formula1>
    </dataValidation>
    <dataValidation type="list" allowBlank="1" showInputMessage="1" showErrorMessage="1" sqref="AI54" xr:uid="{06EBF0B5-B6D4-4776-B6B7-47DF34762468}">
      <formula1>$AB$38:$AB$47</formula1>
    </dataValidation>
  </dataValidations>
  <pageMargins left="0.7" right="0.7" top="0.75" bottom="0.75" header="0.3" footer="0.3"/>
  <legacy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29F25-B120-4976-A5EF-0E0EE37D15E7}">
  <dimension ref="D1:I20"/>
  <sheetViews>
    <sheetView showGridLines="0" topLeftCell="D2" zoomScale="76" zoomScaleNormal="80" workbookViewId="0">
      <selection activeCell="J100" sqref="J100"/>
    </sheetView>
  </sheetViews>
  <sheetFormatPr defaultRowHeight="14.5" x14ac:dyDescent="0.35"/>
  <cols>
    <col min="2" max="2" width="31.54296875" bestFit="1" customWidth="1"/>
    <col min="3" max="4" width="14.08984375" bestFit="1" customWidth="1"/>
    <col min="5" max="5" width="17" bestFit="1" customWidth="1"/>
    <col min="6" max="6" width="11.36328125" bestFit="1" customWidth="1"/>
    <col min="7" max="7" width="13.26953125" bestFit="1" customWidth="1"/>
    <col min="8" max="8" width="16.453125" bestFit="1" customWidth="1"/>
    <col min="9" max="10" width="14.08984375" bestFit="1" customWidth="1"/>
    <col min="11" max="11" width="12.90625" bestFit="1" customWidth="1"/>
    <col min="12" max="12" width="6.81640625" bestFit="1" customWidth="1"/>
    <col min="13" max="14" width="14.08984375" bestFit="1" customWidth="1"/>
    <col min="15" max="15" width="12.90625" bestFit="1" customWidth="1"/>
    <col min="16" max="16" width="11.36328125" bestFit="1" customWidth="1"/>
    <col min="17" max="17" width="15.08984375" bestFit="1" customWidth="1"/>
    <col min="18" max="20" width="14.08984375" bestFit="1" customWidth="1"/>
    <col min="21" max="21" width="13.26953125" bestFit="1" customWidth="1"/>
    <col min="22" max="22" width="16.453125" bestFit="1" customWidth="1"/>
    <col min="23" max="23" width="5.08984375" bestFit="1" customWidth="1"/>
    <col min="24" max="24" width="10.81640625" bestFit="1" customWidth="1"/>
    <col min="25" max="25" width="7.26953125" bestFit="1" customWidth="1"/>
    <col min="26" max="26" width="20.08984375" bestFit="1" customWidth="1"/>
    <col min="27" max="27" width="16.36328125" bestFit="1" customWidth="1"/>
    <col min="28" max="28" width="20.08984375" bestFit="1" customWidth="1"/>
    <col min="29" max="29" width="17.90625" bestFit="1" customWidth="1"/>
    <col min="30" max="30" width="16.36328125" bestFit="1" customWidth="1"/>
    <col min="31" max="31" width="16.54296875" customWidth="1"/>
    <col min="32" max="32" width="22.90625" bestFit="1" customWidth="1"/>
    <col min="33" max="33" width="19.453125" bestFit="1" customWidth="1"/>
    <col min="34" max="34" width="24" bestFit="1" customWidth="1"/>
    <col min="35" max="35" width="15.1796875" bestFit="1" customWidth="1"/>
    <col min="36" max="36" width="24" bestFit="1" customWidth="1"/>
    <col min="37" max="37" width="15.1796875" bestFit="1" customWidth="1"/>
    <col min="38" max="38" width="24" bestFit="1" customWidth="1"/>
    <col min="39" max="39" width="15.1796875" bestFit="1" customWidth="1"/>
    <col min="40" max="40" width="24" bestFit="1" customWidth="1"/>
    <col min="41" max="41" width="15.1796875" bestFit="1" customWidth="1"/>
    <col min="42" max="42" width="24" bestFit="1" customWidth="1"/>
    <col min="43" max="43" width="15.1796875" bestFit="1" customWidth="1"/>
    <col min="44" max="44" width="24" bestFit="1" customWidth="1"/>
    <col min="45" max="45" width="15.1796875" bestFit="1" customWidth="1"/>
    <col min="46" max="46" width="24" bestFit="1" customWidth="1"/>
    <col min="47" max="47" width="15.1796875" bestFit="1" customWidth="1"/>
    <col min="48" max="48" width="24" bestFit="1" customWidth="1"/>
    <col min="49" max="49" width="15.1796875" bestFit="1" customWidth="1"/>
    <col min="50" max="50" width="24" bestFit="1" customWidth="1"/>
    <col min="51" max="51" width="19.7265625" bestFit="1" customWidth="1"/>
    <col min="52" max="52" width="28.54296875" bestFit="1" customWidth="1"/>
  </cols>
  <sheetData>
    <row r="1" spans="4:9" ht="23.5" x14ac:dyDescent="0.55000000000000004">
      <c r="I1" s="15" t="s">
        <v>1241</v>
      </c>
    </row>
    <row r="2" spans="4:9" ht="23.5" x14ac:dyDescent="0.55000000000000004">
      <c r="D2" s="17" t="s">
        <v>1242</v>
      </c>
      <c r="I2" s="15"/>
    </row>
    <row r="3" spans="4:9" ht="23.5" x14ac:dyDescent="0.55000000000000004">
      <c r="I3" s="15"/>
    </row>
    <row r="4" spans="4:9" ht="23.5" x14ac:dyDescent="0.55000000000000004">
      <c r="I4" s="15"/>
    </row>
    <row r="5" spans="4:9" ht="23.5" x14ac:dyDescent="0.55000000000000004">
      <c r="I5" s="15"/>
    </row>
    <row r="6" spans="4:9" ht="23.5" x14ac:dyDescent="0.55000000000000004">
      <c r="I6" s="15"/>
    </row>
    <row r="7" spans="4:9" ht="23.5" x14ac:dyDescent="0.55000000000000004">
      <c r="I7" s="15"/>
    </row>
    <row r="8" spans="4:9" ht="23.5" x14ac:dyDescent="0.55000000000000004">
      <c r="D8" s="17"/>
      <c r="F8" s="17"/>
      <c r="G8" s="17"/>
      <c r="H8" s="17"/>
      <c r="I8" s="15"/>
    </row>
    <row r="9" spans="4:9" x14ac:dyDescent="0.35">
      <c r="H9" s="9"/>
    </row>
    <row r="11" spans="4:9" x14ac:dyDescent="0.35">
      <c r="F11" s="9"/>
    </row>
    <row r="12" spans="4:9" x14ac:dyDescent="0.35">
      <c r="F12" s="9"/>
    </row>
    <row r="13" spans="4:9" x14ac:dyDescent="0.35">
      <c r="F13" s="9"/>
    </row>
    <row r="14" spans="4:9" x14ac:dyDescent="0.35">
      <c r="F14" s="9"/>
    </row>
    <row r="15" spans="4:9" x14ac:dyDescent="0.35">
      <c r="F15" s="9"/>
    </row>
    <row r="16" spans="4:9" x14ac:dyDescent="0.35">
      <c r="F16" s="9"/>
    </row>
    <row r="17" spans="6:6" x14ac:dyDescent="0.35">
      <c r="F17" s="9"/>
    </row>
    <row r="18" spans="6:6" x14ac:dyDescent="0.35">
      <c r="F18" s="9"/>
    </row>
    <row r="19" spans="6:6" x14ac:dyDescent="0.35">
      <c r="F19" s="9"/>
    </row>
    <row r="20" spans="6:6" x14ac:dyDescent="0.35">
      <c r="F20" s="9"/>
    </row>
  </sheetData>
  <pageMargins left="0.7" right="0.7" top="0.75" bottom="0.75" header="0.3" footer="0.3"/>
  <pageSetup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929B0-CF31-4C0A-9CBD-872E7045FD62}">
  <dimension ref="B1:AU160"/>
  <sheetViews>
    <sheetView topLeftCell="A39" zoomScale="75" zoomScaleNormal="70" workbookViewId="0">
      <selection activeCell="Y82" sqref="Y82"/>
    </sheetView>
  </sheetViews>
  <sheetFormatPr defaultRowHeight="14.5" x14ac:dyDescent="0.35"/>
  <cols>
    <col min="2" max="2" width="16.81640625" bestFit="1" customWidth="1"/>
    <col min="3" max="3" width="15.81640625" bestFit="1" customWidth="1"/>
    <col min="4" max="4" width="17.08984375" bestFit="1" customWidth="1"/>
    <col min="5" max="5" width="16.453125" bestFit="1" customWidth="1"/>
    <col min="6" max="6" width="9.90625" bestFit="1" customWidth="1"/>
    <col min="7" max="8" width="10.36328125" bestFit="1" customWidth="1"/>
    <col min="9" max="9" width="12.453125" bestFit="1" customWidth="1"/>
    <col min="10" max="10" width="15.81640625" bestFit="1" customWidth="1"/>
    <col min="11" max="11" width="33.1796875" customWidth="1"/>
    <col min="12" max="12" width="16.81640625" bestFit="1" customWidth="1"/>
    <col min="13" max="13" width="11.26953125" bestFit="1" customWidth="1"/>
    <col min="14" max="14" width="10.1796875" bestFit="1" customWidth="1"/>
    <col min="15" max="15" width="6.54296875" bestFit="1" customWidth="1"/>
    <col min="16" max="16" width="20.7265625" bestFit="1" customWidth="1"/>
    <col min="17" max="19" width="12.453125" bestFit="1" customWidth="1"/>
    <col min="20" max="20" width="5.6328125" bestFit="1" customWidth="1"/>
    <col min="21" max="21" width="8.6328125" bestFit="1" customWidth="1"/>
    <col min="22" max="22" width="12" bestFit="1" customWidth="1"/>
    <col min="23" max="23" width="10.36328125" bestFit="1" customWidth="1"/>
    <col min="24" max="24" width="21.26953125" bestFit="1" customWidth="1"/>
    <col min="25" max="25" width="16.453125" bestFit="1" customWidth="1"/>
    <col min="26" max="26" width="13.54296875" bestFit="1" customWidth="1"/>
    <col min="27" max="27" width="14.54296875" bestFit="1" customWidth="1"/>
    <col min="28" max="29" width="11.26953125" bestFit="1" customWidth="1"/>
    <col min="30" max="30" width="15.81640625" bestFit="1" customWidth="1"/>
    <col min="31" max="32" width="11.26953125" bestFit="1" customWidth="1"/>
    <col min="33" max="33" width="10.1796875" bestFit="1" customWidth="1"/>
    <col min="34" max="34" width="11.26953125" bestFit="1" customWidth="1"/>
    <col min="35" max="35" width="12.08984375" bestFit="1" customWidth="1"/>
    <col min="36" max="36" width="10.36328125" bestFit="1" customWidth="1"/>
    <col min="37" max="37" width="16.81640625" bestFit="1" customWidth="1"/>
    <col min="38" max="38" width="11.08984375" bestFit="1" customWidth="1"/>
    <col min="39" max="39" width="10.36328125" bestFit="1" customWidth="1"/>
    <col min="40" max="41" width="7.7265625" bestFit="1" customWidth="1"/>
    <col min="42" max="42" width="8.08984375" bestFit="1" customWidth="1"/>
    <col min="43" max="43" width="10.36328125" bestFit="1" customWidth="1"/>
    <col min="44" max="45" width="7.7265625" bestFit="1" customWidth="1"/>
    <col min="46" max="46" width="8.81640625" bestFit="1" customWidth="1"/>
    <col min="47" max="47" width="12.1796875" bestFit="1" customWidth="1"/>
  </cols>
  <sheetData>
    <row r="1" spans="2:31" x14ac:dyDescent="0.35">
      <c r="O1" s="14"/>
      <c r="V1" s="9"/>
    </row>
    <row r="2" spans="2:31" x14ac:dyDescent="0.35">
      <c r="B2" s="3" t="s">
        <v>1165</v>
      </c>
      <c r="C2" s="3" t="s">
        <v>1217</v>
      </c>
      <c r="J2" s="3" t="s">
        <v>1166</v>
      </c>
      <c r="K2" s="3" t="s">
        <v>1217</v>
      </c>
      <c r="P2" s="9" t="s">
        <v>1217</v>
      </c>
      <c r="Q2" s="9">
        <v>2019</v>
      </c>
      <c r="R2" s="9">
        <v>2020</v>
      </c>
      <c r="S2" s="9" t="s">
        <v>1257</v>
      </c>
      <c r="U2" s="9"/>
      <c r="V2" s="9"/>
      <c r="W2" s="9"/>
      <c r="X2" s="3" t="s">
        <v>1282</v>
      </c>
      <c r="Y2" s="3" t="s">
        <v>1223</v>
      </c>
      <c r="AC2" t="s">
        <v>1287</v>
      </c>
      <c r="AD2" t="s">
        <v>1288</v>
      </c>
      <c r="AE2" s="9" t="s">
        <v>1289</v>
      </c>
    </row>
    <row r="3" spans="2:31" x14ac:dyDescent="0.35">
      <c r="B3" s="3" t="s">
        <v>1216</v>
      </c>
      <c r="C3" t="s">
        <v>1171</v>
      </c>
      <c r="D3" t="s">
        <v>1172</v>
      </c>
      <c r="E3" t="s">
        <v>1164</v>
      </c>
      <c r="J3" s="3" t="s">
        <v>1170</v>
      </c>
      <c r="K3" t="s">
        <v>1171</v>
      </c>
      <c r="L3" t="s">
        <v>1172</v>
      </c>
      <c r="M3" t="s">
        <v>1164</v>
      </c>
      <c r="P3" t="s">
        <v>1281</v>
      </c>
      <c r="Q3" s="14">
        <f>AVERAGE(Y4:Y38)</f>
        <v>1665221.3058823531</v>
      </c>
      <c r="R3" s="14">
        <f t="shared" ref="R3:S3" si="0">AVERAGE(Z4:Z38)</f>
        <v>1621263.2660000001</v>
      </c>
      <c r="S3" s="14">
        <f t="shared" si="0"/>
        <v>3238906.8202857152</v>
      </c>
      <c r="V3" s="19"/>
      <c r="W3" s="19"/>
      <c r="X3" s="3" t="s">
        <v>1225</v>
      </c>
      <c r="Y3" t="s">
        <v>1171</v>
      </c>
      <c r="Z3" t="s">
        <v>1172</v>
      </c>
      <c r="AA3" t="s">
        <v>1164</v>
      </c>
      <c r="AC3">
        <v>40</v>
      </c>
      <c r="AD3" s="14">
        <v>18553.631750000011</v>
      </c>
    </row>
    <row r="4" spans="2:31" x14ac:dyDescent="0.35">
      <c r="B4" s="4" t="s">
        <v>82</v>
      </c>
      <c r="C4" s="14">
        <v>488522.90000000037</v>
      </c>
      <c r="D4" s="14">
        <v>253622.36999999988</v>
      </c>
      <c r="E4" s="14">
        <v>742145.27000000048</v>
      </c>
      <c r="J4" s="4" t="s">
        <v>82</v>
      </c>
      <c r="K4">
        <v>26</v>
      </c>
      <c r="L4">
        <v>14</v>
      </c>
      <c r="M4">
        <v>40</v>
      </c>
      <c r="N4" s="14"/>
      <c r="P4" t="s">
        <v>1280</v>
      </c>
      <c r="Q4" s="14">
        <f>AVERAGE(C4:C38)</f>
        <v>279037.58500000002</v>
      </c>
      <c r="R4" s="14">
        <f>AVERAGE(D4:D38)</f>
        <v>271575.70942857157</v>
      </c>
      <c r="S4" s="14">
        <f>AVERAGE($E$4:$E$38)</f>
        <v>542640.79200000002</v>
      </c>
      <c r="V4" s="14"/>
      <c r="W4" s="14"/>
      <c r="X4" s="4" t="s">
        <v>82</v>
      </c>
      <c r="Y4" s="14">
        <v>3030651.97</v>
      </c>
      <c r="Z4" s="14">
        <v>1513936.89</v>
      </c>
      <c r="AA4" s="14">
        <v>4544588.8600000003</v>
      </c>
      <c r="AC4">
        <v>56</v>
      </c>
      <c r="AD4" s="14">
        <v>19614.37750000001</v>
      </c>
    </row>
    <row r="5" spans="2:31" x14ac:dyDescent="0.35">
      <c r="B5" s="4" t="s">
        <v>72</v>
      </c>
      <c r="C5" s="14">
        <v>670413.2799999998</v>
      </c>
      <c r="D5" s="14">
        <v>427991.85999999987</v>
      </c>
      <c r="E5" s="14">
        <v>1098405.1400000006</v>
      </c>
      <c r="J5" s="4" t="s">
        <v>72</v>
      </c>
      <c r="K5">
        <v>32</v>
      </c>
      <c r="L5">
        <v>24</v>
      </c>
      <c r="M5">
        <v>56</v>
      </c>
      <c r="N5" s="14"/>
      <c r="P5" t="s">
        <v>1283</v>
      </c>
      <c r="Q5" s="19">
        <f>_xlfn.STDEV.P(Y4:Y38)</f>
        <v>991635.71431217249</v>
      </c>
      <c r="R5" s="19">
        <f t="shared" ref="R5:S5" si="1">_xlfn.STDEV.P(Z4:Z38)</f>
        <v>1000274.797574983</v>
      </c>
      <c r="S5" s="19">
        <f t="shared" si="1"/>
        <v>1872464.0606445372</v>
      </c>
      <c r="V5" s="19"/>
      <c r="W5" s="19"/>
      <c r="X5" s="4" t="s">
        <v>72</v>
      </c>
      <c r="Y5" s="14">
        <v>4062022.03</v>
      </c>
      <c r="Z5" s="14">
        <v>2593138.13</v>
      </c>
      <c r="AA5" s="14">
        <v>6655160.1600000001</v>
      </c>
      <c r="AC5">
        <v>36</v>
      </c>
      <c r="AD5" s="14">
        <v>17251.022500000003</v>
      </c>
    </row>
    <row r="6" spans="2:31" x14ac:dyDescent="0.35">
      <c r="B6" s="4" t="s">
        <v>69</v>
      </c>
      <c r="C6" s="14">
        <v>309538.55000000005</v>
      </c>
      <c r="D6" s="14">
        <v>311498.26</v>
      </c>
      <c r="E6" s="14">
        <v>621036.81000000006</v>
      </c>
      <c r="J6" s="4" t="s">
        <v>69</v>
      </c>
      <c r="K6">
        <v>18</v>
      </c>
      <c r="L6">
        <v>18</v>
      </c>
      <c r="M6">
        <v>36</v>
      </c>
      <c r="N6" s="14"/>
      <c r="P6" t="s">
        <v>1284</v>
      </c>
      <c r="Q6" s="19">
        <f>_xlfn.STDEV.P(C4:C38)</f>
        <v>164910.73916923461</v>
      </c>
      <c r="R6" s="19">
        <f>_xlfn.STDEV.P(D4:D38)</f>
        <v>171210.69651782126</v>
      </c>
      <c r="S6" s="19">
        <f>_xlfn.STDEV.P(E4:E38)</f>
        <v>315823.32028445276</v>
      </c>
      <c r="V6" s="19"/>
      <c r="W6" s="19"/>
      <c r="X6" s="4" t="s">
        <v>69</v>
      </c>
      <c r="Y6" s="14">
        <v>1793567.46</v>
      </c>
      <c r="Z6" s="14">
        <v>1823275.93</v>
      </c>
      <c r="AA6" s="14">
        <v>3616843.39</v>
      </c>
      <c r="AC6">
        <v>52</v>
      </c>
      <c r="AD6" s="14">
        <v>18242.499038461541</v>
      </c>
    </row>
    <row r="7" spans="2:31" x14ac:dyDescent="0.35">
      <c r="B7" s="4" t="s">
        <v>32</v>
      </c>
      <c r="C7" s="14">
        <v>372518.25999999978</v>
      </c>
      <c r="D7" s="14">
        <v>576091.68999999994</v>
      </c>
      <c r="E7" s="14">
        <v>948609.95000000019</v>
      </c>
      <c r="J7" s="4" t="s">
        <v>32</v>
      </c>
      <c r="K7">
        <v>23</v>
      </c>
      <c r="L7">
        <v>29</v>
      </c>
      <c r="M7">
        <v>52</v>
      </c>
      <c r="N7" s="14"/>
      <c r="P7" t="s">
        <v>1285</v>
      </c>
      <c r="Q7" s="14">
        <f>AVERAGE(E125:E159)</f>
        <v>18999.228147326223</v>
      </c>
      <c r="R7" s="14">
        <f t="shared" ref="R7:S7" si="2">AVERAGE(F125:F159)</f>
        <v>17789.374558068706</v>
      </c>
      <c r="S7" s="14">
        <f t="shared" si="2"/>
        <v>18364.654174402909</v>
      </c>
      <c r="V7" s="19"/>
      <c r="W7" s="19"/>
      <c r="X7" s="4" t="s">
        <v>32</v>
      </c>
      <c r="Y7" s="14">
        <v>2185327.86</v>
      </c>
      <c r="Z7" s="14">
        <v>3303225.27</v>
      </c>
      <c r="AA7" s="14">
        <v>5488553.1299999999</v>
      </c>
      <c r="AC7">
        <v>43</v>
      </c>
      <c r="AD7" s="14">
        <v>18656.654883720923</v>
      </c>
    </row>
    <row r="8" spans="2:31" x14ac:dyDescent="0.35">
      <c r="B8" s="4" t="s">
        <v>144</v>
      </c>
      <c r="C8" s="14">
        <v>355420.74</v>
      </c>
      <c r="D8" s="14">
        <v>446815.41999999993</v>
      </c>
      <c r="E8" s="14">
        <v>802236.15999999968</v>
      </c>
      <c r="J8" s="4" t="s">
        <v>144</v>
      </c>
      <c r="K8">
        <v>18</v>
      </c>
      <c r="L8">
        <v>25</v>
      </c>
      <c r="M8">
        <v>43</v>
      </c>
      <c r="N8" s="14"/>
      <c r="X8" s="4" t="s">
        <v>144</v>
      </c>
      <c r="Y8" s="14">
        <v>2039486.04</v>
      </c>
      <c r="Z8" s="14">
        <v>2673265.35</v>
      </c>
      <c r="AA8" s="14">
        <v>4712751.3899999997</v>
      </c>
      <c r="AC8">
        <v>2</v>
      </c>
      <c r="AD8" s="14">
        <v>17859.190000000002</v>
      </c>
    </row>
    <row r="9" spans="2:31" x14ac:dyDescent="0.35">
      <c r="B9" s="4" t="s">
        <v>410</v>
      </c>
      <c r="C9" s="14"/>
      <c r="D9" s="14">
        <v>35718.380000000005</v>
      </c>
      <c r="E9" s="14">
        <v>35718.380000000005</v>
      </c>
      <c r="J9" s="4" t="s">
        <v>410</v>
      </c>
      <c r="L9">
        <v>2</v>
      </c>
      <c r="M9">
        <v>2</v>
      </c>
      <c r="N9" s="14"/>
      <c r="X9" s="4" t="s">
        <v>410</v>
      </c>
      <c r="Y9" s="14"/>
      <c r="Z9" s="14">
        <v>190166.35</v>
      </c>
      <c r="AA9" s="14">
        <v>190166.35</v>
      </c>
      <c r="AC9">
        <v>15</v>
      </c>
      <c r="AD9" s="14">
        <v>22229.617333333335</v>
      </c>
    </row>
    <row r="10" spans="2:31" x14ac:dyDescent="0.35">
      <c r="B10" s="4" t="s">
        <v>162</v>
      </c>
      <c r="C10" s="14">
        <v>188754.79000000004</v>
      </c>
      <c r="D10" s="14">
        <v>144689.46999999997</v>
      </c>
      <c r="E10" s="14">
        <v>333444.26</v>
      </c>
      <c r="J10" s="4" t="s">
        <v>162</v>
      </c>
      <c r="K10">
        <v>7</v>
      </c>
      <c r="L10">
        <v>8</v>
      </c>
      <c r="M10">
        <v>15</v>
      </c>
      <c r="N10" s="14"/>
      <c r="X10" s="4" t="s">
        <v>162</v>
      </c>
      <c r="Y10" s="14">
        <v>1068606.99</v>
      </c>
      <c r="Z10" s="14">
        <v>814589.38</v>
      </c>
      <c r="AA10" s="14">
        <v>1883196.37</v>
      </c>
      <c r="AC10">
        <v>9</v>
      </c>
      <c r="AD10" s="14">
        <v>19239.036666666649</v>
      </c>
    </row>
    <row r="11" spans="2:31" x14ac:dyDescent="0.35">
      <c r="B11" s="4" t="s">
        <v>37</v>
      </c>
      <c r="C11" s="14">
        <v>123282.46999999997</v>
      </c>
      <c r="D11" s="14">
        <v>49868.859999999986</v>
      </c>
      <c r="E11" s="14">
        <v>173151.32999999984</v>
      </c>
      <c r="J11" s="4" t="s">
        <v>37</v>
      </c>
      <c r="K11">
        <v>6</v>
      </c>
      <c r="L11">
        <v>3</v>
      </c>
      <c r="M11">
        <v>9</v>
      </c>
      <c r="N11" s="14"/>
      <c r="X11" s="4" t="s">
        <v>37</v>
      </c>
      <c r="Y11" s="14">
        <v>745852.74</v>
      </c>
      <c r="Z11" s="14">
        <v>319711.14</v>
      </c>
      <c r="AA11" s="14">
        <v>1065563.8799999999</v>
      </c>
      <c r="AC11">
        <v>41</v>
      </c>
      <c r="AD11" s="14">
        <v>19592.63219512194</v>
      </c>
    </row>
    <row r="12" spans="2:31" x14ac:dyDescent="0.35">
      <c r="B12" s="4" t="s">
        <v>219</v>
      </c>
      <c r="C12" s="14">
        <v>219609.35000000009</v>
      </c>
      <c r="D12" s="14">
        <v>583688.56999999983</v>
      </c>
      <c r="E12" s="14">
        <v>803297.91999999946</v>
      </c>
      <c r="J12" s="4" t="s">
        <v>219</v>
      </c>
      <c r="K12">
        <v>13</v>
      </c>
      <c r="L12">
        <v>28</v>
      </c>
      <c r="M12">
        <v>41</v>
      </c>
      <c r="N12" s="14"/>
      <c r="X12" s="4" t="s">
        <v>219</v>
      </c>
      <c r="Y12" s="14">
        <v>1305050.1000000001</v>
      </c>
      <c r="Z12" s="14">
        <v>3453981.46</v>
      </c>
      <c r="AA12" s="14">
        <v>4759031.5599999996</v>
      </c>
      <c r="AC12">
        <v>23</v>
      </c>
      <c r="AD12" s="14">
        <v>20529.510869565216</v>
      </c>
    </row>
    <row r="13" spans="2:31" x14ac:dyDescent="0.35">
      <c r="B13" s="4" t="s">
        <v>176</v>
      </c>
      <c r="C13" s="14">
        <v>234503.02000000002</v>
      </c>
      <c r="D13" s="14">
        <v>237675.72999999998</v>
      </c>
      <c r="E13" s="14">
        <v>472178.75</v>
      </c>
      <c r="J13" s="4" t="s">
        <v>176</v>
      </c>
      <c r="K13">
        <v>8</v>
      </c>
      <c r="L13">
        <v>15</v>
      </c>
      <c r="M13">
        <v>23</v>
      </c>
      <c r="N13" s="14"/>
      <c r="X13" s="4" t="s">
        <v>176</v>
      </c>
      <c r="Y13" s="14">
        <v>1272857.81</v>
      </c>
      <c r="Z13" s="14">
        <v>1445013.85</v>
      </c>
      <c r="AA13" s="14">
        <v>2717871.66</v>
      </c>
      <c r="AC13">
        <v>29</v>
      </c>
      <c r="AD13" s="14">
        <v>16436.133793103443</v>
      </c>
    </row>
    <row r="14" spans="2:31" x14ac:dyDescent="0.35">
      <c r="B14" s="4" t="s">
        <v>118</v>
      </c>
      <c r="C14" s="14">
        <v>210665.29000000004</v>
      </c>
      <c r="D14" s="14">
        <v>265982.59000000008</v>
      </c>
      <c r="E14" s="14">
        <v>476647.87999999989</v>
      </c>
      <c r="J14" s="4" t="s">
        <v>118</v>
      </c>
      <c r="K14">
        <v>13</v>
      </c>
      <c r="L14">
        <v>16</v>
      </c>
      <c r="M14">
        <v>29</v>
      </c>
      <c r="N14" s="14"/>
      <c r="X14" s="4" t="s">
        <v>118</v>
      </c>
      <c r="Y14" s="14">
        <v>1328012.74</v>
      </c>
      <c r="Z14" s="14">
        <v>1630841.52</v>
      </c>
      <c r="AA14" s="14">
        <v>2958854.26</v>
      </c>
      <c r="AC14">
        <v>6</v>
      </c>
      <c r="AD14" s="14">
        <v>13931.776666666663</v>
      </c>
    </row>
    <row r="15" spans="2:31" x14ac:dyDescent="0.35">
      <c r="B15" s="4" t="s">
        <v>348</v>
      </c>
      <c r="C15" s="14">
        <v>49906.69</v>
      </c>
      <c r="D15" s="14">
        <v>33683.97</v>
      </c>
      <c r="E15" s="14">
        <v>83590.659999999974</v>
      </c>
      <c r="J15" s="4" t="s">
        <v>348</v>
      </c>
      <c r="K15">
        <v>3</v>
      </c>
      <c r="L15">
        <v>3</v>
      </c>
      <c r="M15">
        <v>6</v>
      </c>
      <c r="N15" s="14"/>
      <c r="X15" s="4" t="s">
        <v>348</v>
      </c>
      <c r="Y15" s="14">
        <v>297172.76</v>
      </c>
      <c r="Z15" s="14">
        <v>193787.99</v>
      </c>
      <c r="AA15" s="14">
        <v>490960.75</v>
      </c>
      <c r="AC15">
        <v>24</v>
      </c>
      <c r="AD15" s="14">
        <v>19414.931249999983</v>
      </c>
    </row>
    <row r="16" spans="2:31" x14ac:dyDescent="0.35">
      <c r="B16" s="4" t="s">
        <v>217</v>
      </c>
      <c r="C16" s="14">
        <v>232393.72999999998</v>
      </c>
      <c r="D16" s="14">
        <v>233564.61999999988</v>
      </c>
      <c r="E16" s="14">
        <v>465958.34999999963</v>
      </c>
      <c r="J16" s="4" t="s">
        <v>217</v>
      </c>
      <c r="K16">
        <v>11</v>
      </c>
      <c r="L16">
        <v>13</v>
      </c>
      <c r="M16">
        <v>24</v>
      </c>
      <c r="N16" s="14"/>
      <c r="X16" s="4" t="s">
        <v>217</v>
      </c>
      <c r="Y16" s="14">
        <v>1409637.34</v>
      </c>
      <c r="Z16" s="14">
        <v>1384411.19</v>
      </c>
      <c r="AA16" s="14">
        <v>2794048.53</v>
      </c>
      <c r="AC16">
        <v>6</v>
      </c>
      <c r="AD16" s="14">
        <v>15738.879999999996</v>
      </c>
    </row>
    <row r="17" spans="2:30" x14ac:dyDescent="0.35">
      <c r="B17" s="4" t="s">
        <v>701</v>
      </c>
      <c r="C17" s="14">
        <v>7578.52</v>
      </c>
      <c r="D17" s="14">
        <v>42183.51999999999</v>
      </c>
      <c r="E17" s="14">
        <v>49762.040000000008</v>
      </c>
      <c r="J17" s="4" t="s">
        <v>701</v>
      </c>
      <c r="K17">
        <v>1</v>
      </c>
      <c r="L17">
        <v>4</v>
      </c>
      <c r="M17">
        <v>5</v>
      </c>
      <c r="N17" s="14"/>
      <c r="X17" s="4" t="s">
        <v>701</v>
      </c>
      <c r="Y17" s="14">
        <v>39287.29</v>
      </c>
      <c r="Z17" s="14">
        <v>232955.47</v>
      </c>
      <c r="AA17" s="14">
        <v>272242.76</v>
      </c>
      <c r="AC17">
        <v>53</v>
      </c>
      <c r="AD17" s="14">
        <v>22405.310000000012</v>
      </c>
    </row>
    <row r="18" spans="2:30" x14ac:dyDescent="0.35">
      <c r="B18" s="4" t="s">
        <v>99</v>
      </c>
      <c r="C18" s="14">
        <v>38458.040000000008</v>
      </c>
      <c r="D18" s="14">
        <v>55975.240000000049</v>
      </c>
      <c r="E18" s="14">
        <v>94433.27999999997</v>
      </c>
      <c r="J18" s="4" t="s">
        <v>99</v>
      </c>
      <c r="K18">
        <v>2</v>
      </c>
      <c r="L18">
        <v>4</v>
      </c>
      <c r="M18">
        <v>6</v>
      </c>
      <c r="N18" s="14"/>
      <c r="X18" s="4" t="s">
        <v>99</v>
      </c>
      <c r="Y18" s="14">
        <v>228554.31</v>
      </c>
      <c r="Z18" s="14">
        <v>380415.65</v>
      </c>
      <c r="AA18" s="14">
        <v>608969.96</v>
      </c>
      <c r="AC18">
        <v>47</v>
      </c>
      <c r="AD18" s="14">
        <v>17871.527659574465</v>
      </c>
    </row>
    <row r="19" spans="2:30" x14ac:dyDescent="0.35">
      <c r="B19" s="4" t="s">
        <v>76</v>
      </c>
      <c r="C19" s="14">
        <v>522584.9700000002</v>
      </c>
      <c r="D19" s="14">
        <v>664896.46</v>
      </c>
      <c r="E19" s="14">
        <v>1187481.4300000006</v>
      </c>
      <c r="J19" s="4" t="s">
        <v>76</v>
      </c>
      <c r="K19">
        <v>23</v>
      </c>
      <c r="L19">
        <v>30</v>
      </c>
      <c r="M19">
        <v>53</v>
      </c>
      <c r="N19" s="14"/>
      <c r="X19" s="4" t="s">
        <v>76</v>
      </c>
      <c r="Y19" s="14">
        <v>2987701.18</v>
      </c>
      <c r="Z19" s="14">
        <v>3909351.85</v>
      </c>
      <c r="AA19" s="14">
        <v>6897053.0300000003</v>
      </c>
      <c r="AC19">
        <v>37</v>
      </c>
      <c r="AD19" s="14">
        <v>19501.181351351337</v>
      </c>
    </row>
    <row r="20" spans="2:30" x14ac:dyDescent="0.35">
      <c r="B20" s="4" t="s">
        <v>128</v>
      </c>
      <c r="C20" s="14">
        <v>459517.14999999991</v>
      </c>
      <c r="D20" s="14">
        <v>380444.65000000014</v>
      </c>
      <c r="E20" s="14">
        <v>839961.79999999981</v>
      </c>
      <c r="J20" s="4" t="s">
        <v>128</v>
      </c>
      <c r="K20">
        <v>27</v>
      </c>
      <c r="L20">
        <v>20</v>
      </c>
      <c r="M20">
        <v>47</v>
      </c>
      <c r="N20" s="14"/>
      <c r="X20" s="4" t="s">
        <v>128</v>
      </c>
      <c r="Y20" s="14">
        <v>2878091.48</v>
      </c>
      <c r="Z20" s="14">
        <v>2276511.2200000002</v>
      </c>
      <c r="AA20" s="14">
        <v>5154602.7</v>
      </c>
      <c r="AC20">
        <v>52</v>
      </c>
      <c r="AD20" s="14">
        <v>19603.876153846148</v>
      </c>
    </row>
    <row r="21" spans="2:30" x14ac:dyDescent="0.35">
      <c r="B21" s="4" t="s">
        <v>66</v>
      </c>
      <c r="C21" s="14">
        <v>420564.15999999992</v>
      </c>
      <c r="D21" s="14">
        <v>300979.55000000005</v>
      </c>
      <c r="E21" s="14">
        <v>721543.7099999995</v>
      </c>
      <c r="J21" s="4" t="s">
        <v>66</v>
      </c>
      <c r="K21">
        <v>21</v>
      </c>
      <c r="L21">
        <v>16</v>
      </c>
      <c r="M21">
        <v>37</v>
      </c>
      <c r="N21" s="14"/>
      <c r="X21" s="4" t="s">
        <v>66</v>
      </c>
      <c r="Y21" s="14">
        <v>2436958.65</v>
      </c>
      <c r="Z21" s="14">
        <v>1896682.87</v>
      </c>
      <c r="AA21" s="14">
        <v>4333641.5199999996</v>
      </c>
      <c r="AC21">
        <v>26</v>
      </c>
      <c r="AD21" s="14">
        <v>19592.158846153859</v>
      </c>
    </row>
    <row r="22" spans="2:30" x14ac:dyDescent="0.35">
      <c r="B22" s="4" t="s">
        <v>90</v>
      </c>
      <c r="C22" s="14">
        <v>494116.60999999987</v>
      </c>
      <c r="D22" s="14">
        <v>525284.94999999972</v>
      </c>
      <c r="E22" s="14">
        <v>1019401.5599999996</v>
      </c>
      <c r="J22" s="4" t="s">
        <v>90</v>
      </c>
      <c r="K22">
        <v>28</v>
      </c>
      <c r="L22">
        <v>24</v>
      </c>
      <c r="M22">
        <v>52</v>
      </c>
      <c r="N22" s="14"/>
      <c r="X22" s="4" t="s">
        <v>90</v>
      </c>
      <c r="Y22" s="14">
        <v>3230921.09</v>
      </c>
      <c r="Z22" s="14">
        <v>2929295.88</v>
      </c>
      <c r="AA22" s="14">
        <v>6160216.9699999997</v>
      </c>
      <c r="AC22">
        <v>22</v>
      </c>
      <c r="AD22" s="14">
        <v>21934.839090909089</v>
      </c>
    </row>
    <row r="23" spans="2:30" x14ac:dyDescent="0.35">
      <c r="B23" s="4" t="s">
        <v>74</v>
      </c>
      <c r="C23" s="14">
        <v>314012.83000000007</v>
      </c>
      <c r="D23" s="14">
        <v>195383.29999999993</v>
      </c>
      <c r="E23" s="14">
        <v>509396.13000000035</v>
      </c>
      <c r="J23" s="4" t="s">
        <v>74</v>
      </c>
      <c r="K23">
        <v>16</v>
      </c>
      <c r="L23">
        <v>10</v>
      </c>
      <c r="M23">
        <v>26</v>
      </c>
      <c r="N23" s="14"/>
      <c r="X23" s="4" t="s">
        <v>74</v>
      </c>
      <c r="Y23" s="14">
        <v>1937516.74</v>
      </c>
      <c r="Z23" s="14">
        <v>1168921.17</v>
      </c>
      <c r="AA23" s="14">
        <v>3106437.91</v>
      </c>
      <c r="AC23">
        <v>10</v>
      </c>
      <c r="AD23" s="14">
        <v>15545.863000000001</v>
      </c>
    </row>
    <row r="24" spans="2:30" x14ac:dyDescent="0.35">
      <c r="B24" s="4" t="s">
        <v>108</v>
      </c>
      <c r="C24" s="14">
        <v>277916.23</v>
      </c>
      <c r="D24" s="14">
        <v>204650.2300000001</v>
      </c>
      <c r="E24" s="14">
        <v>482566.45999999996</v>
      </c>
      <c r="J24" s="4" t="s">
        <v>108</v>
      </c>
      <c r="K24">
        <v>13</v>
      </c>
      <c r="L24">
        <v>9</v>
      </c>
      <c r="M24">
        <v>22</v>
      </c>
      <c r="N24" s="14"/>
      <c r="X24" s="4" t="s">
        <v>108</v>
      </c>
      <c r="Y24" s="14">
        <v>1672315.06</v>
      </c>
      <c r="Z24" s="14">
        <v>1241235.3400000001</v>
      </c>
      <c r="AA24" s="14">
        <v>2913550.4</v>
      </c>
      <c r="AC24">
        <v>39</v>
      </c>
      <c r="AD24" s="14">
        <v>17026.669743589748</v>
      </c>
    </row>
    <row r="25" spans="2:30" x14ac:dyDescent="0.35">
      <c r="B25" s="4" t="s">
        <v>141</v>
      </c>
      <c r="C25" s="14">
        <v>68469.510000000009</v>
      </c>
      <c r="D25" s="14">
        <v>86989.119999999995</v>
      </c>
      <c r="E25" s="14">
        <v>155458.63</v>
      </c>
      <c r="J25" s="4" t="s">
        <v>141</v>
      </c>
      <c r="K25">
        <v>4</v>
      </c>
      <c r="L25">
        <v>6</v>
      </c>
      <c r="M25">
        <v>10</v>
      </c>
      <c r="N25" s="14"/>
      <c r="X25" s="4" t="s">
        <v>141</v>
      </c>
      <c r="Y25" s="14">
        <v>459532.09</v>
      </c>
      <c r="Z25" s="14">
        <v>476037.21</v>
      </c>
      <c r="AA25" s="14">
        <v>935569.3</v>
      </c>
      <c r="AC25">
        <v>36</v>
      </c>
      <c r="AD25" s="14">
        <v>19774.340000000007</v>
      </c>
    </row>
    <row r="26" spans="2:30" x14ac:dyDescent="0.35">
      <c r="B26" s="4" t="s">
        <v>14</v>
      </c>
      <c r="C26" s="14">
        <v>269563.10000000009</v>
      </c>
      <c r="D26" s="14">
        <v>394477.02000000025</v>
      </c>
      <c r="E26" s="14">
        <v>664040.12000000011</v>
      </c>
      <c r="J26" s="4" t="s">
        <v>14</v>
      </c>
      <c r="K26">
        <v>16</v>
      </c>
      <c r="L26">
        <v>23</v>
      </c>
      <c r="M26">
        <v>39</v>
      </c>
      <c r="N26" s="14"/>
      <c r="X26" s="4" t="s">
        <v>14</v>
      </c>
      <c r="Y26" s="14">
        <v>1663081.5</v>
      </c>
      <c r="Z26" s="14">
        <v>2286660.9300000002</v>
      </c>
      <c r="AA26" s="14">
        <v>3949742.43</v>
      </c>
      <c r="AC26">
        <v>5</v>
      </c>
      <c r="AD26" s="14">
        <v>15524.046000000008</v>
      </c>
    </row>
    <row r="27" spans="2:30" x14ac:dyDescent="0.35">
      <c r="B27" s="4" t="s">
        <v>56</v>
      </c>
      <c r="C27" s="14">
        <v>504807.46999999974</v>
      </c>
      <c r="D27" s="14">
        <v>207068.77000000002</v>
      </c>
      <c r="E27" s="14">
        <v>711876.24000000022</v>
      </c>
      <c r="J27" s="4" t="s">
        <v>56</v>
      </c>
      <c r="K27">
        <v>23</v>
      </c>
      <c r="L27">
        <v>13</v>
      </c>
      <c r="M27">
        <v>36</v>
      </c>
      <c r="N27" s="14"/>
      <c r="X27" s="4" t="s">
        <v>56</v>
      </c>
      <c r="Y27" s="14">
        <v>2874952.53</v>
      </c>
      <c r="Z27" s="14">
        <v>1264939.99</v>
      </c>
      <c r="AA27" s="14">
        <v>4139892.52</v>
      </c>
      <c r="AC27">
        <v>21</v>
      </c>
      <c r="AD27" s="14">
        <v>21113.243809523814</v>
      </c>
    </row>
    <row r="28" spans="2:30" x14ac:dyDescent="0.35">
      <c r="B28" s="4" t="s">
        <v>425</v>
      </c>
      <c r="C28" s="14">
        <v>10731.230000000003</v>
      </c>
      <c r="D28" s="14">
        <v>66889</v>
      </c>
      <c r="E28" s="14">
        <v>77620.23000000004</v>
      </c>
      <c r="J28" s="4" t="s">
        <v>425</v>
      </c>
      <c r="K28">
        <v>1</v>
      </c>
      <c r="L28">
        <v>4</v>
      </c>
      <c r="M28">
        <v>5</v>
      </c>
      <c r="N28" s="14"/>
      <c r="X28" s="4" t="s">
        <v>425</v>
      </c>
      <c r="Y28" s="14">
        <v>68745.86</v>
      </c>
      <c r="Z28" s="14">
        <v>337098.92</v>
      </c>
      <c r="AA28" s="14">
        <v>405844.78</v>
      </c>
      <c r="AC28">
        <v>28</v>
      </c>
      <c r="AD28" s="14">
        <v>18770.217499999995</v>
      </c>
    </row>
    <row r="29" spans="2:30" x14ac:dyDescent="0.35">
      <c r="B29" s="4" t="s">
        <v>353</v>
      </c>
      <c r="C29" s="14">
        <v>222913.60999999987</v>
      </c>
      <c r="D29" s="14">
        <v>220464.51</v>
      </c>
      <c r="E29" s="14">
        <v>443378.12000000011</v>
      </c>
      <c r="J29" s="4" t="s">
        <v>353</v>
      </c>
      <c r="K29">
        <v>10</v>
      </c>
      <c r="L29">
        <v>11</v>
      </c>
      <c r="M29">
        <v>21</v>
      </c>
      <c r="N29" s="14"/>
      <c r="X29" s="4" t="s">
        <v>353</v>
      </c>
      <c r="Y29" s="14">
        <v>1320432.43</v>
      </c>
      <c r="Z29" s="14">
        <v>1389883.3</v>
      </c>
      <c r="AA29" s="14">
        <v>2710315.73</v>
      </c>
      <c r="AC29">
        <v>50</v>
      </c>
      <c r="AD29" s="14">
        <v>17650.504600000007</v>
      </c>
    </row>
    <row r="30" spans="2:30" x14ac:dyDescent="0.35">
      <c r="B30" s="4" t="s">
        <v>86</v>
      </c>
      <c r="C30" s="14">
        <v>172195.31000000006</v>
      </c>
      <c r="D30" s="14">
        <v>353370.78000000026</v>
      </c>
      <c r="E30" s="14">
        <v>525566.08999999985</v>
      </c>
      <c r="J30" s="4" t="s">
        <v>86</v>
      </c>
      <c r="K30">
        <v>11</v>
      </c>
      <c r="L30">
        <v>17</v>
      </c>
      <c r="M30">
        <v>28</v>
      </c>
      <c r="N30" s="14"/>
      <c r="X30" s="4" t="s">
        <v>86</v>
      </c>
      <c r="Y30" s="14">
        <v>1015879.3</v>
      </c>
      <c r="Z30" s="14">
        <v>2208785.4900000002</v>
      </c>
      <c r="AA30" s="14">
        <v>3224664.79</v>
      </c>
      <c r="AC30">
        <v>20</v>
      </c>
      <c r="AD30" s="14">
        <v>17856.661999999989</v>
      </c>
    </row>
    <row r="31" spans="2:30" x14ac:dyDescent="0.35">
      <c r="B31" s="4" t="s">
        <v>133</v>
      </c>
      <c r="C31" s="14">
        <v>484726.80000000028</v>
      </c>
      <c r="D31" s="14">
        <v>397798.43000000017</v>
      </c>
      <c r="E31" s="14">
        <v>882525.23000000045</v>
      </c>
      <c r="J31" s="4" t="s">
        <v>133</v>
      </c>
      <c r="K31">
        <v>28</v>
      </c>
      <c r="L31">
        <v>22</v>
      </c>
      <c r="M31">
        <v>50</v>
      </c>
      <c r="N31" s="14"/>
      <c r="X31" s="4" t="s">
        <v>133</v>
      </c>
      <c r="Y31" s="14">
        <v>2868542.24</v>
      </c>
      <c r="Z31" s="14">
        <v>2369729.41</v>
      </c>
      <c r="AA31" s="14">
        <v>5238271.6500000004</v>
      </c>
      <c r="AC31">
        <v>12</v>
      </c>
      <c r="AD31" s="14">
        <v>13659.871666666664</v>
      </c>
    </row>
    <row r="32" spans="2:30" x14ac:dyDescent="0.35">
      <c r="B32" s="4" t="s">
        <v>212</v>
      </c>
      <c r="C32" s="14">
        <v>181326.30000000005</v>
      </c>
      <c r="D32" s="14">
        <v>175806.94000000006</v>
      </c>
      <c r="E32" s="14">
        <v>357133.23999999976</v>
      </c>
      <c r="J32" s="4" t="s">
        <v>212</v>
      </c>
      <c r="K32">
        <v>7</v>
      </c>
      <c r="L32">
        <v>13</v>
      </c>
      <c r="M32">
        <v>20</v>
      </c>
      <c r="N32" s="14"/>
      <c r="X32" s="4" t="s">
        <v>212</v>
      </c>
      <c r="Y32" s="14">
        <v>1036133.25</v>
      </c>
      <c r="Z32" s="14">
        <v>1198279.8</v>
      </c>
      <c r="AA32" s="14">
        <v>2234413.0499999998</v>
      </c>
      <c r="AC32">
        <v>15</v>
      </c>
      <c r="AD32" s="14">
        <v>18130.590666666674</v>
      </c>
    </row>
    <row r="33" spans="2:35" x14ac:dyDescent="0.35">
      <c r="B33" s="4" t="s">
        <v>41</v>
      </c>
      <c r="C33" s="14">
        <v>108595.87</v>
      </c>
      <c r="D33" s="14">
        <v>55322.589999999967</v>
      </c>
      <c r="E33" s="14">
        <v>163918.45999999996</v>
      </c>
      <c r="J33" s="4" t="s">
        <v>41</v>
      </c>
      <c r="K33">
        <v>8</v>
      </c>
      <c r="L33">
        <v>4</v>
      </c>
      <c r="M33">
        <v>12</v>
      </c>
      <c r="N33" s="14"/>
      <c r="X33" s="4" t="s">
        <v>41</v>
      </c>
      <c r="Y33" s="14">
        <v>675067.07</v>
      </c>
      <c r="Z33" s="14">
        <v>352763.8</v>
      </c>
      <c r="AA33" s="14">
        <v>1027830.87</v>
      </c>
      <c r="AC33">
        <v>41</v>
      </c>
      <c r="AD33" s="14">
        <v>17349.187804878042</v>
      </c>
    </row>
    <row r="34" spans="2:35" x14ac:dyDescent="0.35">
      <c r="B34" s="4" t="s">
        <v>104</v>
      </c>
      <c r="C34" s="14">
        <v>145671.12</v>
      </c>
      <c r="D34" s="14">
        <v>126287.74000000011</v>
      </c>
      <c r="E34" s="14">
        <v>271958.8600000001</v>
      </c>
      <c r="J34" s="4" t="s">
        <v>104</v>
      </c>
      <c r="K34">
        <v>8</v>
      </c>
      <c r="L34">
        <v>7</v>
      </c>
      <c r="M34">
        <v>15</v>
      </c>
      <c r="N34" s="14"/>
      <c r="X34" s="4" t="s">
        <v>104</v>
      </c>
      <c r="Y34" s="14">
        <v>840808.21</v>
      </c>
      <c r="Z34" s="14">
        <v>758140.06</v>
      </c>
      <c r="AA34" s="14">
        <v>1598948.27</v>
      </c>
      <c r="AC34">
        <v>38</v>
      </c>
      <c r="AD34" s="14">
        <v>20780.183421052625</v>
      </c>
    </row>
    <row r="35" spans="2:35" x14ac:dyDescent="0.35">
      <c r="B35" s="4" t="s">
        <v>27</v>
      </c>
      <c r="C35" s="14">
        <v>300808.27</v>
      </c>
      <c r="D35" s="14">
        <v>410508.42999999993</v>
      </c>
      <c r="E35" s="14">
        <v>711316.69999999972</v>
      </c>
      <c r="J35" s="4" t="s">
        <v>27</v>
      </c>
      <c r="K35">
        <v>16</v>
      </c>
      <c r="L35">
        <v>25</v>
      </c>
      <c r="M35">
        <v>41</v>
      </c>
      <c r="N35" s="14"/>
      <c r="X35" s="4" t="s">
        <v>27</v>
      </c>
      <c r="Y35" s="14">
        <v>2013952.55</v>
      </c>
      <c r="Z35" s="14">
        <v>2477554.59</v>
      </c>
      <c r="AA35" s="14">
        <v>4491507.1399999997</v>
      </c>
      <c r="AC35">
        <v>23</v>
      </c>
      <c r="AD35" s="14">
        <v>19822.040869565215</v>
      </c>
    </row>
    <row r="36" spans="2:35" x14ac:dyDescent="0.35">
      <c r="B36" s="4" t="s">
        <v>170</v>
      </c>
      <c r="C36" s="14">
        <v>456904.66999999993</v>
      </c>
      <c r="D36" s="14">
        <v>332742.29999999981</v>
      </c>
      <c r="E36" s="14">
        <v>789646.96999999974</v>
      </c>
      <c r="J36" s="4" t="s">
        <v>170</v>
      </c>
      <c r="K36">
        <v>21</v>
      </c>
      <c r="L36">
        <v>17</v>
      </c>
      <c r="M36">
        <v>38</v>
      </c>
      <c r="N36" s="14"/>
      <c r="X36" s="4" t="s">
        <v>170</v>
      </c>
      <c r="Y36" s="14">
        <v>2587900.86</v>
      </c>
      <c r="Z36" s="14">
        <v>1979274.65</v>
      </c>
      <c r="AA36" s="14">
        <v>4567175.51</v>
      </c>
      <c r="AC36">
        <v>38</v>
      </c>
      <c r="AD36" s="14">
        <v>21608.279473684201</v>
      </c>
    </row>
    <row r="37" spans="2:35" x14ac:dyDescent="0.35">
      <c r="B37" s="4" t="s">
        <v>21</v>
      </c>
      <c r="C37" s="14">
        <v>210956.78999999992</v>
      </c>
      <c r="D37" s="14">
        <v>244950.15000000014</v>
      </c>
      <c r="E37" s="14">
        <v>455906.93999999994</v>
      </c>
      <c r="J37" s="4" t="s">
        <v>21</v>
      </c>
      <c r="K37">
        <v>12</v>
      </c>
      <c r="L37">
        <v>11</v>
      </c>
      <c r="M37">
        <v>23</v>
      </c>
      <c r="N37" s="14"/>
      <c r="X37" s="4" t="s">
        <v>21</v>
      </c>
      <c r="Y37" s="14">
        <v>1217596.7</v>
      </c>
      <c r="Z37" s="14">
        <v>1620122.62</v>
      </c>
      <c r="AA37" s="14">
        <v>2837719.32</v>
      </c>
    </row>
    <row r="38" spans="2:35" x14ac:dyDescent="0.35">
      <c r="B38" s="4" t="s">
        <v>49</v>
      </c>
      <c r="C38" s="14">
        <v>359330.26</v>
      </c>
      <c r="D38" s="14">
        <v>461784.36000000034</v>
      </c>
      <c r="E38" s="14">
        <v>821114.61999999965</v>
      </c>
      <c r="J38" s="4" t="s">
        <v>49</v>
      </c>
      <c r="K38">
        <v>16</v>
      </c>
      <c r="L38">
        <v>22</v>
      </c>
      <c r="M38">
        <v>38</v>
      </c>
      <c r="X38" s="4" t="s">
        <v>49</v>
      </c>
      <c r="Y38" s="14">
        <v>2025308.17</v>
      </c>
      <c r="Z38" s="14">
        <v>2650229.64</v>
      </c>
      <c r="AA38" s="14">
        <v>4675537.8099999996</v>
      </c>
    </row>
    <row r="39" spans="2:35" x14ac:dyDescent="0.35">
      <c r="B39" s="4" t="s">
        <v>1164</v>
      </c>
      <c r="C39" s="14">
        <v>9487277.8900000006</v>
      </c>
      <c r="D39" s="14">
        <v>9505149.8300000057</v>
      </c>
      <c r="E39" s="14">
        <v>18992427.719999999</v>
      </c>
      <c r="J39" s="4" t="s">
        <v>1164</v>
      </c>
      <c r="K39">
        <v>490</v>
      </c>
      <c r="L39">
        <v>510</v>
      </c>
      <c r="M39">
        <v>1000</v>
      </c>
      <c r="N39" s="14"/>
      <c r="X39" s="4" t="s">
        <v>1164</v>
      </c>
      <c r="Y39" s="14">
        <v>56617524.399999999</v>
      </c>
      <c r="Z39" s="14">
        <v>56744214.310000002</v>
      </c>
      <c r="AA39" s="14">
        <v>113361738.70999999</v>
      </c>
    </row>
    <row r="40" spans="2:35" x14ac:dyDescent="0.35">
      <c r="F40" t="s">
        <v>1287</v>
      </c>
      <c r="G40" t="s">
        <v>1168</v>
      </c>
      <c r="L40" s="14"/>
      <c r="M40" s="14"/>
      <c r="N40" s="14"/>
    </row>
    <row r="41" spans="2:35" x14ac:dyDescent="0.35">
      <c r="B41" s="3" t="s">
        <v>1170</v>
      </c>
      <c r="C41" t="s">
        <v>1168</v>
      </c>
      <c r="D41" t="s">
        <v>1188</v>
      </c>
      <c r="F41">
        <v>40</v>
      </c>
      <c r="G41" s="14">
        <v>18553.631750000011</v>
      </c>
    </row>
    <row r="42" spans="2:35" x14ac:dyDescent="0.35">
      <c r="B42" s="4" t="s">
        <v>82</v>
      </c>
      <c r="C42" s="14">
        <v>18553.631750000011</v>
      </c>
      <c r="D42">
        <v>40</v>
      </c>
      <c r="F42">
        <v>56</v>
      </c>
      <c r="G42" s="14">
        <v>19614.37750000001</v>
      </c>
      <c r="K42">
        <v>40</v>
      </c>
    </row>
    <row r="43" spans="2:35" x14ac:dyDescent="0.35">
      <c r="B43" s="4" t="s">
        <v>72</v>
      </c>
      <c r="C43" s="14">
        <v>19614.37750000001</v>
      </c>
      <c r="D43">
        <v>56</v>
      </c>
      <c r="F43">
        <v>36</v>
      </c>
      <c r="G43" s="14">
        <v>17251.022500000003</v>
      </c>
      <c r="K43">
        <v>56</v>
      </c>
    </row>
    <row r="44" spans="2:35" x14ac:dyDescent="0.35">
      <c r="B44" s="4" t="s">
        <v>69</v>
      </c>
      <c r="C44" s="14">
        <v>17251.022500000003</v>
      </c>
      <c r="D44">
        <v>36</v>
      </c>
      <c r="F44">
        <v>52</v>
      </c>
      <c r="G44" s="14">
        <v>18242.499038461541</v>
      </c>
      <c r="K44">
        <v>36</v>
      </c>
    </row>
    <row r="45" spans="2:35" x14ac:dyDescent="0.35">
      <c r="B45" s="4" t="s">
        <v>32</v>
      </c>
      <c r="C45" s="14">
        <v>18242.499038461541</v>
      </c>
      <c r="D45">
        <v>52</v>
      </c>
      <c r="F45">
        <v>43</v>
      </c>
      <c r="G45" s="14">
        <v>18656.654883720923</v>
      </c>
      <c r="I45" s="3" t="s">
        <v>1267</v>
      </c>
      <c r="J45" t="s">
        <v>1168</v>
      </c>
      <c r="K45">
        <v>52</v>
      </c>
      <c r="L45" s="3" t="s">
        <v>1268</v>
      </c>
      <c r="M45" s="3" t="s">
        <v>1267</v>
      </c>
    </row>
    <row r="46" spans="2:35" x14ac:dyDescent="0.35">
      <c r="B46" s="4" t="s">
        <v>144</v>
      </c>
      <c r="C46" s="14">
        <v>18656.654883720923</v>
      </c>
      <c r="D46">
        <v>43</v>
      </c>
      <c r="F46">
        <v>2</v>
      </c>
      <c r="G46" s="14">
        <v>17859.190000000002</v>
      </c>
      <c r="I46" s="4" t="s">
        <v>46</v>
      </c>
      <c r="J46" s="14">
        <v>22397.038</v>
      </c>
      <c r="K46">
        <v>43</v>
      </c>
      <c r="L46" s="3" t="s">
        <v>1170</v>
      </c>
      <c r="M46" t="s">
        <v>46</v>
      </c>
      <c r="N46" t="s">
        <v>51</v>
      </c>
      <c r="O46" t="s">
        <v>30</v>
      </c>
      <c r="P46" t="s">
        <v>11</v>
      </c>
      <c r="Q46" t="s">
        <v>24</v>
      </c>
      <c r="R46" t="s">
        <v>80</v>
      </c>
      <c r="S46" t="s">
        <v>18</v>
      </c>
      <c r="T46" t="s">
        <v>139</v>
      </c>
      <c r="U46" t="s">
        <v>62</v>
      </c>
      <c r="V46" t="s">
        <v>60</v>
      </c>
      <c r="W46" t="s">
        <v>1164</v>
      </c>
      <c r="Y46" s="9" t="s">
        <v>1170</v>
      </c>
      <c r="Z46" s="20" t="s">
        <v>46</v>
      </c>
      <c r="AA46" s="20" t="s">
        <v>51</v>
      </c>
      <c r="AB46" s="20" t="s">
        <v>30</v>
      </c>
      <c r="AC46" s="20" t="s">
        <v>11</v>
      </c>
      <c r="AD46" s="20" t="s">
        <v>24</v>
      </c>
      <c r="AE46" s="20" t="s">
        <v>80</v>
      </c>
      <c r="AF46" s="20" t="s">
        <v>18</v>
      </c>
      <c r="AG46" s="20" t="s">
        <v>139</v>
      </c>
      <c r="AH46" s="20" t="s">
        <v>62</v>
      </c>
      <c r="AI46" s="20" t="s">
        <v>60</v>
      </c>
    </row>
    <row r="47" spans="2:35" x14ac:dyDescent="0.35">
      <c r="B47" s="4" t="s">
        <v>410</v>
      </c>
      <c r="C47" s="14">
        <v>17859.190000000002</v>
      </c>
      <c r="D47">
        <v>2</v>
      </c>
      <c r="F47">
        <v>15</v>
      </c>
      <c r="G47" s="14">
        <v>22229.617333333335</v>
      </c>
      <c r="I47" s="4" t="s">
        <v>51</v>
      </c>
      <c r="J47" s="14">
        <v>19350.223969465649</v>
      </c>
      <c r="K47">
        <v>2</v>
      </c>
      <c r="L47" s="4" t="s">
        <v>82</v>
      </c>
      <c r="M47">
        <v>1</v>
      </c>
      <c r="N47">
        <v>4</v>
      </c>
      <c r="O47">
        <v>4</v>
      </c>
      <c r="P47">
        <v>4</v>
      </c>
      <c r="Q47">
        <v>9</v>
      </c>
      <c r="R47">
        <v>4</v>
      </c>
      <c r="S47">
        <v>6</v>
      </c>
      <c r="T47">
        <v>3</v>
      </c>
      <c r="U47">
        <v>1</v>
      </c>
      <c r="V47">
        <v>4</v>
      </c>
      <c r="W47">
        <v>40</v>
      </c>
      <c r="Y47" s="4" t="s">
        <v>82</v>
      </c>
      <c r="Z47" s="19">
        <f>SUMIFS(Sales_Export_2019_2020__2[[profit]:[profit]],Sales_Export_2019_2020__2[[sales_rep]:[sales_rep]],$Y47,Sales_Export_2019_2020__2[[category]:[category]],Z$46)</f>
        <v>15023.86</v>
      </c>
      <c r="AA47" s="19">
        <f>SUMIFS(Sales_Export_2019_2020__2[[profit]:[profit]],Sales_Export_2019_2020__2[[sales_rep]:[sales_rep]],$Y47,Sales_Export_2019_2020__2[[category]:[category]],AA$46)</f>
        <v>45219.24</v>
      </c>
      <c r="AB47" s="19">
        <f>SUMIFS(Sales_Export_2019_2020__2[[profit]:[profit]],Sales_Export_2019_2020__2[[sales_rep]:[sales_rep]],$Y47,Sales_Export_2019_2020__2[[category]:[category]],AB$46)</f>
        <v>116128.08</v>
      </c>
      <c r="AC47" s="19">
        <f>SUMIFS(Sales_Export_2019_2020__2[[profit]:[profit]],Sales_Export_2019_2020__2[[sales_rep]:[sales_rep]],$Y47,Sales_Export_2019_2020__2[[category]:[category]],AC$46)</f>
        <v>60245.329999999987</v>
      </c>
      <c r="AD47" s="19">
        <f>SUMIFS(Sales_Export_2019_2020__2[[profit]:[profit]],Sales_Export_2019_2020__2[[sales_rep]:[sales_rep]],$Y47,Sales_Export_2019_2020__2[[category]:[category]],AD$46)</f>
        <v>139845.32</v>
      </c>
      <c r="AE47" s="19">
        <f>SUMIFS(Sales_Export_2019_2020__2[[profit]:[profit]],Sales_Export_2019_2020__2[[sales_rep]:[sales_rep]],$Y47,Sales_Export_2019_2020__2[[category]:[category]],AE$46)</f>
        <v>83679.839999999997</v>
      </c>
      <c r="AF47" s="19">
        <f>SUMIFS(Sales_Export_2019_2020__2[[profit]:[profit]],Sales_Export_2019_2020__2[[sales_rep]:[sales_rep]],$Y47,Sales_Export_2019_2020__2[[category]:[category]],AF$46)</f>
        <v>75415.639999999985</v>
      </c>
      <c r="AG47" s="19">
        <f>SUMIFS(Sales_Export_2019_2020__2[[profit]:[profit]],Sales_Export_2019_2020__2[[sales_rep]:[sales_rep]],$Y47,Sales_Export_2019_2020__2[[category]:[category]],AG$46)</f>
        <v>40785.12000000001</v>
      </c>
      <c r="AH47" s="19">
        <f>SUMIFS(Sales_Export_2019_2020__2[[profit]:[profit]],Sales_Export_2019_2020__2[[sales_rep]:[sales_rep]],$Y47,Sales_Export_2019_2020__2[[category]:[category]],AH$46)</f>
        <v>32964.47</v>
      </c>
      <c r="AI47" s="19">
        <f>SUMIFS(Sales_Export_2019_2020__2[[profit]:[profit]],Sales_Export_2019_2020__2[[sales_rep]:[sales_rep]],$Y47,Sales_Export_2019_2020__2[[category]:[category]],AI$46)</f>
        <v>132838.36999999997</v>
      </c>
    </row>
    <row r="48" spans="2:35" x14ac:dyDescent="0.35">
      <c r="B48" s="4" t="s">
        <v>162</v>
      </c>
      <c r="C48" s="14">
        <v>22229.617333333335</v>
      </c>
      <c r="D48">
        <v>15</v>
      </c>
      <c r="F48">
        <v>9</v>
      </c>
      <c r="G48" s="14">
        <v>19239.036666666649</v>
      </c>
      <c r="I48" s="4" t="s">
        <v>30</v>
      </c>
      <c r="J48" s="14">
        <v>18421.108086956534</v>
      </c>
      <c r="K48">
        <v>15</v>
      </c>
      <c r="L48" s="4" t="s">
        <v>72</v>
      </c>
      <c r="N48">
        <v>10</v>
      </c>
      <c r="O48">
        <v>3</v>
      </c>
      <c r="P48">
        <v>4</v>
      </c>
      <c r="Q48">
        <v>9</v>
      </c>
      <c r="R48">
        <v>10</v>
      </c>
      <c r="S48">
        <v>7</v>
      </c>
      <c r="T48">
        <v>4</v>
      </c>
      <c r="U48">
        <v>2</v>
      </c>
      <c r="V48">
        <v>7</v>
      </c>
      <c r="W48">
        <v>56</v>
      </c>
      <c r="Y48" s="4" t="s">
        <v>72</v>
      </c>
      <c r="Z48" s="19">
        <f>SUMIFS(Sales_Export_2019_2020__2[[profit]:[profit]],Sales_Export_2019_2020__2[[sales_rep]:[sales_rep]],$Y48,Sales_Export_2019_2020__2[[category]:[category]],Z$46)</f>
        <v>0</v>
      </c>
      <c r="AA48" s="19">
        <f>SUMIFS(Sales_Export_2019_2020__2[[profit]:[profit]],Sales_Export_2019_2020__2[[sales_rep]:[sales_rep]],$Y48,Sales_Export_2019_2020__2[[category]:[category]],AA$46)</f>
        <v>199939.76000000004</v>
      </c>
      <c r="AB48" s="19">
        <f>SUMIFS(Sales_Export_2019_2020__2[[profit]:[profit]],Sales_Export_2019_2020__2[[sales_rep]:[sales_rep]],$Y48,Sales_Export_2019_2020__2[[category]:[category]],AB$46)</f>
        <v>53188.299999999981</v>
      </c>
      <c r="AC48" s="19">
        <f>SUMIFS(Sales_Export_2019_2020__2[[profit]:[profit]],Sales_Export_2019_2020__2[[sales_rep]:[sales_rep]],$Y48,Sales_Export_2019_2020__2[[category]:[category]],AC$46)</f>
        <v>87797.88</v>
      </c>
      <c r="AD48" s="19">
        <f>SUMIFS(Sales_Export_2019_2020__2[[profit]:[profit]],Sales_Export_2019_2020__2[[sales_rep]:[sales_rep]],$Y48,Sales_Export_2019_2020__2[[category]:[category]],AD$46)</f>
        <v>211021.76999999996</v>
      </c>
      <c r="AE48" s="19">
        <f>SUMIFS(Sales_Export_2019_2020__2[[profit]:[profit]],Sales_Export_2019_2020__2[[sales_rep]:[sales_rep]],$Y48,Sales_Export_2019_2020__2[[category]:[category]],AE$46)</f>
        <v>161744</v>
      </c>
      <c r="AF48" s="19">
        <f>SUMIFS(Sales_Export_2019_2020__2[[profit]:[profit]],Sales_Export_2019_2020__2[[sales_rep]:[sales_rep]],$Y48,Sales_Export_2019_2020__2[[category]:[category]],AF$46)</f>
        <v>149716.76</v>
      </c>
      <c r="AG48" s="19">
        <f>SUMIFS(Sales_Export_2019_2020__2[[profit]:[profit]],Sales_Export_2019_2020__2[[sales_rep]:[sales_rep]],$Y48,Sales_Export_2019_2020__2[[category]:[category]],AG$46)</f>
        <v>59098.05</v>
      </c>
      <c r="AH48" s="19">
        <f>SUMIFS(Sales_Export_2019_2020__2[[profit]:[profit]],Sales_Export_2019_2020__2[[sales_rep]:[sales_rep]],$Y48,Sales_Export_2019_2020__2[[category]:[category]],AH$46)</f>
        <v>53743.839999999982</v>
      </c>
      <c r="AI48" s="19">
        <f>SUMIFS(Sales_Export_2019_2020__2[[profit]:[profit]],Sales_Export_2019_2020__2[[sales_rep]:[sales_rep]],$Y48,Sales_Export_2019_2020__2[[category]:[category]],AI$46)</f>
        <v>122154.78000000003</v>
      </c>
    </row>
    <row r="49" spans="2:35" x14ac:dyDescent="0.35">
      <c r="B49" s="4" t="s">
        <v>37</v>
      </c>
      <c r="C49" s="14">
        <v>19239.036666666649</v>
      </c>
      <c r="D49">
        <v>9</v>
      </c>
      <c r="F49">
        <v>41</v>
      </c>
      <c r="G49" s="14">
        <v>19592.63219512194</v>
      </c>
      <c r="I49" s="4" t="s">
        <v>11</v>
      </c>
      <c r="J49" s="14">
        <v>19024.904957264964</v>
      </c>
      <c r="K49">
        <v>9</v>
      </c>
      <c r="L49" s="4" t="s">
        <v>69</v>
      </c>
      <c r="M49">
        <v>2</v>
      </c>
      <c r="N49">
        <v>3</v>
      </c>
      <c r="O49">
        <v>8</v>
      </c>
      <c r="P49">
        <v>5</v>
      </c>
      <c r="Q49">
        <v>5</v>
      </c>
      <c r="R49">
        <v>5</v>
      </c>
      <c r="S49">
        <v>3</v>
      </c>
      <c r="T49">
        <v>1</v>
      </c>
      <c r="V49">
        <v>4</v>
      </c>
      <c r="W49">
        <v>36</v>
      </c>
      <c r="Y49" s="4" t="s">
        <v>69</v>
      </c>
      <c r="Z49" s="19">
        <f>SUMIFS(Sales_Export_2019_2020__2[[profit]:[profit]],Sales_Export_2019_2020__2[[sales_rep]:[sales_rep]],$Y49,Sales_Export_2019_2020__2[[category]:[category]],Z$46)</f>
        <v>68584.929999999993</v>
      </c>
      <c r="AA49" s="19">
        <f>SUMIFS(Sales_Export_2019_2020__2[[profit]:[profit]],Sales_Export_2019_2020__2[[sales_rep]:[sales_rep]],$Y49,Sales_Export_2019_2020__2[[category]:[category]],AA$46)</f>
        <v>42710.10000000002</v>
      </c>
      <c r="AB49" s="19">
        <f>SUMIFS(Sales_Export_2019_2020__2[[profit]:[profit]],Sales_Export_2019_2020__2[[sales_rep]:[sales_rep]],$Y49,Sales_Export_2019_2020__2[[category]:[category]],AB$46)</f>
        <v>91139.609999999986</v>
      </c>
      <c r="AC49" s="19">
        <f>SUMIFS(Sales_Export_2019_2020__2[[profit]:[profit]],Sales_Export_2019_2020__2[[sales_rep]:[sales_rep]],$Y49,Sales_Export_2019_2020__2[[category]:[category]],AC$46)</f>
        <v>71814.320000000007</v>
      </c>
      <c r="AD49" s="19">
        <f>SUMIFS(Sales_Export_2019_2020__2[[profit]:[profit]],Sales_Export_2019_2020__2[[sales_rep]:[sales_rep]],$Y49,Sales_Export_2019_2020__2[[category]:[category]],AD$46)</f>
        <v>74218.47</v>
      </c>
      <c r="AE49" s="19">
        <f>SUMIFS(Sales_Export_2019_2020__2[[profit]:[profit]],Sales_Export_2019_2020__2[[sales_rep]:[sales_rep]],$Y49,Sales_Export_2019_2020__2[[category]:[category]],AE$46)</f>
        <v>90548.299999999988</v>
      </c>
      <c r="AF49" s="19">
        <f>SUMIFS(Sales_Export_2019_2020__2[[profit]:[profit]],Sales_Export_2019_2020__2[[sales_rep]:[sales_rep]],$Y49,Sales_Export_2019_2020__2[[category]:[category]],AF$46)</f>
        <v>81520.329999999987</v>
      </c>
      <c r="AG49" s="19">
        <f>SUMIFS(Sales_Export_2019_2020__2[[profit]:[profit]],Sales_Export_2019_2020__2[[sales_rep]:[sales_rep]],$Y49,Sales_Export_2019_2020__2[[category]:[category]],AG$46)</f>
        <v>17295.589999999997</v>
      </c>
      <c r="AH49" s="19">
        <f>SUMIFS(Sales_Export_2019_2020__2[[profit]:[profit]],Sales_Export_2019_2020__2[[sales_rep]:[sales_rep]],$Y49,Sales_Export_2019_2020__2[[category]:[category]],AH$46)</f>
        <v>0</v>
      </c>
      <c r="AI49" s="19">
        <f>SUMIFS(Sales_Export_2019_2020__2[[profit]:[profit]],Sales_Export_2019_2020__2[[sales_rep]:[sales_rep]],$Y49,Sales_Export_2019_2020__2[[category]:[category]],AI$46)</f>
        <v>83205.159999999974</v>
      </c>
    </row>
    <row r="50" spans="2:35" x14ac:dyDescent="0.35">
      <c r="B50" s="4" t="s">
        <v>219</v>
      </c>
      <c r="C50" s="14">
        <v>19592.63219512194</v>
      </c>
      <c r="D50">
        <v>41</v>
      </c>
      <c r="F50">
        <v>23</v>
      </c>
      <c r="G50" s="14">
        <v>20529.510869565216</v>
      </c>
      <c r="I50" s="4" t="s">
        <v>24</v>
      </c>
      <c r="J50" s="14">
        <v>18980.245741935483</v>
      </c>
      <c r="K50">
        <v>41</v>
      </c>
      <c r="L50" s="4" t="s">
        <v>32</v>
      </c>
      <c r="M50">
        <v>2</v>
      </c>
      <c r="N50">
        <v>6</v>
      </c>
      <c r="O50">
        <v>3</v>
      </c>
      <c r="P50">
        <v>8</v>
      </c>
      <c r="Q50">
        <v>8</v>
      </c>
      <c r="R50">
        <v>7</v>
      </c>
      <c r="S50">
        <v>7</v>
      </c>
      <c r="T50">
        <v>2</v>
      </c>
      <c r="U50">
        <v>4</v>
      </c>
      <c r="V50">
        <v>5</v>
      </c>
      <c r="W50">
        <v>52</v>
      </c>
      <c r="Y50" s="4" t="s">
        <v>32</v>
      </c>
      <c r="Z50" s="19">
        <f>SUMIFS(Sales_Export_2019_2020__2[[profit]:[profit]],Sales_Export_2019_2020__2[[sales_rep]:[sales_rep]],$Y50,Sales_Export_2019_2020__2[[category]:[category]],Z$46)</f>
        <v>32228.30999999999</v>
      </c>
      <c r="AA50" s="19">
        <f>SUMIFS(Sales_Export_2019_2020__2[[profit]:[profit]],Sales_Export_2019_2020__2[[sales_rep]:[sales_rep]],$Y50,Sales_Export_2019_2020__2[[category]:[category]],AA$46)</f>
        <v>120014.26</v>
      </c>
      <c r="AB50" s="19">
        <f>SUMIFS(Sales_Export_2019_2020__2[[profit]:[profit]],Sales_Export_2019_2020__2[[sales_rep]:[sales_rep]],$Y50,Sales_Export_2019_2020__2[[category]:[category]],AB$46)</f>
        <v>64195.80000000001</v>
      </c>
      <c r="AC50" s="19">
        <f>SUMIFS(Sales_Export_2019_2020__2[[profit]:[profit]],Sales_Export_2019_2020__2[[sales_rep]:[sales_rep]],$Y50,Sales_Export_2019_2020__2[[category]:[category]],AC$46)</f>
        <v>165263.09</v>
      </c>
      <c r="AD50" s="19">
        <f>SUMIFS(Sales_Export_2019_2020__2[[profit]:[profit]],Sales_Export_2019_2020__2[[sales_rep]:[sales_rep]],$Y50,Sales_Export_2019_2020__2[[category]:[category]],AD$46)</f>
        <v>124442.32</v>
      </c>
      <c r="AE50" s="19">
        <f>SUMIFS(Sales_Export_2019_2020__2[[profit]:[profit]],Sales_Export_2019_2020__2[[sales_rep]:[sales_rep]],$Y50,Sales_Export_2019_2020__2[[category]:[category]],AE$46)</f>
        <v>147587.39000000001</v>
      </c>
      <c r="AF50" s="19">
        <f>SUMIFS(Sales_Export_2019_2020__2[[profit]:[profit]],Sales_Export_2019_2020__2[[sales_rep]:[sales_rep]],$Y50,Sales_Export_2019_2020__2[[category]:[category]],AF$46)</f>
        <v>115837.10000000003</v>
      </c>
      <c r="AG50" s="19">
        <f>SUMIFS(Sales_Export_2019_2020__2[[profit]:[profit]],Sales_Export_2019_2020__2[[sales_rep]:[sales_rep]],$Y50,Sales_Export_2019_2020__2[[category]:[category]],AG$46)</f>
        <v>20347.399999999994</v>
      </c>
      <c r="AH50" s="19">
        <f>SUMIFS(Sales_Export_2019_2020__2[[profit]:[profit]],Sales_Export_2019_2020__2[[sales_rep]:[sales_rep]],$Y50,Sales_Export_2019_2020__2[[category]:[category]],AH$46)</f>
        <v>88816.26</v>
      </c>
      <c r="AI50" s="19">
        <f>SUMIFS(Sales_Export_2019_2020__2[[profit]:[profit]],Sales_Export_2019_2020__2[[sales_rep]:[sales_rep]],$Y50,Sales_Export_2019_2020__2[[category]:[category]],AI$46)</f>
        <v>69878.01999999999</v>
      </c>
    </row>
    <row r="51" spans="2:35" x14ac:dyDescent="0.35">
      <c r="B51" s="4" t="s">
        <v>176</v>
      </c>
      <c r="C51" s="14">
        <v>20529.510869565216</v>
      </c>
      <c r="D51">
        <v>23</v>
      </c>
      <c r="F51">
        <v>29</v>
      </c>
      <c r="G51" s="14">
        <v>16436.133793103443</v>
      </c>
      <c r="I51" s="4" t="s">
        <v>80</v>
      </c>
      <c r="J51" s="14">
        <v>17918.902985074626</v>
      </c>
      <c r="K51">
        <v>23</v>
      </c>
      <c r="L51" s="4" t="s">
        <v>144</v>
      </c>
      <c r="M51">
        <v>1</v>
      </c>
      <c r="N51">
        <v>8</v>
      </c>
      <c r="O51">
        <v>1</v>
      </c>
      <c r="P51">
        <v>8</v>
      </c>
      <c r="Q51">
        <v>5</v>
      </c>
      <c r="R51">
        <v>6</v>
      </c>
      <c r="S51">
        <v>7</v>
      </c>
      <c r="U51">
        <v>2</v>
      </c>
      <c r="V51">
        <v>5</v>
      </c>
      <c r="W51">
        <v>43</v>
      </c>
      <c r="Y51" s="4" t="s">
        <v>144</v>
      </c>
      <c r="Z51" s="19">
        <f>SUMIFS(Sales_Export_2019_2020__2[[profit]:[profit]],Sales_Export_2019_2020__2[[sales_rep]:[sales_rep]],$Y51,Sales_Export_2019_2020__2[[category]:[category]],Z$46)</f>
        <v>17352.289999999994</v>
      </c>
      <c r="AA51" s="19">
        <f>SUMIFS(Sales_Export_2019_2020__2[[profit]:[profit]],Sales_Export_2019_2020__2[[sales_rep]:[sales_rep]],$Y51,Sales_Export_2019_2020__2[[category]:[category]],AA$46)</f>
        <v>135338.81</v>
      </c>
      <c r="AB51" s="19">
        <f>SUMIFS(Sales_Export_2019_2020__2[[profit]:[profit]],Sales_Export_2019_2020__2[[sales_rep]:[sales_rep]],$Y51,Sales_Export_2019_2020__2[[category]:[category]],AB$46)</f>
        <v>16819.800000000003</v>
      </c>
      <c r="AC51" s="19">
        <f>SUMIFS(Sales_Export_2019_2020__2[[profit]:[profit]],Sales_Export_2019_2020__2[[sales_rep]:[sales_rep]],$Y51,Sales_Export_2019_2020__2[[category]:[category]],AC$46)</f>
        <v>154729.60999999999</v>
      </c>
      <c r="AD51" s="19">
        <f>SUMIFS(Sales_Export_2019_2020__2[[profit]:[profit]],Sales_Export_2019_2020__2[[sales_rep]:[sales_rep]],$Y51,Sales_Export_2019_2020__2[[category]:[category]],AD$46)</f>
        <v>116876.79000000004</v>
      </c>
      <c r="AE51" s="19">
        <f>SUMIFS(Sales_Export_2019_2020__2[[profit]:[profit]],Sales_Export_2019_2020__2[[sales_rep]:[sales_rep]],$Y51,Sales_Export_2019_2020__2[[category]:[category]],AE$46)</f>
        <v>106586.80999999997</v>
      </c>
      <c r="AF51" s="19">
        <f>SUMIFS(Sales_Export_2019_2020__2[[profit]:[profit]],Sales_Export_2019_2020__2[[sales_rep]:[sales_rep]],$Y51,Sales_Export_2019_2020__2[[category]:[category]],AF$46)</f>
        <v>78345.160000000018</v>
      </c>
      <c r="AG51" s="19">
        <f>SUMIFS(Sales_Export_2019_2020__2[[profit]:[profit]],Sales_Export_2019_2020__2[[sales_rep]:[sales_rep]],$Y51,Sales_Export_2019_2020__2[[category]:[category]],AG$46)</f>
        <v>0</v>
      </c>
      <c r="AH51" s="19">
        <f>SUMIFS(Sales_Export_2019_2020__2[[profit]:[profit]],Sales_Export_2019_2020__2[[sales_rep]:[sales_rep]],$Y51,Sales_Export_2019_2020__2[[category]:[category]],AH$46)</f>
        <v>31131.030000000006</v>
      </c>
      <c r="AI51" s="19">
        <f>SUMIFS(Sales_Export_2019_2020__2[[profit]:[profit]],Sales_Export_2019_2020__2[[sales_rep]:[sales_rep]],$Y51,Sales_Export_2019_2020__2[[category]:[category]],AI$46)</f>
        <v>145055.85999999993</v>
      </c>
    </row>
    <row r="52" spans="2:35" x14ac:dyDescent="0.35">
      <c r="B52" s="4" t="s">
        <v>118</v>
      </c>
      <c r="C52" s="14">
        <v>16436.133793103443</v>
      </c>
      <c r="D52">
        <v>29</v>
      </c>
      <c r="F52">
        <v>6</v>
      </c>
      <c r="G52" s="14">
        <v>13931.776666666663</v>
      </c>
      <c r="I52" s="4" t="s">
        <v>18</v>
      </c>
      <c r="J52" s="14">
        <v>18415.796906474818</v>
      </c>
      <c r="K52">
        <v>29</v>
      </c>
      <c r="L52" s="4" t="s">
        <v>410</v>
      </c>
      <c r="R52">
        <v>1</v>
      </c>
      <c r="S52">
        <v>1</v>
      </c>
      <c r="W52">
        <v>2</v>
      </c>
      <c r="Y52" s="4" t="s">
        <v>410</v>
      </c>
      <c r="Z52" s="19">
        <f>SUMIFS(Sales_Export_2019_2020__2[[profit]:[profit]],Sales_Export_2019_2020__2[[sales_rep]:[sales_rep]],$Y52,Sales_Export_2019_2020__2[[category]:[category]],Z$46)</f>
        <v>0</v>
      </c>
      <c r="AA52" s="19">
        <f>SUMIFS(Sales_Export_2019_2020__2[[profit]:[profit]],Sales_Export_2019_2020__2[[sales_rep]:[sales_rep]],$Y52,Sales_Export_2019_2020__2[[category]:[category]],AA$46)</f>
        <v>0</v>
      </c>
      <c r="AB52" s="19">
        <f>SUMIFS(Sales_Export_2019_2020__2[[profit]:[profit]],Sales_Export_2019_2020__2[[sales_rep]:[sales_rep]],$Y52,Sales_Export_2019_2020__2[[category]:[category]],AB$46)</f>
        <v>0</v>
      </c>
      <c r="AC52" s="19">
        <f>SUMIFS(Sales_Export_2019_2020__2[[profit]:[profit]],Sales_Export_2019_2020__2[[sales_rep]:[sales_rep]],$Y52,Sales_Export_2019_2020__2[[category]:[category]],AC$46)</f>
        <v>0</v>
      </c>
      <c r="AD52" s="19">
        <f>SUMIFS(Sales_Export_2019_2020__2[[profit]:[profit]],Sales_Export_2019_2020__2[[sales_rep]:[sales_rep]],$Y52,Sales_Export_2019_2020__2[[category]:[category]],AD$46)</f>
        <v>0</v>
      </c>
      <c r="AE52" s="19">
        <f>SUMIFS(Sales_Export_2019_2020__2[[profit]:[profit]],Sales_Export_2019_2020__2[[sales_rep]:[sales_rep]],$Y52,Sales_Export_2019_2020__2[[category]:[category]],AE$46)</f>
        <v>10350.990000000005</v>
      </c>
      <c r="AF52" s="19">
        <f>SUMIFS(Sales_Export_2019_2020__2[[profit]:[profit]],Sales_Export_2019_2020__2[[sales_rep]:[sales_rep]],$Y52,Sales_Export_2019_2020__2[[category]:[category]],AF$46)</f>
        <v>25367.39</v>
      </c>
      <c r="AG52" s="19">
        <f>SUMIFS(Sales_Export_2019_2020__2[[profit]:[profit]],Sales_Export_2019_2020__2[[sales_rep]:[sales_rep]],$Y52,Sales_Export_2019_2020__2[[category]:[category]],AG$46)</f>
        <v>0</v>
      </c>
      <c r="AH52" s="19">
        <f>SUMIFS(Sales_Export_2019_2020__2[[profit]:[profit]],Sales_Export_2019_2020__2[[sales_rep]:[sales_rep]],$Y52,Sales_Export_2019_2020__2[[category]:[category]],AH$46)</f>
        <v>0</v>
      </c>
      <c r="AI52" s="19">
        <f>SUMIFS(Sales_Export_2019_2020__2[[profit]:[profit]],Sales_Export_2019_2020__2[[sales_rep]:[sales_rep]],$Y52,Sales_Export_2019_2020__2[[category]:[category]],AI$46)</f>
        <v>0</v>
      </c>
    </row>
    <row r="53" spans="2:35" x14ac:dyDescent="0.35">
      <c r="B53" s="4" t="s">
        <v>348</v>
      </c>
      <c r="C53" s="14">
        <v>13931.776666666663</v>
      </c>
      <c r="D53">
        <v>6</v>
      </c>
      <c r="F53">
        <v>24</v>
      </c>
      <c r="G53" s="14">
        <v>19414.931249999983</v>
      </c>
      <c r="I53" s="4" t="s">
        <v>139</v>
      </c>
      <c r="J53" s="14">
        <v>18932.196896551723</v>
      </c>
      <c r="K53">
        <v>6</v>
      </c>
      <c r="L53" s="4" t="s">
        <v>162</v>
      </c>
      <c r="M53">
        <v>1</v>
      </c>
      <c r="N53">
        <v>2</v>
      </c>
      <c r="O53">
        <v>2</v>
      </c>
      <c r="P53">
        <v>4</v>
      </c>
      <c r="R53">
        <v>1</v>
      </c>
      <c r="S53">
        <v>4</v>
      </c>
      <c r="V53">
        <v>1</v>
      </c>
      <c r="W53">
        <v>15</v>
      </c>
      <c r="Y53" s="4" t="s">
        <v>162</v>
      </c>
      <c r="Z53" s="19">
        <f>SUMIFS(Sales_Export_2019_2020__2[[profit]:[profit]],Sales_Export_2019_2020__2[[sales_rep]:[sales_rep]],$Y53,Sales_Export_2019_2020__2[[category]:[category]],Z$46)</f>
        <v>18595.149999999994</v>
      </c>
      <c r="AA53" s="19">
        <f>SUMIFS(Sales_Export_2019_2020__2[[profit]:[profit]],Sales_Export_2019_2020__2[[sales_rep]:[sales_rep]],$Y53,Sales_Export_2019_2020__2[[category]:[category]],AA$46)</f>
        <v>69197.310000000041</v>
      </c>
      <c r="AB53" s="19">
        <f>SUMIFS(Sales_Export_2019_2020__2[[profit]:[profit]],Sales_Export_2019_2020__2[[sales_rep]:[sales_rep]],$Y53,Sales_Export_2019_2020__2[[category]:[category]],AB$46)</f>
        <v>43519.240000000005</v>
      </c>
      <c r="AC53" s="19">
        <f>SUMIFS(Sales_Export_2019_2020__2[[profit]:[profit]],Sales_Export_2019_2020__2[[sales_rep]:[sales_rep]],$Y53,Sales_Export_2019_2020__2[[category]:[category]],AC$46)</f>
        <v>78690.81</v>
      </c>
      <c r="AD53" s="19">
        <f>SUMIFS(Sales_Export_2019_2020__2[[profit]:[profit]],Sales_Export_2019_2020__2[[sales_rep]:[sales_rep]],$Y53,Sales_Export_2019_2020__2[[category]:[category]],AD$46)</f>
        <v>0</v>
      </c>
      <c r="AE53" s="19">
        <f>SUMIFS(Sales_Export_2019_2020__2[[profit]:[profit]],Sales_Export_2019_2020__2[[sales_rep]:[sales_rep]],$Y53,Sales_Export_2019_2020__2[[category]:[category]],AE$46)</f>
        <v>18562.479999999996</v>
      </c>
      <c r="AF53" s="19">
        <f>SUMIFS(Sales_Export_2019_2020__2[[profit]:[profit]],Sales_Export_2019_2020__2[[sales_rep]:[sales_rep]],$Y53,Sales_Export_2019_2020__2[[category]:[category]],AF$46)</f>
        <v>83150.590000000011</v>
      </c>
      <c r="AG53" s="19">
        <f>SUMIFS(Sales_Export_2019_2020__2[[profit]:[profit]],Sales_Export_2019_2020__2[[sales_rep]:[sales_rep]],$Y53,Sales_Export_2019_2020__2[[category]:[category]],AG$46)</f>
        <v>0</v>
      </c>
      <c r="AH53" s="19">
        <f>SUMIFS(Sales_Export_2019_2020__2[[profit]:[profit]],Sales_Export_2019_2020__2[[sales_rep]:[sales_rep]],$Y53,Sales_Export_2019_2020__2[[category]:[category]],AH$46)</f>
        <v>0</v>
      </c>
      <c r="AI53" s="19">
        <f>SUMIFS(Sales_Export_2019_2020__2[[profit]:[profit]],Sales_Export_2019_2020__2[[sales_rep]:[sales_rep]],$Y53,Sales_Export_2019_2020__2[[category]:[category]],AI$46)</f>
        <v>21728.679999999993</v>
      </c>
    </row>
    <row r="54" spans="2:35" x14ac:dyDescent="0.35">
      <c r="B54" s="4" t="s">
        <v>217</v>
      </c>
      <c r="C54" s="14">
        <v>19414.931249999983</v>
      </c>
      <c r="D54">
        <v>24</v>
      </c>
      <c r="F54">
        <v>5</v>
      </c>
      <c r="G54" s="14">
        <v>9952.4080000000013</v>
      </c>
      <c r="I54" s="4" t="s">
        <v>62</v>
      </c>
      <c r="J54" s="14">
        <v>21135.250200000013</v>
      </c>
      <c r="K54">
        <v>24</v>
      </c>
      <c r="L54" s="4" t="s">
        <v>37</v>
      </c>
      <c r="N54">
        <v>1</v>
      </c>
      <c r="O54">
        <v>1</v>
      </c>
      <c r="R54">
        <v>4</v>
      </c>
      <c r="S54">
        <v>2</v>
      </c>
      <c r="U54">
        <v>1</v>
      </c>
      <c r="W54">
        <v>9</v>
      </c>
      <c r="Y54" s="4" t="s">
        <v>37</v>
      </c>
      <c r="Z54" s="19">
        <f>SUMIFS(Sales_Export_2019_2020__2[[profit]:[profit]],Sales_Export_2019_2020__2[[sales_rep]:[sales_rep]],$Y54,Sales_Export_2019_2020__2[[category]:[category]],Z$46)</f>
        <v>0</v>
      </c>
      <c r="AA54" s="19">
        <f>SUMIFS(Sales_Export_2019_2020__2[[profit]:[profit]],Sales_Export_2019_2020__2[[sales_rep]:[sales_rep]],$Y54,Sales_Export_2019_2020__2[[category]:[category]],AA$46)</f>
        <v>30977.78</v>
      </c>
      <c r="AB54" s="19">
        <f>SUMIFS(Sales_Export_2019_2020__2[[profit]:[profit]],Sales_Export_2019_2020__2[[sales_rep]:[sales_rep]],$Y54,Sales_Export_2019_2020__2[[category]:[category]],AB$46)</f>
        <v>11533.959999999992</v>
      </c>
      <c r="AC54" s="19">
        <f>SUMIFS(Sales_Export_2019_2020__2[[profit]:[profit]],Sales_Export_2019_2020__2[[sales_rep]:[sales_rep]],$Y54,Sales_Export_2019_2020__2[[category]:[category]],AC$46)</f>
        <v>0</v>
      </c>
      <c r="AD54" s="19">
        <f>SUMIFS(Sales_Export_2019_2020__2[[profit]:[profit]],Sales_Export_2019_2020__2[[sales_rep]:[sales_rep]],$Y54,Sales_Export_2019_2020__2[[category]:[category]],AD$46)</f>
        <v>0</v>
      </c>
      <c r="AE54" s="19">
        <f>SUMIFS(Sales_Export_2019_2020__2[[profit]:[profit]],Sales_Export_2019_2020__2[[sales_rep]:[sales_rep]],$Y54,Sales_Export_2019_2020__2[[category]:[category]],AE$46)</f>
        <v>61937.759999999995</v>
      </c>
      <c r="AF54" s="19">
        <f>SUMIFS(Sales_Export_2019_2020__2[[profit]:[profit]],Sales_Export_2019_2020__2[[sales_rep]:[sales_rep]],$Y54,Sales_Export_2019_2020__2[[category]:[category]],AF$46)</f>
        <v>54391.990000000005</v>
      </c>
      <c r="AG54" s="19">
        <f>SUMIFS(Sales_Export_2019_2020__2[[profit]:[profit]],Sales_Export_2019_2020__2[[sales_rep]:[sales_rep]],$Y54,Sales_Export_2019_2020__2[[category]:[category]],AG$46)</f>
        <v>0</v>
      </c>
      <c r="AH54" s="19">
        <f>SUMIFS(Sales_Export_2019_2020__2[[profit]:[profit]],Sales_Export_2019_2020__2[[sales_rep]:[sales_rep]],$Y54,Sales_Export_2019_2020__2[[category]:[category]],AH$46)</f>
        <v>14309.840000000004</v>
      </c>
      <c r="AI54" s="19">
        <f>SUMIFS(Sales_Export_2019_2020__2[[profit]:[profit]],Sales_Export_2019_2020__2[[sales_rep]:[sales_rep]],$Y54,Sales_Export_2019_2020__2[[category]:[category]],AI$46)</f>
        <v>0</v>
      </c>
    </row>
    <row r="55" spans="2:35" x14ac:dyDescent="0.35">
      <c r="B55" s="4" t="s">
        <v>701</v>
      </c>
      <c r="C55" s="14">
        <v>9952.4080000000013</v>
      </c>
      <c r="D55">
        <v>5</v>
      </c>
      <c r="F55">
        <v>6</v>
      </c>
      <c r="G55" s="14">
        <v>15738.879999999996</v>
      </c>
      <c r="I55" s="4" t="s">
        <v>60</v>
      </c>
      <c r="J55" s="14">
        <v>19164.712210526319</v>
      </c>
      <c r="K55">
        <v>5</v>
      </c>
      <c r="L55" s="4" t="s">
        <v>219</v>
      </c>
      <c r="M55">
        <v>2</v>
      </c>
      <c r="N55">
        <v>5</v>
      </c>
      <c r="O55">
        <v>5</v>
      </c>
      <c r="P55">
        <v>3</v>
      </c>
      <c r="Q55">
        <v>6</v>
      </c>
      <c r="R55">
        <v>6</v>
      </c>
      <c r="S55">
        <v>8</v>
      </c>
      <c r="T55">
        <v>1</v>
      </c>
      <c r="U55">
        <v>2</v>
      </c>
      <c r="V55">
        <v>3</v>
      </c>
      <c r="W55">
        <v>41</v>
      </c>
      <c r="Y55" s="4" t="s">
        <v>219</v>
      </c>
      <c r="Z55" s="19">
        <f>SUMIFS(Sales_Export_2019_2020__2[[profit]:[profit]],Sales_Export_2019_2020__2[[sales_rep]:[sales_rep]],$Y55,Sales_Export_2019_2020__2[[category]:[category]],Z$46)</f>
        <v>54416.839999999982</v>
      </c>
      <c r="AA55" s="19">
        <f>SUMIFS(Sales_Export_2019_2020__2[[profit]:[profit]],Sales_Export_2019_2020__2[[sales_rep]:[sales_rep]],$Y55,Sales_Export_2019_2020__2[[category]:[category]],AA$46)</f>
        <v>101376.35</v>
      </c>
      <c r="AB55" s="19">
        <f>SUMIFS(Sales_Export_2019_2020__2[[profit]:[profit]],Sales_Export_2019_2020__2[[sales_rep]:[sales_rep]],$Y55,Sales_Export_2019_2020__2[[category]:[category]],AB$46)</f>
        <v>86783.849999999977</v>
      </c>
      <c r="AC55" s="19">
        <f>SUMIFS(Sales_Export_2019_2020__2[[profit]:[profit]],Sales_Export_2019_2020__2[[sales_rep]:[sales_rep]],$Y55,Sales_Export_2019_2020__2[[category]:[category]],AC$46)</f>
        <v>53960.660000000018</v>
      </c>
      <c r="AD55" s="19">
        <f>SUMIFS(Sales_Export_2019_2020__2[[profit]:[profit]],Sales_Export_2019_2020__2[[sales_rep]:[sales_rep]],$Y55,Sales_Export_2019_2020__2[[category]:[category]],AD$46)</f>
        <v>110373.04</v>
      </c>
      <c r="AE55" s="19">
        <f>SUMIFS(Sales_Export_2019_2020__2[[profit]:[profit]],Sales_Export_2019_2020__2[[sales_rep]:[sales_rep]],$Y55,Sales_Export_2019_2020__2[[category]:[category]],AE$46)</f>
        <v>79746.699999999968</v>
      </c>
      <c r="AF55" s="19">
        <f>SUMIFS(Sales_Export_2019_2020__2[[profit]:[profit]],Sales_Export_2019_2020__2[[sales_rep]:[sales_rep]],$Y55,Sales_Export_2019_2020__2[[category]:[category]],AF$46)</f>
        <v>168458.82</v>
      </c>
      <c r="AG55" s="19">
        <f>SUMIFS(Sales_Export_2019_2020__2[[profit]:[profit]],Sales_Export_2019_2020__2[[sales_rep]:[sales_rep]],$Y55,Sales_Export_2019_2020__2[[category]:[category]],AG$46)</f>
        <v>51020.880000000005</v>
      </c>
      <c r="AH55" s="19">
        <f>SUMIFS(Sales_Export_2019_2020__2[[profit]:[profit]],Sales_Export_2019_2020__2[[sales_rep]:[sales_rep]],$Y55,Sales_Export_2019_2020__2[[category]:[category]],AH$46)</f>
        <v>41502.640000000014</v>
      </c>
      <c r="AI55" s="19">
        <f>SUMIFS(Sales_Export_2019_2020__2[[profit]:[profit]],Sales_Export_2019_2020__2[[sales_rep]:[sales_rep]],$Y55,Sales_Export_2019_2020__2[[category]:[category]],AI$46)</f>
        <v>55658.140000000007</v>
      </c>
    </row>
    <row r="56" spans="2:35" x14ac:dyDescent="0.35">
      <c r="B56" s="4" t="s">
        <v>99</v>
      </c>
      <c r="C56" s="14">
        <v>15738.879999999996</v>
      </c>
      <c r="D56">
        <v>6</v>
      </c>
      <c r="F56">
        <v>53</v>
      </c>
      <c r="G56" s="14">
        <v>22405.310000000012</v>
      </c>
      <c r="I56" s="4" t="s">
        <v>1164</v>
      </c>
      <c r="J56" s="14">
        <v>18992.42772</v>
      </c>
      <c r="K56">
        <v>6</v>
      </c>
      <c r="L56" s="4" t="s">
        <v>176</v>
      </c>
      <c r="N56">
        <v>1</v>
      </c>
      <c r="O56">
        <v>4</v>
      </c>
      <c r="P56">
        <v>2</v>
      </c>
      <c r="Q56">
        <v>4</v>
      </c>
      <c r="R56">
        <v>3</v>
      </c>
      <c r="S56">
        <v>3</v>
      </c>
      <c r="T56">
        <v>1</v>
      </c>
      <c r="U56">
        <v>3</v>
      </c>
      <c r="V56">
        <v>2</v>
      </c>
      <c r="W56">
        <v>23</v>
      </c>
      <c r="Y56" s="4" t="s">
        <v>176</v>
      </c>
      <c r="Z56" s="19">
        <f>SUMIFS(Sales_Export_2019_2020__2[[profit]:[profit]],Sales_Export_2019_2020__2[[sales_rep]:[sales_rep]],$Y56,Sales_Export_2019_2020__2[[category]:[category]],Z$46)</f>
        <v>0</v>
      </c>
      <c r="AA56" s="19">
        <f>SUMIFS(Sales_Export_2019_2020__2[[profit]:[profit]],Sales_Export_2019_2020__2[[sales_rep]:[sales_rep]],$Y56,Sales_Export_2019_2020__2[[category]:[category]],AA$46)</f>
        <v>16297.25</v>
      </c>
      <c r="AB56" s="19">
        <f>SUMIFS(Sales_Export_2019_2020__2[[profit]:[profit]],Sales_Export_2019_2020__2[[sales_rep]:[sales_rep]],$Y56,Sales_Export_2019_2020__2[[category]:[category]],AB$46)</f>
        <v>71708.549999999988</v>
      </c>
      <c r="AC56" s="19">
        <f>SUMIFS(Sales_Export_2019_2020__2[[profit]:[profit]],Sales_Export_2019_2020__2[[sales_rep]:[sales_rep]],$Y56,Sales_Export_2019_2020__2[[category]:[category]],AC$46)</f>
        <v>105648.98999999999</v>
      </c>
      <c r="AD56" s="19">
        <f>SUMIFS(Sales_Export_2019_2020__2[[profit]:[profit]],Sales_Export_2019_2020__2[[sales_rep]:[sales_rep]],$Y56,Sales_Export_2019_2020__2[[category]:[category]],AD$46)</f>
        <v>56489.869999999966</v>
      </c>
      <c r="AE56" s="19">
        <f>SUMIFS(Sales_Export_2019_2020__2[[profit]:[profit]],Sales_Export_2019_2020__2[[sales_rep]:[sales_rep]],$Y56,Sales_Export_2019_2020__2[[category]:[category]],AE$46)</f>
        <v>85771.86000000003</v>
      </c>
      <c r="AF56" s="19">
        <f>SUMIFS(Sales_Export_2019_2020__2[[profit]:[profit]],Sales_Export_2019_2020__2[[sales_rep]:[sales_rep]],$Y56,Sales_Export_2019_2020__2[[category]:[category]],AF$46)</f>
        <v>39628.74</v>
      </c>
      <c r="AG56" s="19">
        <f>SUMIFS(Sales_Export_2019_2020__2[[profit]:[profit]],Sales_Export_2019_2020__2[[sales_rep]:[sales_rep]],$Y56,Sales_Export_2019_2020__2[[category]:[category]],AG$46)</f>
        <v>6730.8000000000029</v>
      </c>
      <c r="AH56" s="19">
        <f>SUMIFS(Sales_Export_2019_2020__2[[profit]:[profit]],Sales_Export_2019_2020__2[[sales_rep]:[sales_rep]],$Y56,Sales_Export_2019_2020__2[[category]:[category]],AH$46)</f>
        <v>40578.44</v>
      </c>
      <c r="AI56" s="19">
        <f>SUMIFS(Sales_Export_2019_2020__2[[profit]:[profit]],Sales_Export_2019_2020__2[[sales_rep]:[sales_rep]],$Y56,Sales_Export_2019_2020__2[[category]:[category]],AI$46)</f>
        <v>49324.249999999985</v>
      </c>
    </row>
    <row r="57" spans="2:35" x14ac:dyDescent="0.35">
      <c r="B57" s="4" t="s">
        <v>76</v>
      </c>
      <c r="C57" s="14">
        <v>22405.310000000012</v>
      </c>
      <c r="D57">
        <v>53</v>
      </c>
      <c r="F57">
        <v>47</v>
      </c>
      <c r="G57" s="14">
        <v>17871.527659574465</v>
      </c>
      <c r="K57">
        <v>53</v>
      </c>
      <c r="L57" s="4" t="s">
        <v>118</v>
      </c>
      <c r="N57">
        <v>1</v>
      </c>
      <c r="O57">
        <v>6</v>
      </c>
      <c r="P57">
        <v>1</v>
      </c>
      <c r="Q57">
        <v>6</v>
      </c>
      <c r="R57">
        <v>5</v>
      </c>
      <c r="S57">
        <v>3</v>
      </c>
      <c r="T57">
        <v>1</v>
      </c>
      <c r="U57">
        <v>1</v>
      </c>
      <c r="V57">
        <v>5</v>
      </c>
      <c r="W57">
        <v>29</v>
      </c>
      <c r="Y57" s="4" t="s">
        <v>118</v>
      </c>
      <c r="Z57" s="19">
        <f>SUMIFS(Sales_Export_2019_2020__2[[profit]:[profit]],Sales_Export_2019_2020__2[[sales_rep]:[sales_rep]],$Y57,Sales_Export_2019_2020__2[[category]:[category]],Z$46)</f>
        <v>0</v>
      </c>
      <c r="AA57" s="19">
        <f>SUMIFS(Sales_Export_2019_2020__2[[profit]:[profit]],Sales_Export_2019_2020__2[[sales_rep]:[sales_rep]],$Y57,Sales_Export_2019_2020__2[[category]:[category]],AA$46)</f>
        <v>17741.809999999998</v>
      </c>
      <c r="AB57" s="19">
        <f>SUMIFS(Sales_Export_2019_2020__2[[profit]:[profit]],Sales_Export_2019_2020__2[[sales_rep]:[sales_rep]],$Y57,Sales_Export_2019_2020__2[[category]:[category]],AB$46)</f>
        <v>83212.010000000009</v>
      </c>
      <c r="AC57" s="19">
        <f>SUMIFS(Sales_Export_2019_2020__2[[profit]:[profit]],Sales_Export_2019_2020__2[[sales_rep]:[sales_rep]],$Y57,Sales_Export_2019_2020__2[[category]:[category]],AC$46)</f>
        <v>15352.290000000008</v>
      </c>
      <c r="AD57" s="19">
        <f>SUMIFS(Sales_Export_2019_2020__2[[profit]:[profit]],Sales_Export_2019_2020__2[[sales_rep]:[sales_rep]],$Y57,Sales_Export_2019_2020__2[[category]:[category]],AD$46)</f>
        <v>97191.1</v>
      </c>
      <c r="AE57" s="19">
        <f>SUMIFS(Sales_Export_2019_2020__2[[profit]:[profit]],Sales_Export_2019_2020__2[[sales_rep]:[sales_rep]],$Y57,Sales_Export_2019_2020__2[[category]:[category]],AE$46)</f>
        <v>76769.080000000016</v>
      </c>
      <c r="AF57" s="19">
        <f>SUMIFS(Sales_Export_2019_2020__2[[profit]:[profit]],Sales_Export_2019_2020__2[[sales_rep]:[sales_rep]],$Y57,Sales_Export_2019_2020__2[[category]:[category]],AF$46)</f>
        <v>98448.039999999979</v>
      </c>
      <c r="AG57" s="19">
        <f>SUMIFS(Sales_Export_2019_2020__2[[profit]:[profit]],Sales_Export_2019_2020__2[[sales_rep]:[sales_rep]],$Y57,Sales_Export_2019_2020__2[[category]:[category]],AG$46)</f>
        <v>4332.880000000001</v>
      </c>
      <c r="AH57" s="19">
        <f>SUMIFS(Sales_Export_2019_2020__2[[profit]:[profit]],Sales_Export_2019_2020__2[[sales_rep]:[sales_rep]],$Y57,Sales_Export_2019_2020__2[[category]:[category]],AH$46)</f>
        <v>21278.949999999997</v>
      </c>
      <c r="AI57" s="19">
        <f>SUMIFS(Sales_Export_2019_2020__2[[profit]:[profit]],Sales_Export_2019_2020__2[[sales_rep]:[sales_rep]],$Y57,Sales_Export_2019_2020__2[[category]:[category]],AI$46)</f>
        <v>62321.720000000016</v>
      </c>
    </row>
    <row r="58" spans="2:35" x14ac:dyDescent="0.35">
      <c r="B58" s="4" t="s">
        <v>128</v>
      </c>
      <c r="C58" s="14">
        <v>17871.527659574465</v>
      </c>
      <c r="D58">
        <v>47</v>
      </c>
      <c r="F58">
        <v>37</v>
      </c>
      <c r="G58" s="14">
        <v>19501.181351351337</v>
      </c>
      <c r="I58" s="3" t="s">
        <v>1267</v>
      </c>
      <c r="J58" t="s">
        <v>1166</v>
      </c>
      <c r="K58">
        <v>47</v>
      </c>
      <c r="L58" s="78" t="s">
        <v>348</v>
      </c>
      <c r="N58">
        <v>1</v>
      </c>
      <c r="P58">
        <v>1</v>
      </c>
      <c r="Q58">
        <v>2</v>
      </c>
      <c r="R58">
        <v>1</v>
      </c>
      <c r="V58">
        <v>1</v>
      </c>
      <c r="W58">
        <v>6</v>
      </c>
      <c r="Y58" s="78" t="s">
        <v>348</v>
      </c>
      <c r="Z58" s="19">
        <f>SUMIFS(Sales_Export_2019_2020__2[[profit]:[profit]],Sales_Export_2019_2020__2[[sales_rep]:[sales_rep]],$Y58,Sales_Export_2019_2020__2[[category]:[category]],Z$46)</f>
        <v>0</v>
      </c>
      <c r="AA58" s="19">
        <f>SUMIFS(Sales_Export_2019_2020__2[[profit]:[profit]],Sales_Export_2019_2020__2[[sales_rep]:[sales_rep]],$Y58,Sales_Export_2019_2020__2[[category]:[category]],AA$46)</f>
        <v>4145.619999999999</v>
      </c>
      <c r="AB58" s="19">
        <f>SUMIFS(Sales_Export_2019_2020__2[[profit]:[profit]],Sales_Export_2019_2020__2[[sales_rep]:[sales_rep]],$Y58,Sales_Export_2019_2020__2[[category]:[category]],AB$46)</f>
        <v>0</v>
      </c>
      <c r="AC58" s="19">
        <f>SUMIFS(Sales_Export_2019_2020__2[[profit]:[profit]],Sales_Export_2019_2020__2[[sales_rep]:[sales_rep]],$Y58,Sales_Export_2019_2020__2[[category]:[category]],AC$46)</f>
        <v>4226.8600000000006</v>
      </c>
      <c r="AD58" s="19">
        <f>SUMIFS(Sales_Export_2019_2020__2[[profit]:[profit]],Sales_Export_2019_2020__2[[sales_rep]:[sales_rep]],$Y58,Sales_Export_2019_2020__2[[category]:[category]],AD$46)</f>
        <v>20563.760000000002</v>
      </c>
      <c r="AE58" s="19">
        <f>SUMIFS(Sales_Export_2019_2020__2[[profit]:[profit]],Sales_Export_2019_2020__2[[sales_rep]:[sales_rep]],$Y58,Sales_Export_2019_2020__2[[category]:[category]],AE$46)</f>
        <v>13120.21</v>
      </c>
      <c r="AF58" s="19">
        <f>SUMIFS(Sales_Export_2019_2020__2[[profit]:[profit]],Sales_Export_2019_2020__2[[sales_rep]:[sales_rep]],$Y58,Sales_Export_2019_2020__2[[category]:[category]],AF$46)</f>
        <v>0</v>
      </c>
      <c r="AG58" s="19">
        <f>SUMIFS(Sales_Export_2019_2020__2[[profit]:[profit]],Sales_Export_2019_2020__2[[sales_rep]:[sales_rep]],$Y58,Sales_Export_2019_2020__2[[category]:[category]],AG$46)</f>
        <v>0</v>
      </c>
      <c r="AH58" s="19">
        <f>SUMIFS(Sales_Export_2019_2020__2[[profit]:[profit]],Sales_Export_2019_2020__2[[sales_rep]:[sales_rep]],$Y58,Sales_Export_2019_2020__2[[category]:[category]],AH$46)</f>
        <v>0</v>
      </c>
      <c r="AI58" s="19">
        <f>SUMIFS(Sales_Export_2019_2020__2[[profit]:[profit]],Sales_Export_2019_2020__2[[sales_rep]:[sales_rep]],$Y58,Sales_Export_2019_2020__2[[category]:[category]],AI$46)</f>
        <v>41534.209999999992</v>
      </c>
    </row>
    <row r="59" spans="2:35" x14ac:dyDescent="0.35">
      <c r="B59" s="4" t="s">
        <v>66</v>
      </c>
      <c r="C59" s="14">
        <v>19501.181351351337</v>
      </c>
      <c r="D59">
        <v>37</v>
      </c>
      <c r="F59">
        <v>52</v>
      </c>
      <c r="G59" s="14">
        <v>19603.876153846148</v>
      </c>
      <c r="I59" s="4" t="s">
        <v>46</v>
      </c>
      <c r="J59">
        <v>35</v>
      </c>
      <c r="K59">
        <v>37</v>
      </c>
      <c r="L59" s="4" t="s">
        <v>217</v>
      </c>
      <c r="M59">
        <v>4</v>
      </c>
      <c r="N59">
        <v>5</v>
      </c>
      <c r="O59">
        <v>1</v>
      </c>
      <c r="P59">
        <v>1</v>
      </c>
      <c r="Q59">
        <v>3</v>
      </c>
      <c r="R59">
        <v>6</v>
      </c>
      <c r="S59">
        <v>2</v>
      </c>
      <c r="U59">
        <v>1</v>
      </c>
      <c r="V59">
        <v>1</v>
      </c>
      <c r="W59">
        <v>24</v>
      </c>
      <c r="Y59" s="4" t="s">
        <v>217</v>
      </c>
      <c r="Z59" s="19">
        <f>SUMIFS(Sales_Export_2019_2020__2[[profit]:[profit]],Sales_Export_2019_2020__2[[sales_rep]:[sales_rep]],$Y59,Sales_Export_2019_2020__2[[category]:[category]],Z$46)</f>
        <v>56722.2</v>
      </c>
      <c r="AA59" s="19">
        <f>SUMIFS(Sales_Export_2019_2020__2[[profit]:[profit]],Sales_Export_2019_2020__2[[sales_rep]:[sales_rep]],$Y59,Sales_Export_2019_2020__2[[category]:[category]],AA$46)</f>
        <v>130631.58000000003</v>
      </c>
      <c r="AB59" s="19">
        <f>SUMIFS(Sales_Export_2019_2020__2[[profit]:[profit]],Sales_Export_2019_2020__2[[sales_rep]:[sales_rep]],$Y59,Sales_Export_2019_2020__2[[category]:[category]],AB$46)</f>
        <v>35330.22</v>
      </c>
      <c r="AC59" s="19">
        <f>SUMIFS(Sales_Export_2019_2020__2[[profit]:[profit]],Sales_Export_2019_2020__2[[sales_rep]:[sales_rep]],$Y59,Sales_Export_2019_2020__2[[category]:[category]],AC$46)</f>
        <v>11323.550000000003</v>
      </c>
      <c r="AD59" s="19">
        <f>SUMIFS(Sales_Export_2019_2020__2[[profit]:[profit]],Sales_Export_2019_2020__2[[sales_rep]:[sales_rep]],$Y59,Sales_Export_2019_2020__2[[category]:[category]],AD$46)</f>
        <v>50115.469999999994</v>
      </c>
      <c r="AE59" s="19">
        <f>SUMIFS(Sales_Export_2019_2020__2[[profit]:[profit]],Sales_Export_2019_2020__2[[sales_rep]:[sales_rep]],$Y59,Sales_Export_2019_2020__2[[category]:[category]],AE$46)</f>
        <v>96790.459999999992</v>
      </c>
      <c r="AF59" s="19">
        <f>SUMIFS(Sales_Export_2019_2020__2[[profit]:[profit]],Sales_Export_2019_2020__2[[sales_rep]:[sales_rep]],$Y59,Sales_Export_2019_2020__2[[category]:[category]],AF$46)</f>
        <v>60072.179999999993</v>
      </c>
      <c r="AG59" s="19">
        <f>SUMIFS(Sales_Export_2019_2020__2[[profit]:[profit]],Sales_Export_2019_2020__2[[sales_rep]:[sales_rep]],$Y59,Sales_Export_2019_2020__2[[category]:[category]],AG$46)</f>
        <v>0</v>
      </c>
      <c r="AH59" s="19">
        <f>SUMIFS(Sales_Export_2019_2020__2[[profit]:[profit]],Sales_Export_2019_2020__2[[sales_rep]:[sales_rep]],$Y59,Sales_Export_2019_2020__2[[category]:[category]],AH$46)</f>
        <v>9534.9799999999959</v>
      </c>
      <c r="AI59" s="19">
        <f>SUMIFS(Sales_Export_2019_2020__2[[profit]:[profit]],Sales_Export_2019_2020__2[[sales_rep]:[sales_rep]],$Y59,Sales_Export_2019_2020__2[[category]:[category]],AI$46)</f>
        <v>15437.709999999992</v>
      </c>
    </row>
    <row r="60" spans="2:35" x14ac:dyDescent="0.35">
      <c r="B60" s="4" t="s">
        <v>90</v>
      </c>
      <c r="C60" s="14">
        <v>19603.876153846148</v>
      </c>
      <c r="D60">
        <v>52</v>
      </c>
      <c r="F60">
        <v>26</v>
      </c>
      <c r="G60" s="14">
        <v>19592.158846153859</v>
      </c>
      <c r="I60" s="4" t="s">
        <v>51</v>
      </c>
      <c r="J60">
        <v>131</v>
      </c>
      <c r="K60">
        <v>52</v>
      </c>
      <c r="L60" s="78" t="s">
        <v>701</v>
      </c>
      <c r="N60">
        <v>1</v>
      </c>
      <c r="P60">
        <v>3</v>
      </c>
      <c r="S60">
        <v>1</v>
      </c>
      <c r="W60">
        <v>5</v>
      </c>
      <c r="Y60" s="78" t="s">
        <v>701</v>
      </c>
      <c r="Z60" s="19">
        <f>SUMIFS(Sales_Export_2019_2020__2[[profit]:[profit]],Sales_Export_2019_2020__2[[sales_rep]:[sales_rep]],$Y60,Sales_Export_2019_2020__2[[category]:[category]],Z$46)</f>
        <v>0</v>
      </c>
      <c r="AA60" s="19">
        <f>SUMIFS(Sales_Export_2019_2020__2[[profit]:[profit]],Sales_Export_2019_2020__2[[sales_rep]:[sales_rep]],$Y60,Sales_Export_2019_2020__2[[category]:[category]],AA$46)</f>
        <v>8974.8499999999985</v>
      </c>
      <c r="AB60" s="19">
        <f>SUMIFS(Sales_Export_2019_2020__2[[profit]:[profit]],Sales_Export_2019_2020__2[[sales_rep]:[sales_rep]],$Y60,Sales_Export_2019_2020__2[[category]:[category]],AB$46)</f>
        <v>0</v>
      </c>
      <c r="AC60" s="19">
        <f>SUMIFS(Sales_Export_2019_2020__2[[profit]:[profit]],Sales_Export_2019_2020__2[[sales_rep]:[sales_rep]],$Y60,Sales_Export_2019_2020__2[[category]:[category]],AC$46)</f>
        <v>33208.669999999991</v>
      </c>
      <c r="AD60" s="19">
        <f>SUMIFS(Sales_Export_2019_2020__2[[profit]:[profit]],Sales_Export_2019_2020__2[[sales_rep]:[sales_rep]],$Y60,Sales_Export_2019_2020__2[[category]:[category]],AD$46)</f>
        <v>0</v>
      </c>
      <c r="AE60" s="19">
        <f>SUMIFS(Sales_Export_2019_2020__2[[profit]:[profit]],Sales_Export_2019_2020__2[[sales_rep]:[sales_rep]],$Y60,Sales_Export_2019_2020__2[[category]:[category]],AE$46)</f>
        <v>0</v>
      </c>
      <c r="AF60" s="19">
        <f>SUMIFS(Sales_Export_2019_2020__2[[profit]:[profit]],Sales_Export_2019_2020__2[[sales_rep]:[sales_rep]],$Y60,Sales_Export_2019_2020__2[[category]:[category]],AF$46)</f>
        <v>7578.52</v>
      </c>
      <c r="AG60" s="19">
        <f>SUMIFS(Sales_Export_2019_2020__2[[profit]:[profit]],Sales_Export_2019_2020__2[[sales_rep]:[sales_rep]],$Y60,Sales_Export_2019_2020__2[[category]:[category]],AG$46)</f>
        <v>0</v>
      </c>
      <c r="AH60" s="19">
        <f>SUMIFS(Sales_Export_2019_2020__2[[profit]:[profit]],Sales_Export_2019_2020__2[[sales_rep]:[sales_rep]],$Y60,Sales_Export_2019_2020__2[[category]:[category]],AH$46)</f>
        <v>0</v>
      </c>
      <c r="AI60" s="19">
        <f>SUMIFS(Sales_Export_2019_2020__2[[profit]:[profit]],Sales_Export_2019_2020__2[[sales_rep]:[sales_rep]],$Y60,Sales_Export_2019_2020__2[[category]:[category]],AI$46)</f>
        <v>0</v>
      </c>
    </row>
    <row r="61" spans="2:35" x14ac:dyDescent="0.35">
      <c r="B61" s="4" t="s">
        <v>74</v>
      </c>
      <c r="C61" s="14">
        <v>19592.158846153859</v>
      </c>
      <c r="D61">
        <v>26</v>
      </c>
      <c r="F61">
        <v>22</v>
      </c>
      <c r="G61" s="14">
        <v>21934.839090909089</v>
      </c>
      <c r="I61" s="4" t="s">
        <v>30</v>
      </c>
      <c r="J61">
        <v>115</v>
      </c>
      <c r="K61">
        <v>26</v>
      </c>
      <c r="L61" s="4" t="s">
        <v>99</v>
      </c>
      <c r="M61">
        <v>1</v>
      </c>
      <c r="N61">
        <v>2</v>
      </c>
      <c r="Q61">
        <v>1</v>
      </c>
      <c r="S61">
        <v>1</v>
      </c>
      <c r="V61">
        <v>1</v>
      </c>
      <c r="W61">
        <v>6</v>
      </c>
      <c r="Y61" s="4" t="s">
        <v>99</v>
      </c>
      <c r="Z61" s="19">
        <f>SUMIFS(Sales_Export_2019_2020__2[[profit]:[profit]],Sales_Export_2019_2020__2[[sales_rep]:[sales_rep]],$Y61,Sales_Export_2019_2020__2[[category]:[category]],Z$46)</f>
        <v>5747.239999999998</v>
      </c>
      <c r="AA61" s="19">
        <f>SUMIFS(Sales_Export_2019_2020__2[[profit]:[profit]],Sales_Export_2019_2020__2[[sales_rep]:[sales_rep]],$Y61,Sales_Export_2019_2020__2[[category]:[category]],AA$46)</f>
        <v>30381.37999999999</v>
      </c>
      <c r="AB61" s="19">
        <f>SUMIFS(Sales_Export_2019_2020__2[[profit]:[profit]],Sales_Export_2019_2020__2[[sales_rep]:[sales_rep]],$Y61,Sales_Export_2019_2020__2[[category]:[category]],AB$46)</f>
        <v>0</v>
      </c>
      <c r="AC61" s="19">
        <f>SUMIFS(Sales_Export_2019_2020__2[[profit]:[profit]],Sales_Export_2019_2020__2[[sales_rep]:[sales_rep]],$Y61,Sales_Export_2019_2020__2[[category]:[category]],AC$46)</f>
        <v>0</v>
      </c>
      <c r="AD61" s="19">
        <f>SUMIFS(Sales_Export_2019_2020__2[[profit]:[profit]],Sales_Export_2019_2020__2[[sales_rep]:[sales_rep]],$Y61,Sales_Export_2019_2020__2[[category]:[category]],AD$46)</f>
        <v>14566.330000000002</v>
      </c>
      <c r="AE61" s="19">
        <f>SUMIFS(Sales_Export_2019_2020__2[[profit]:[profit]],Sales_Export_2019_2020__2[[sales_rep]:[sales_rep]],$Y61,Sales_Export_2019_2020__2[[category]:[category]],AE$46)</f>
        <v>0</v>
      </c>
      <c r="AF61" s="19">
        <f>SUMIFS(Sales_Export_2019_2020__2[[profit]:[profit]],Sales_Export_2019_2020__2[[sales_rep]:[sales_rep]],$Y61,Sales_Export_2019_2020__2[[category]:[category]],AF$46)</f>
        <v>23891.710000000006</v>
      </c>
      <c r="AG61" s="19">
        <f>SUMIFS(Sales_Export_2019_2020__2[[profit]:[profit]],Sales_Export_2019_2020__2[[sales_rep]:[sales_rep]],$Y61,Sales_Export_2019_2020__2[[category]:[category]],AG$46)</f>
        <v>0</v>
      </c>
      <c r="AH61" s="19">
        <f>SUMIFS(Sales_Export_2019_2020__2[[profit]:[profit]],Sales_Export_2019_2020__2[[sales_rep]:[sales_rep]],$Y61,Sales_Export_2019_2020__2[[category]:[category]],AH$46)</f>
        <v>0</v>
      </c>
      <c r="AI61" s="19">
        <f>SUMIFS(Sales_Export_2019_2020__2[[profit]:[profit]],Sales_Export_2019_2020__2[[sales_rep]:[sales_rep]],$Y61,Sales_Export_2019_2020__2[[category]:[category]],AI$46)</f>
        <v>19846.619999999995</v>
      </c>
    </row>
    <row r="62" spans="2:35" x14ac:dyDescent="0.35">
      <c r="B62" s="4" t="s">
        <v>108</v>
      </c>
      <c r="C62" s="14">
        <v>21934.839090909089</v>
      </c>
      <c r="D62">
        <v>22</v>
      </c>
      <c r="F62">
        <v>10</v>
      </c>
      <c r="G62" s="14">
        <v>15545.863000000001</v>
      </c>
      <c r="I62" s="4" t="s">
        <v>11</v>
      </c>
      <c r="J62">
        <v>117</v>
      </c>
      <c r="K62">
        <v>22</v>
      </c>
      <c r="L62" s="4" t="s">
        <v>76</v>
      </c>
      <c r="N62">
        <v>7</v>
      </c>
      <c r="O62">
        <v>7</v>
      </c>
      <c r="P62">
        <v>7</v>
      </c>
      <c r="Q62">
        <v>8</v>
      </c>
      <c r="R62">
        <v>5</v>
      </c>
      <c r="S62">
        <v>9</v>
      </c>
      <c r="T62">
        <v>1</v>
      </c>
      <c r="U62">
        <v>2</v>
      </c>
      <c r="V62">
        <v>7</v>
      </c>
      <c r="W62">
        <v>53</v>
      </c>
      <c r="Y62" s="4" t="s">
        <v>76</v>
      </c>
      <c r="Z62" s="19">
        <f>SUMIFS(Sales_Export_2019_2020__2[[profit]:[profit]],Sales_Export_2019_2020__2[[sales_rep]:[sales_rep]],$Y62,Sales_Export_2019_2020__2[[category]:[category]],Z$46)</f>
        <v>0</v>
      </c>
      <c r="AA62" s="19">
        <f>SUMIFS(Sales_Export_2019_2020__2[[profit]:[profit]],Sales_Export_2019_2020__2[[sales_rep]:[sales_rep]],$Y62,Sales_Export_2019_2020__2[[category]:[category]],AA$46)</f>
        <v>165552.47</v>
      </c>
      <c r="AB62" s="19">
        <f>SUMIFS(Sales_Export_2019_2020__2[[profit]:[profit]],Sales_Export_2019_2020__2[[sales_rep]:[sales_rep]],$Y62,Sales_Export_2019_2020__2[[category]:[category]],AB$46)</f>
        <v>133554.56</v>
      </c>
      <c r="AC62" s="19">
        <f>SUMIFS(Sales_Export_2019_2020__2[[profit]:[profit]],Sales_Export_2019_2020__2[[sales_rep]:[sales_rep]],$Y62,Sales_Export_2019_2020__2[[category]:[category]],AC$46)</f>
        <v>114760.35</v>
      </c>
      <c r="AD62" s="19">
        <f>SUMIFS(Sales_Export_2019_2020__2[[profit]:[profit]],Sales_Export_2019_2020__2[[sales_rep]:[sales_rep]],$Y62,Sales_Export_2019_2020__2[[category]:[category]],AD$46)</f>
        <v>195333.76000000001</v>
      </c>
      <c r="AE62" s="19">
        <f>SUMIFS(Sales_Export_2019_2020__2[[profit]:[profit]],Sales_Export_2019_2020__2[[sales_rep]:[sales_rep]],$Y62,Sales_Export_2019_2020__2[[category]:[category]],AE$46)</f>
        <v>116359.60000000002</v>
      </c>
      <c r="AF62" s="19">
        <f>SUMIFS(Sales_Export_2019_2020__2[[profit]:[profit]],Sales_Export_2019_2020__2[[sales_rep]:[sales_rep]],$Y62,Sales_Export_2019_2020__2[[category]:[category]],AF$46)</f>
        <v>257174.33000000007</v>
      </c>
      <c r="AG62" s="19">
        <f>SUMIFS(Sales_Export_2019_2020__2[[profit]:[profit]],Sales_Export_2019_2020__2[[sales_rep]:[sales_rep]],$Y62,Sales_Export_2019_2020__2[[category]:[category]],AG$46)</f>
        <v>33404.239999999991</v>
      </c>
      <c r="AH62" s="19">
        <f>SUMIFS(Sales_Export_2019_2020__2[[profit]:[profit]],Sales_Export_2019_2020__2[[sales_rep]:[sales_rep]],$Y62,Sales_Export_2019_2020__2[[category]:[category]],AH$46)</f>
        <v>40238.979999999996</v>
      </c>
      <c r="AI62" s="19">
        <f>SUMIFS(Sales_Export_2019_2020__2[[profit]:[profit]],Sales_Export_2019_2020__2[[sales_rep]:[sales_rep]],$Y62,Sales_Export_2019_2020__2[[category]:[category]],AI$46)</f>
        <v>131103.13999999998</v>
      </c>
    </row>
    <row r="63" spans="2:35" x14ac:dyDescent="0.35">
      <c r="B63" s="4" t="s">
        <v>141</v>
      </c>
      <c r="C63" s="14">
        <v>15545.863000000001</v>
      </c>
      <c r="D63">
        <v>10</v>
      </c>
      <c r="F63">
        <v>39</v>
      </c>
      <c r="G63" s="14">
        <v>17026.669743589748</v>
      </c>
      <c r="I63" s="4" t="s">
        <v>24</v>
      </c>
      <c r="J63">
        <v>155</v>
      </c>
      <c r="K63">
        <v>10</v>
      </c>
      <c r="L63" s="4" t="s">
        <v>128</v>
      </c>
      <c r="M63">
        <v>2</v>
      </c>
      <c r="N63">
        <v>9</v>
      </c>
      <c r="O63">
        <v>8</v>
      </c>
      <c r="P63">
        <v>4</v>
      </c>
      <c r="Q63">
        <v>5</v>
      </c>
      <c r="R63">
        <v>5</v>
      </c>
      <c r="S63">
        <v>4</v>
      </c>
      <c r="T63">
        <v>1</v>
      </c>
      <c r="U63">
        <v>2</v>
      </c>
      <c r="V63">
        <v>7</v>
      </c>
      <c r="W63">
        <v>47</v>
      </c>
      <c r="Y63" s="4" t="s">
        <v>128</v>
      </c>
      <c r="Z63" s="19">
        <f>SUMIFS(Sales_Export_2019_2020__2[[profit]:[profit]],Sales_Export_2019_2020__2[[sales_rep]:[sales_rep]],$Y63,Sales_Export_2019_2020__2[[category]:[category]],Z$46)</f>
        <v>31394.670000000006</v>
      </c>
      <c r="AA63" s="19">
        <f>SUMIFS(Sales_Export_2019_2020__2[[profit]:[profit]],Sales_Export_2019_2020__2[[sales_rep]:[sales_rep]],$Y63,Sales_Export_2019_2020__2[[category]:[category]],AA$46)</f>
        <v>195396.99000000002</v>
      </c>
      <c r="AB63" s="19">
        <f>SUMIFS(Sales_Export_2019_2020__2[[profit]:[profit]],Sales_Export_2019_2020__2[[sales_rep]:[sales_rep]],$Y63,Sales_Export_2019_2020__2[[category]:[category]],AB$46)</f>
        <v>114121.39000000001</v>
      </c>
      <c r="AC63" s="19">
        <f>SUMIFS(Sales_Export_2019_2020__2[[profit]:[profit]],Sales_Export_2019_2020__2[[sales_rep]:[sales_rep]],$Y63,Sales_Export_2019_2020__2[[category]:[category]],AC$46)</f>
        <v>106468.64000000001</v>
      </c>
      <c r="AD63" s="19">
        <f>SUMIFS(Sales_Export_2019_2020__2[[profit]:[profit]],Sales_Export_2019_2020__2[[sales_rep]:[sales_rep]],$Y63,Sales_Export_2019_2020__2[[category]:[category]],AD$46)</f>
        <v>82385.350000000006</v>
      </c>
      <c r="AE63" s="19">
        <f>SUMIFS(Sales_Export_2019_2020__2[[profit]:[profit]],Sales_Export_2019_2020__2[[sales_rep]:[sales_rep]],$Y63,Sales_Export_2019_2020__2[[category]:[category]],AE$46)</f>
        <v>55911.369999999988</v>
      </c>
      <c r="AF63" s="19">
        <f>SUMIFS(Sales_Export_2019_2020__2[[profit]:[profit]],Sales_Export_2019_2020__2[[sales_rep]:[sales_rep]],$Y63,Sales_Export_2019_2020__2[[category]:[category]],AF$46)</f>
        <v>89935.809999999983</v>
      </c>
      <c r="AG63" s="19">
        <f>SUMIFS(Sales_Export_2019_2020__2[[profit]:[profit]],Sales_Export_2019_2020__2[[sales_rep]:[sales_rep]],$Y63,Sales_Export_2019_2020__2[[category]:[category]],AG$46)</f>
        <v>12380.159999999996</v>
      </c>
      <c r="AH63" s="19">
        <f>SUMIFS(Sales_Export_2019_2020__2[[profit]:[profit]],Sales_Export_2019_2020__2[[sales_rep]:[sales_rep]],$Y63,Sales_Export_2019_2020__2[[category]:[category]],AH$46)</f>
        <v>44275.12999999999</v>
      </c>
      <c r="AI63" s="19">
        <f>SUMIFS(Sales_Export_2019_2020__2[[profit]:[profit]],Sales_Export_2019_2020__2[[sales_rep]:[sales_rep]],$Y63,Sales_Export_2019_2020__2[[category]:[category]],AI$46)</f>
        <v>107692.28999999998</v>
      </c>
    </row>
    <row r="64" spans="2:35" x14ac:dyDescent="0.35">
      <c r="B64" s="4" t="s">
        <v>14</v>
      </c>
      <c r="C64" s="14">
        <v>17026.669743589748</v>
      </c>
      <c r="D64">
        <v>39</v>
      </c>
      <c r="F64">
        <v>36</v>
      </c>
      <c r="G64" s="14">
        <v>19774.340000000007</v>
      </c>
      <c r="I64" s="4" t="s">
        <v>80</v>
      </c>
      <c r="J64">
        <v>134</v>
      </c>
      <c r="K64">
        <v>39</v>
      </c>
      <c r="L64" s="4" t="s">
        <v>66</v>
      </c>
      <c r="M64">
        <v>1</v>
      </c>
      <c r="N64">
        <v>5</v>
      </c>
      <c r="O64">
        <v>2</v>
      </c>
      <c r="P64">
        <v>1</v>
      </c>
      <c r="Q64">
        <v>5</v>
      </c>
      <c r="R64">
        <v>5</v>
      </c>
      <c r="S64">
        <v>8</v>
      </c>
      <c r="U64">
        <v>6</v>
      </c>
      <c r="V64">
        <v>4</v>
      </c>
      <c r="W64">
        <v>37</v>
      </c>
      <c r="Y64" s="4" t="s">
        <v>66</v>
      </c>
      <c r="Z64" s="19">
        <f>SUMIFS(Sales_Export_2019_2020__2[[profit]:[profit]],Sales_Export_2019_2020__2[[sales_rep]:[sales_rep]],$Y64,Sales_Export_2019_2020__2[[category]:[category]],Z$46)</f>
        <v>12979.839999999997</v>
      </c>
      <c r="AA64" s="19">
        <f>SUMIFS(Sales_Export_2019_2020__2[[profit]:[profit]],Sales_Export_2019_2020__2[[sales_rep]:[sales_rep]],$Y64,Sales_Export_2019_2020__2[[category]:[category]],AA$46)</f>
        <v>128007.00000000001</v>
      </c>
      <c r="AB64" s="19">
        <f>SUMIFS(Sales_Export_2019_2020__2[[profit]:[profit]],Sales_Export_2019_2020__2[[sales_rep]:[sales_rep]],$Y64,Sales_Export_2019_2020__2[[category]:[category]],AB$46)</f>
        <v>39360.879999999997</v>
      </c>
      <c r="AC64" s="19">
        <f>SUMIFS(Sales_Export_2019_2020__2[[profit]:[profit]],Sales_Export_2019_2020__2[[sales_rep]:[sales_rep]],$Y64,Sales_Export_2019_2020__2[[category]:[category]],AC$46)</f>
        <v>16625.660000000003</v>
      </c>
      <c r="AD64" s="19">
        <f>SUMIFS(Sales_Export_2019_2020__2[[profit]:[profit]],Sales_Export_2019_2020__2[[sales_rep]:[sales_rep]],$Y64,Sales_Export_2019_2020__2[[category]:[category]],AD$46)</f>
        <v>120441.87999999999</v>
      </c>
      <c r="AE64" s="19">
        <f>SUMIFS(Sales_Export_2019_2020__2[[profit]:[profit]],Sales_Export_2019_2020__2[[sales_rep]:[sales_rep]],$Y64,Sales_Export_2019_2020__2[[category]:[category]],AE$46)</f>
        <v>105835.81</v>
      </c>
      <c r="AF64" s="19">
        <f>SUMIFS(Sales_Export_2019_2020__2[[profit]:[profit]],Sales_Export_2019_2020__2[[sales_rep]:[sales_rep]],$Y64,Sales_Export_2019_2020__2[[category]:[category]],AF$46)</f>
        <v>107971.98000000001</v>
      </c>
      <c r="AG64" s="19">
        <f>SUMIFS(Sales_Export_2019_2020__2[[profit]:[profit]],Sales_Export_2019_2020__2[[sales_rep]:[sales_rep]],$Y64,Sales_Export_2019_2020__2[[category]:[category]],AG$46)</f>
        <v>0</v>
      </c>
      <c r="AH64" s="19">
        <f>SUMIFS(Sales_Export_2019_2020__2[[profit]:[profit]],Sales_Export_2019_2020__2[[sales_rep]:[sales_rep]],$Y64,Sales_Export_2019_2020__2[[category]:[category]],AH$46)</f>
        <v>96982.680000000008</v>
      </c>
      <c r="AI64" s="19">
        <f>SUMIFS(Sales_Export_2019_2020__2[[profit]:[profit]],Sales_Export_2019_2020__2[[sales_rep]:[sales_rep]],$Y64,Sales_Export_2019_2020__2[[category]:[category]],AI$46)</f>
        <v>93337.979999999952</v>
      </c>
    </row>
    <row r="65" spans="2:35" x14ac:dyDescent="0.35">
      <c r="B65" s="4" t="s">
        <v>56</v>
      </c>
      <c r="C65" s="14">
        <v>19774.340000000007</v>
      </c>
      <c r="D65">
        <v>36</v>
      </c>
      <c r="F65">
        <v>5</v>
      </c>
      <c r="G65" s="14">
        <v>15524.046000000008</v>
      </c>
      <c r="I65" s="4" t="s">
        <v>18</v>
      </c>
      <c r="J65">
        <v>139</v>
      </c>
      <c r="K65">
        <v>36</v>
      </c>
      <c r="L65" s="4" t="s">
        <v>90</v>
      </c>
      <c r="M65">
        <v>2</v>
      </c>
      <c r="N65">
        <v>4</v>
      </c>
      <c r="O65">
        <v>8</v>
      </c>
      <c r="P65">
        <v>5</v>
      </c>
      <c r="Q65">
        <v>13</v>
      </c>
      <c r="R65">
        <v>6</v>
      </c>
      <c r="S65">
        <v>7</v>
      </c>
      <c r="T65">
        <v>1</v>
      </c>
      <c r="U65">
        <v>1</v>
      </c>
      <c r="V65">
        <v>5</v>
      </c>
      <c r="W65">
        <v>52</v>
      </c>
      <c r="Y65" s="4" t="s">
        <v>90</v>
      </c>
      <c r="Z65" s="19">
        <f>SUMIFS(Sales_Export_2019_2020__2[[profit]:[profit]],Sales_Export_2019_2020__2[[sales_rep]:[sales_rep]],$Y65,Sales_Export_2019_2020__2[[category]:[category]],Z$46)</f>
        <v>45662.770000000019</v>
      </c>
      <c r="AA65" s="19">
        <f>SUMIFS(Sales_Export_2019_2020__2[[profit]:[profit]],Sales_Export_2019_2020__2[[sales_rep]:[sales_rep]],$Y65,Sales_Export_2019_2020__2[[category]:[category]],AA$46)</f>
        <v>125233.72000000002</v>
      </c>
      <c r="AB65" s="19">
        <f>SUMIFS(Sales_Export_2019_2020__2[[profit]:[profit]],Sales_Export_2019_2020__2[[sales_rep]:[sales_rep]],$Y65,Sales_Export_2019_2020__2[[category]:[category]],AB$46)</f>
        <v>156067.55000000005</v>
      </c>
      <c r="AC65" s="19">
        <f>SUMIFS(Sales_Export_2019_2020__2[[profit]:[profit]],Sales_Export_2019_2020__2[[sales_rep]:[sales_rep]],$Y65,Sales_Export_2019_2020__2[[category]:[category]],AC$46)</f>
        <v>82692.810000000027</v>
      </c>
      <c r="AD65" s="19">
        <f>SUMIFS(Sales_Export_2019_2020__2[[profit]:[profit]],Sales_Export_2019_2020__2[[sales_rep]:[sales_rep]],$Y65,Sales_Export_2019_2020__2[[category]:[category]],AD$46)</f>
        <v>272867.27000000008</v>
      </c>
      <c r="AE65" s="19">
        <f>SUMIFS(Sales_Export_2019_2020__2[[profit]:[profit]],Sales_Export_2019_2020__2[[sales_rep]:[sales_rep]],$Y65,Sales_Export_2019_2020__2[[category]:[category]],AE$46)</f>
        <v>104586.57000000002</v>
      </c>
      <c r="AF65" s="19">
        <f>SUMIFS(Sales_Export_2019_2020__2[[profit]:[profit]],Sales_Export_2019_2020__2[[sales_rep]:[sales_rep]],$Y65,Sales_Export_2019_2020__2[[category]:[category]],AF$46)</f>
        <v>106852.41999999998</v>
      </c>
      <c r="AG65" s="19">
        <f>SUMIFS(Sales_Export_2019_2020__2[[profit]:[profit]],Sales_Export_2019_2020__2[[sales_rep]:[sales_rep]],$Y65,Sales_Export_2019_2020__2[[category]:[category]],AG$46)</f>
        <v>10452.019999999997</v>
      </c>
      <c r="AH65" s="19">
        <f>SUMIFS(Sales_Export_2019_2020__2[[profit]:[profit]],Sales_Export_2019_2020__2[[sales_rep]:[sales_rep]],$Y65,Sales_Export_2019_2020__2[[category]:[category]],AH$46)</f>
        <v>21108.440000000002</v>
      </c>
      <c r="AI65" s="19">
        <f>SUMIFS(Sales_Export_2019_2020__2[[profit]:[profit]],Sales_Export_2019_2020__2[[sales_rep]:[sales_rep]],$Y65,Sales_Export_2019_2020__2[[category]:[category]],AI$46)</f>
        <v>93877.989999999976</v>
      </c>
    </row>
    <row r="66" spans="2:35" x14ac:dyDescent="0.35">
      <c r="B66" s="4" t="s">
        <v>425</v>
      </c>
      <c r="C66" s="14">
        <v>15524.046000000008</v>
      </c>
      <c r="D66">
        <v>5</v>
      </c>
      <c r="F66">
        <v>21</v>
      </c>
      <c r="G66" s="14">
        <v>21113.243809523814</v>
      </c>
      <c r="I66" s="4" t="s">
        <v>139</v>
      </c>
      <c r="J66">
        <v>29</v>
      </c>
      <c r="K66">
        <v>5</v>
      </c>
      <c r="L66" s="4" t="s">
        <v>74</v>
      </c>
      <c r="M66">
        <v>2</v>
      </c>
      <c r="N66">
        <v>4</v>
      </c>
      <c r="O66">
        <v>4</v>
      </c>
      <c r="P66">
        <v>4</v>
      </c>
      <c r="Q66">
        <v>5</v>
      </c>
      <c r="R66">
        <v>1</v>
      </c>
      <c r="S66">
        <v>3</v>
      </c>
      <c r="U66">
        <v>1</v>
      </c>
      <c r="V66">
        <v>2</v>
      </c>
      <c r="W66">
        <v>26</v>
      </c>
      <c r="Y66" s="4" t="s">
        <v>74</v>
      </c>
      <c r="Z66" s="19">
        <f>SUMIFS(Sales_Export_2019_2020__2[[profit]:[profit]],Sales_Export_2019_2020__2[[sales_rep]:[sales_rep]],$Y66,Sales_Export_2019_2020__2[[category]:[category]],Z$46)</f>
        <v>46448.649999999994</v>
      </c>
      <c r="AA66" s="19">
        <f>SUMIFS(Sales_Export_2019_2020__2[[profit]:[profit]],Sales_Export_2019_2020__2[[sales_rep]:[sales_rep]],$Y66,Sales_Export_2019_2020__2[[category]:[category]],AA$46)</f>
        <v>113896.98</v>
      </c>
      <c r="AB66" s="19">
        <f>SUMIFS(Sales_Export_2019_2020__2[[profit]:[profit]],Sales_Export_2019_2020__2[[sales_rep]:[sales_rep]],$Y66,Sales_Export_2019_2020__2[[category]:[category]],AB$46)</f>
        <v>82931.129999999976</v>
      </c>
      <c r="AC66" s="19">
        <f>SUMIFS(Sales_Export_2019_2020__2[[profit]:[profit]],Sales_Export_2019_2020__2[[sales_rep]:[sales_rep]],$Y66,Sales_Export_2019_2020__2[[category]:[category]],AC$46)</f>
        <v>79753.509999999995</v>
      </c>
      <c r="AD66" s="19">
        <f>SUMIFS(Sales_Export_2019_2020__2[[profit]:[profit]],Sales_Export_2019_2020__2[[sales_rep]:[sales_rep]],$Y66,Sales_Export_2019_2020__2[[category]:[category]],AD$46)</f>
        <v>61072.87</v>
      </c>
      <c r="AE66" s="19">
        <f>SUMIFS(Sales_Export_2019_2020__2[[profit]:[profit]],Sales_Export_2019_2020__2[[sales_rep]:[sales_rep]],$Y66,Sales_Export_2019_2020__2[[category]:[category]],AE$46)</f>
        <v>28846.649999999994</v>
      </c>
      <c r="AF66" s="19">
        <f>SUMIFS(Sales_Export_2019_2020__2[[profit]:[profit]],Sales_Export_2019_2020__2[[sales_rep]:[sales_rep]],$Y66,Sales_Export_2019_2020__2[[category]:[category]],AF$46)</f>
        <v>37883.179999999993</v>
      </c>
      <c r="AG66" s="19">
        <f>SUMIFS(Sales_Export_2019_2020__2[[profit]:[profit]],Sales_Export_2019_2020__2[[sales_rep]:[sales_rep]],$Y66,Sales_Export_2019_2020__2[[category]:[category]],AG$46)</f>
        <v>0</v>
      </c>
      <c r="AH66" s="19">
        <f>SUMIFS(Sales_Export_2019_2020__2[[profit]:[profit]],Sales_Export_2019_2020__2[[sales_rep]:[sales_rep]],$Y66,Sales_Export_2019_2020__2[[category]:[category]],AH$46)</f>
        <v>34282.129999999976</v>
      </c>
      <c r="AI66" s="19">
        <f>SUMIFS(Sales_Export_2019_2020__2[[profit]:[profit]],Sales_Export_2019_2020__2[[sales_rep]:[sales_rep]],$Y66,Sales_Export_2019_2020__2[[category]:[category]],AI$46)</f>
        <v>24281.030000000002</v>
      </c>
    </row>
    <row r="67" spans="2:35" x14ac:dyDescent="0.35">
      <c r="B67" s="4" t="s">
        <v>353</v>
      </c>
      <c r="C67" s="14">
        <v>21113.243809523814</v>
      </c>
      <c r="D67">
        <v>21</v>
      </c>
      <c r="F67">
        <v>28</v>
      </c>
      <c r="G67" s="14">
        <v>18770.217499999995</v>
      </c>
      <c r="I67" s="4" t="s">
        <v>62</v>
      </c>
      <c r="J67">
        <v>50</v>
      </c>
      <c r="K67">
        <v>21</v>
      </c>
      <c r="L67" s="4" t="s">
        <v>108</v>
      </c>
      <c r="M67">
        <v>2</v>
      </c>
      <c r="N67">
        <v>2</v>
      </c>
      <c r="O67">
        <v>3</v>
      </c>
      <c r="P67">
        <v>3</v>
      </c>
      <c r="Q67">
        <v>3</v>
      </c>
      <c r="R67">
        <v>2</v>
      </c>
      <c r="S67">
        <v>3</v>
      </c>
      <c r="U67">
        <v>2</v>
      </c>
      <c r="V67">
        <v>2</v>
      </c>
      <c r="W67">
        <v>22</v>
      </c>
      <c r="Y67" s="4" t="s">
        <v>108</v>
      </c>
      <c r="Z67" s="19">
        <f>SUMIFS(Sales_Export_2019_2020__2[[profit]:[profit]],Sales_Export_2019_2020__2[[sales_rep]:[sales_rep]],$Y67,Sales_Export_2019_2020__2[[category]:[category]],Z$46)</f>
        <v>60030.92</v>
      </c>
      <c r="AA67" s="19">
        <f>SUMIFS(Sales_Export_2019_2020__2[[profit]:[profit]],Sales_Export_2019_2020__2[[sales_rep]:[sales_rep]],$Y67,Sales_Export_2019_2020__2[[category]:[category]],AA$46)</f>
        <v>20327.21</v>
      </c>
      <c r="AB67" s="19">
        <f>SUMIFS(Sales_Export_2019_2020__2[[profit]:[profit]],Sales_Export_2019_2020__2[[sales_rep]:[sales_rep]],$Y67,Sales_Export_2019_2020__2[[category]:[category]],AB$46)</f>
        <v>62584.729999999945</v>
      </c>
      <c r="AC67" s="19">
        <f>SUMIFS(Sales_Export_2019_2020__2[[profit]:[profit]],Sales_Export_2019_2020__2[[sales_rep]:[sales_rep]],$Y67,Sales_Export_2019_2020__2[[category]:[category]],AC$46)</f>
        <v>74790.089999999982</v>
      </c>
      <c r="AD67" s="19">
        <f>SUMIFS(Sales_Export_2019_2020__2[[profit]:[profit]],Sales_Export_2019_2020__2[[sales_rep]:[sales_rep]],$Y67,Sales_Export_2019_2020__2[[category]:[category]],AD$46)</f>
        <v>56799.569999999992</v>
      </c>
      <c r="AE67" s="19">
        <f>SUMIFS(Sales_Export_2019_2020__2[[profit]:[profit]],Sales_Export_2019_2020__2[[sales_rep]:[sales_rep]],$Y67,Sales_Export_2019_2020__2[[category]:[category]],AE$46)</f>
        <v>33072.22</v>
      </c>
      <c r="AF67" s="19">
        <f>SUMIFS(Sales_Export_2019_2020__2[[profit]:[profit]],Sales_Export_2019_2020__2[[sales_rep]:[sales_rep]],$Y67,Sales_Export_2019_2020__2[[category]:[category]],AF$46)</f>
        <v>59055.539999999994</v>
      </c>
      <c r="AG67" s="19">
        <f>SUMIFS(Sales_Export_2019_2020__2[[profit]:[profit]],Sales_Export_2019_2020__2[[sales_rep]:[sales_rep]],$Y67,Sales_Export_2019_2020__2[[category]:[category]],AG$46)</f>
        <v>0</v>
      </c>
      <c r="AH67" s="19">
        <f>SUMIFS(Sales_Export_2019_2020__2[[profit]:[profit]],Sales_Export_2019_2020__2[[sales_rep]:[sales_rep]],$Y67,Sales_Export_2019_2020__2[[category]:[category]],AH$46)</f>
        <v>62496.12999999999</v>
      </c>
      <c r="AI67" s="19">
        <f>SUMIFS(Sales_Export_2019_2020__2[[profit]:[profit]],Sales_Export_2019_2020__2[[sales_rep]:[sales_rep]],$Y67,Sales_Export_2019_2020__2[[category]:[category]],AI$46)</f>
        <v>53410.05000000001</v>
      </c>
    </row>
    <row r="68" spans="2:35" x14ac:dyDescent="0.35">
      <c r="B68" s="4" t="s">
        <v>86</v>
      </c>
      <c r="C68" s="14">
        <v>18770.217499999995</v>
      </c>
      <c r="D68">
        <v>28</v>
      </c>
      <c r="F68">
        <v>50</v>
      </c>
      <c r="G68" s="14">
        <v>17650.504600000007</v>
      </c>
      <c r="I68" s="4" t="s">
        <v>60</v>
      </c>
      <c r="J68">
        <v>95</v>
      </c>
      <c r="K68">
        <v>28</v>
      </c>
      <c r="L68" s="4" t="s">
        <v>141</v>
      </c>
      <c r="N68">
        <v>1</v>
      </c>
      <c r="P68">
        <v>3</v>
      </c>
      <c r="Q68">
        <v>1</v>
      </c>
      <c r="S68">
        <v>3</v>
      </c>
      <c r="T68">
        <v>1</v>
      </c>
      <c r="V68">
        <v>1</v>
      </c>
      <c r="W68">
        <v>10</v>
      </c>
      <c r="Y68" s="4" t="s">
        <v>141</v>
      </c>
      <c r="Z68" s="19">
        <f>SUMIFS(Sales_Export_2019_2020__2[[profit]:[profit]],Sales_Export_2019_2020__2[[sales_rep]:[sales_rep]],$Y68,Sales_Export_2019_2020__2[[category]:[category]],Z$46)</f>
        <v>0</v>
      </c>
      <c r="AA68" s="19">
        <f>SUMIFS(Sales_Export_2019_2020__2[[profit]:[profit]],Sales_Export_2019_2020__2[[sales_rep]:[sales_rep]],$Y68,Sales_Export_2019_2020__2[[category]:[category]],AA$46)</f>
        <v>6789.7000000000044</v>
      </c>
      <c r="AB68" s="19">
        <f>SUMIFS(Sales_Export_2019_2020__2[[profit]:[profit]],Sales_Export_2019_2020__2[[sales_rep]:[sales_rep]],$Y68,Sales_Export_2019_2020__2[[category]:[category]],AB$46)</f>
        <v>0</v>
      </c>
      <c r="AC68" s="19">
        <f>SUMIFS(Sales_Export_2019_2020__2[[profit]:[profit]],Sales_Export_2019_2020__2[[sales_rep]:[sales_rep]],$Y68,Sales_Export_2019_2020__2[[category]:[category]],AC$46)</f>
        <v>38194.880000000005</v>
      </c>
      <c r="AD68" s="19">
        <f>SUMIFS(Sales_Export_2019_2020__2[[profit]:[profit]],Sales_Export_2019_2020__2[[sales_rep]:[sales_rep]],$Y68,Sales_Export_2019_2020__2[[category]:[category]],AD$46)</f>
        <v>16151.279999999999</v>
      </c>
      <c r="AE68" s="19">
        <f>SUMIFS(Sales_Export_2019_2020__2[[profit]:[profit]],Sales_Export_2019_2020__2[[sales_rep]:[sales_rep]],$Y68,Sales_Export_2019_2020__2[[category]:[category]],AE$46)</f>
        <v>0</v>
      </c>
      <c r="AF68" s="19">
        <f>SUMIFS(Sales_Export_2019_2020__2[[profit]:[profit]],Sales_Export_2019_2020__2[[sales_rep]:[sales_rep]],$Y68,Sales_Export_2019_2020__2[[category]:[category]],AF$46)</f>
        <v>50036.260000000009</v>
      </c>
      <c r="AG68" s="19">
        <f>SUMIFS(Sales_Export_2019_2020__2[[profit]:[profit]],Sales_Export_2019_2020__2[[sales_rep]:[sales_rep]],$Y68,Sales_Export_2019_2020__2[[category]:[category]],AG$46)</f>
        <v>21976.570000000007</v>
      </c>
      <c r="AH68" s="19">
        <f>SUMIFS(Sales_Export_2019_2020__2[[profit]:[profit]],Sales_Export_2019_2020__2[[sales_rep]:[sales_rep]],$Y68,Sales_Export_2019_2020__2[[category]:[category]],AH$46)</f>
        <v>0</v>
      </c>
      <c r="AI68" s="19">
        <f>SUMIFS(Sales_Export_2019_2020__2[[profit]:[profit]],Sales_Export_2019_2020__2[[sales_rep]:[sales_rep]],$Y68,Sales_Export_2019_2020__2[[category]:[category]],AI$46)</f>
        <v>22309.940000000002</v>
      </c>
    </row>
    <row r="69" spans="2:35" x14ac:dyDescent="0.35">
      <c r="B69" s="4" t="s">
        <v>133</v>
      </c>
      <c r="C69" s="14">
        <v>17650.504600000007</v>
      </c>
      <c r="D69">
        <v>50</v>
      </c>
      <c r="F69">
        <v>20</v>
      </c>
      <c r="G69" s="14">
        <v>17856.661999999989</v>
      </c>
      <c r="I69" s="4" t="s">
        <v>1164</v>
      </c>
      <c r="J69">
        <v>1000</v>
      </c>
      <c r="K69">
        <v>50</v>
      </c>
      <c r="L69" s="4" t="s">
        <v>14</v>
      </c>
      <c r="M69">
        <v>1</v>
      </c>
      <c r="N69">
        <v>8</v>
      </c>
      <c r="O69">
        <v>4</v>
      </c>
      <c r="P69">
        <v>6</v>
      </c>
      <c r="Q69">
        <v>5</v>
      </c>
      <c r="R69">
        <v>6</v>
      </c>
      <c r="S69">
        <v>3</v>
      </c>
      <c r="T69">
        <v>1</v>
      </c>
      <c r="U69">
        <v>4</v>
      </c>
      <c r="V69">
        <v>1</v>
      </c>
      <c r="W69">
        <v>39</v>
      </c>
      <c r="Y69" s="4" t="s">
        <v>14</v>
      </c>
      <c r="Z69" s="19">
        <f>SUMIFS(Sales_Export_2019_2020__2[[profit]:[profit]],Sales_Export_2019_2020__2[[sales_rep]:[sales_rep]],$Y69,Sales_Export_2019_2020__2[[category]:[category]],Z$46)</f>
        <v>22611.75</v>
      </c>
      <c r="AA69" s="19">
        <f>SUMIFS(Sales_Export_2019_2020__2[[profit]:[profit]],Sales_Export_2019_2020__2[[sales_rep]:[sales_rep]],$Y69,Sales_Export_2019_2020__2[[category]:[category]],AA$46)</f>
        <v>116182.53999999998</v>
      </c>
      <c r="AB69" s="19">
        <f>SUMIFS(Sales_Export_2019_2020__2[[profit]:[profit]],Sales_Export_2019_2020__2[[sales_rep]:[sales_rep]],$Y69,Sales_Export_2019_2020__2[[category]:[category]],AB$46)</f>
        <v>49412.819999999978</v>
      </c>
      <c r="AC69" s="19">
        <f>SUMIFS(Sales_Export_2019_2020__2[[profit]:[profit]],Sales_Export_2019_2020__2[[sales_rep]:[sales_rep]],$Y69,Sales_Export_2019_2020__2[[category]:[category]],AC$46)</f>
        <v>99901.78</v>
      </c>
      <c r="AD69" s="19">
        <f>SUMIFS(Sales_Export_2019_2020__2[[profit]:[profit]],Sales_Export_2019_2020__2[[sales_rep]:[sales_rep]],$Y69,Sales_Export_2019_2020__2[[category]:[category]],AD$46)</f>
        <v>79908.24000000002</v>
      </c>
      <c r="AE69" s="19">
        <f>SUMIFS(Sales_Export_2019_2020__2[[profit]:[profit]],Sales_Export_2019_2020__2[[sales_rep]:[sales_rep]],$Y69,Sales_Export_2019_2020__2[[category]:[category]],AE$46)</f>
        <v>128051.30000000003</v>
      </c>
      <c r="AF69" s="19">
        <f>SUMIFS(Sales_Export_2019_2020__2[[profit]:[profit]],Sales_Export_2019_2020__2[[sales_rep]:[sales_rep]],$Y69,Sales_Export_2019_2020__2[[category]:[category]],AF$46)</f>
        <v>55368.159999999989</v>
      </c>
      <c r="AG69" s="19">
        <f>SUMIFS(Sales_Export_2019_2020__2[[profit]:[profit]],Sales_Export_2019_2020__2[[sales_rep]:[sales_rep]],$Y69,Sales_Export_2019_2020__2[[category]:[category]],AG$46)</f>
        <v>20699.910000000003</v>
      </c>
      <c r="AH69" s="19">
        <f>SUMIFS(Sales_Export_2019_2020__2[[profit]:[profit]],Sales_Export_2019_2020__2[[sales_rep]:[sales_rep]],$Y69,Sales_Export_2019_2020__2[[category]:[category]],AH$46)</f>
        <v>71735.720000000016</v>
      </c>
      <c r="AI69" s="19">
        <f>SUMIFS(Sales_Export_2019_2020__2[[profit]:[profit]],Sales_Export_2019_2020__2[[sales_rep]:[sales_rep]],$Y69,Sales_Export_2019_2020__2[[category]:[category]],AI$46)</f>
        <v>20167.899999999994</v>
      </c>
    </row>
    <row r="70" spans="2:35" x14ac:dyDescent="0.35">
      <c r="B70" s="4" t="s">
        <v>212</v>
      </c>
      <c r="C70" s="14">
        <v>17856.661999999989</v>
      </c>
      <c r="D70">
        <v>20</v>
      </c>
      <c r="F70">
        <v>12</v>
      </c>
      <c r="G70" s="14">
        <v>13659.871666666664</v>
      </c>
      <c r="K70">
        <v>20</v>
      </c>
      <c r="L70" s="4" t="s">
        <v>56</v>
      </c>
      <c r="M70">
        <v>2</v>
      </c>
      <c r="N70">
        <v>4</v>
      </c>
      <c r="O70">
        <v>10</v>
      </c>
      <c r="P70">
        <v>5</v>
      </c>
      <c r="Q70">
        <v>3</v>
      </c>
      <c r="R70">
        <v>5</v>
      </c>
      <c r="S70">
        <v>2</v>
      </c>
      <c r="T70">
        <v>2</v>
      </c>
      <c r="U70">
        <v>1</v>
      </c>
      <c r="V70">
        <v>2</v>
      </c>
      <c r="W70">
        <v>36</v>
      </c>
      <c r="Y70" s="4" t="s">
        <v>56</v>
      </c>
      <c r="Z70" s="19">
        <f>SUMIFS(Sales_Export_2019_2020__2[[profit]:[profit]],Sales_Export_2019_2020__2[[sales_rep]:[sales_rep]],$Y70,Sales_Export_2019_2020__2[[category]:[category]],Z$46)</f>
        <v>54760.590000000011</v>
      </c>
      <c r="AA70" s="19">
        <f>SUMIFS(Sales_Export_2019_2020__2[[profit]:[profit]],Sales_Export_2019_2020__2[[sales_rep]:[sales_rep]],$Y70,Sales_Export_2019_2020__2[[category]:[category]],AA$46)</f>
        <v>72684.99000000002</v>
      </c>
      <c r="AB70" s="19">
        <f>SUMIFS(Sales_Export_2019_2020__2[[profit]:[profit]],Sales_Export_2019_2020__2[[sales_rep]:[sales_rep]],$Y70,Sales_Export_2019_2020__2[[category]:[category]],AB$46)</f>
        <v>193105.53999999998</v>
      </c>
      <c r="AC70" s="19">
        <f>SUMIFS(Sales_Export_2019_2020__2[[profit]:[profit]],Sales_Export_2019_2020__2[[sales_rep]:[sales_rep]],$Y70,Sales_Export_2019_2020__2[[category]:[category]],AC$46)</f>
        <v>147390.07</v>
      </c>
      <c r="AD70" s="19">
        <f>SUMIFS(Sales_Export_2019_2020__2[[profit]:[profit]],Sales_Export_2019_2020__2[[sales_rep]:[sales_rep]],$Y70,Sales_Export_2019_2020__2[[category]:[category]],AD$46)</f>
        <v>69079.859999999986</v>
      </c>
      <c r="AE70" s="19">
        <f>SUMIFS(Sales_Export_2019_2020__2[[profit]:[profit]],Sales_Export_2019_2020__2[[sales_rep]:[sales_rep]],$Y70,Sales_Export_2019_2020__2[[category]:[category]],AE$46)</f>
        <v>88734.87</v>
      </c>
      <c r="AF70" s="19">
        <f>SUMIFS(Sales_Export_2019_2020__2[[profit]:[profit]],Sales_Export_2019_2020__2[[sales_rep]:[sales_rep]],$Y70,Sales_Export_2019_2020__2[[category]:[category]],AF$46)</f>
        <v>25995.530000000006</v>
      </c>
      <c r="AG70" s="19">
        <f>SUMIFS(Sales_Export_2019_2020__2[[profit]:[profit]],Sales_Export_2019_2020__2[[sales_rep]:[sales_rep]],$Y70,Sales_Export_2019_2020__2[[category]:[category]],AG$46)</f>
        <v>21251.499999999985</v>
      </c>
      <c r="AH70" s="19">
        <f>SUMIFS(Sales_Export_2019_2020__2[[profit]:[profit]],Sales_Export_2019_2020__2[[sales_rep]:[sales_rep]],$Y70,Sales_Export_2019_2020__2[[category]:[category]],AH$46)</f>
        <v>26745.73000000001</v>
      </c>
      <c r="AI70" s="19">
        <f>SUMIFS(Sales_Export_2019_2020__2[[profit]:[profit]],Sales_Export_2019_2020__2[[sales_rep]:[sales_rep]],$Y70,Sales_Export_2019_2020__2[[category]:[category]],AI$46)</f>
        <v>12127.560000000001</v>
      </c>
    </row>
    <row r="71" spans="2:35" x14ac:dyDescent="0.35">
      <c r="B71" s="4" t="s">
        <v>41</v>
      </c>
      <c r="C71" s="14">
        <v>13659.871666666664</v>
      </c>
      <c r="D71">
        <v>12</v>
      </c>
      <c r="F71">
        <v>15</v>
      </c>
      <c r="G71" s="14">
        <v>18130.590666666674</v>
      </c>
      <c r="K71">
        <v>12</v>
      </c>
      <c r="L71" s="4" t="s">
        <v>425</v>
      </c>
      <c r="O71">
        <v>1</v>
      </c>
      <c r="R71">
        <v>2</v>
      </c>
      <c r="S71">
        <v>1</v>
      </c>
      <c r="T71">
        <v>1</v>
      </c>
      <c r="W71">
        <v>5</v>
      </c>
      <c r="Y71" s="4" t="s">
        <v>425</v>
      </c>
      <c r="Z71" s="19">
        <f>SUMIFS(Sales_Export_2019_2020__2[[profit]:[profit]],Sales_Export_2019_2020__2[[sales_rep]:[sales_rep]],$Y71,Sales_Export_2019_2020__2[[category]:[category]],Z$46)</f>
        <v>0</v>
      </c>
      <c r="AA71" s="19">
        <f>SUMIFS(Sales_Export_2019_2020__2[[profit]:[profit]],Sales_Export_2019_2020__2[[sales_rep]:[sales_rep]],$Y71,Sales_Export_2019_2020__2[[category]:[category]],AA$46)</f>
        <v>0</v>
      </c>
      <c r="AB71" s="19">
        <f>SUMIFS(Sales_Export_2019_2020__2[[profit]:[profit]],Sales_Export_2019_2020__2[[sales_rep]:[sales_rep]],$Y71,Sales_Export_2019_2020__2[[category]:[category]],AB$46)</f>
        <v>11946.160000000003</v>
      </c>
      <c r="AC71" s="19">
        <f>SUMIFS(Sales_Export_2019_2020__2[[profit]:[profit]],Sales_Export_2019_2020__2[[sales_rep]:[sales_rep]],$Y71,Sales_Export_2019_2020__2[[category]:[category]],AC$46)</f>
        <v>0</v>
      </c>
      <c r="AD71" s="19">
        <f>SUMIFS(Sales_Export_2019_2020__2[[profit]:[profit]],Sales_Export_2019_2020__2[[sales_rep]:[sales_rep]],$Y71,Sales_Export_2019_2020__2[[category]:[category]],AD$46)</f>
        <v>0</v>
      </c>
      <c r="AE71" s="19">
        <f>SUMIFS(Sales_Export_2019_2020__2[[profit]:[profit]],Sales_Export_2019_2020__2[[sales_rep]:[sales_rep]],$Y71,Sales_Export_2019_2020__2[[category]:[category]],AE$46)</f>
        <v>18517.200000000004</v>
      </c>
      <c r="AF71" s="19">
        <f>SUMIFS(Sales_Export_2019_2020__2[[profit]:[profit]],Sales_Export_2019_2020__2[[sales_rep]:[sales_rep]],$Y71,Sales_Export_2019_2020__2[[category]:[category]],AF$46)</f>
        <v>18034</v>
      </c>
      <c r="AG71" s="19">
        <f>SUMIFS(Sales_Export_2019_2020__2[[profit]:[profit]],Sales_Export_2019_2020__2[[sales_rep]:[sales_rep]],$Y71,Sales_Export_2019_2020__2[[category]:[category]],AG$46)</f>
        <v>29122.87000000001</v>
      </c>
      <c r="AH71" s="19">
        <f>SUMIFS(Sales_Export_2019_2020__2[[profit]:[profit]],Sales_Export_2019_2020__2[[sales_rep]:[sales_rep]],$Y71,Sales_Export_2019_2020__2[[category]:[category]],AH$46)</f>
        <v>0</v>
      </c>
      <c r="AI71" s="19">
        <f>SUMIFS(Sales_Export_2019_2020__2[[profit]:[profit]],Sales_Export_2019_2020__2[[sales_rep]:[sales_rep]],$Y71,Sales_Export_2019_2020__2[[category]:[category]],AI$46)</f>
        <v>0</v>
      </c>
    </row>
    <row r="72" spans="2:35" x14ac:dyDescent="0.35">
      <c r="B72" s="4" t="s">
        <v>104</v>
      </c>
      <c r="C72" s="14">
        <v>18130.590666666674</v>
      </c>
      <c r="D72">
        <v>15</v>
      </c>
      <c r="F72">
        <v>41</v>
      </c>
      <c r="G72" s="14">
        <v>17349.187804878042</v>
      </c>
      <c r="K72">
        <v>15</v>
      </c>
      <c r="L72" s="4" t="s">
        <v>353</v>
      </c>
      <c r="M72">
        <v>1</v>
      </c>
      <c r="N72">
        <v>4</v>
      </c>
      <c r="O72">
        <v>3</v>
      </c>
      <c r="P72">
        <v>1</v>
      </c>
      <c r="Q72">
        <v>3</v>
      </c>
      <c r="R72">
        <v>3</v>
      </c>
      <c r="S72">
        <v>5</v>
      </c>
      <c r="U72">
        <v>1</v>
      </c>
      <c r="W72">
        <v>21</v>
      </c>
      <c r="Y72" s="4" t="s">
        <v>353</v>
      </c>
      <c r="Z72" s="19">
        <f>SUMIFS(Sales_Export_2019_2020__2[[profit]:[profit]],Sales_Export_2019_2020__2[[sales_rep]:[sales_rep]],$Y72,Sales_Export_2019_2020__2[[category]:[category]],Z$46)</f>
        <v>10180.919999999998</v>
      </c>
      <c r="AA72" s="19">
        <f>SUMIFS(Sales_Export_2019_2020__2[[profit]:[profit]],Sales_Export_2019_2020__2[[sales_rep]:[sales_rep]],$Y72,Sales_Export_2019_2020__2[[category]:[category]],AA$46)</f>
        <v>111570.78999999998</v>
      </c>
      <c r="AB72" s="19">
        <f>SUMIFS(Sales_Export_2019_2020__2[[profit]:[profit]],Sales_Export_2019_2020__2[[sales_rep]:[sales_rep]],$Y72,Sales_Export_2019_2020__2[[category]:[category]],AB$46)</f>
        <v>67062.409999999974</v>
      </c>
      <c r="AC72" s="19">
        <f>SUMIFS(Sales_Export_2019_2020__2[[profit]:[profit]],Sales_Export_2019_2020__2[[sales_rep]:[sales_rep]],$Y72,Sales_Export_2019_2020__2[[category]:[category]],AC$46)</f>
        <v>22194.309999999998</v>
      </c>
      <c r="AD72" s="19">
        <f>SUMIFS(Sales_Export_2019_2020__2[[profit]:[profit]],Sales_Export_2019_2020__2[[sales_rep]:[sales_rep]],$Y72,Sales_Export_2019_2020__2[[category]:[category]],AD$46)</f>
        <v>47248.909999999989</v>
      </c>
      <c r="AE72" s="19">
        <f>SUMIFS(Sales_Export_2019_2020__2[[profit]:[profit]],Sales_Export_2019_2020__2[[sales_rep]:[sales_rep]],$Y72,Sales_Export_2019_2020__2[[category]:[category]],AE$46)</f>
        <v>52695.559999999976</v>
      </c>
      <c r="AF72" s="19">
        <f>SUMIFS(Sales_Export_2019_2020__2[[profit]:[profit]],Sales_Export_2019_2020__2[[sales_rep]:[sales_rep]],$Y72,Sales_Export_2019_2020__2[[category]:[category]],AF$46)</f>
        <v>97677.61</v>
      </c>
      <c r="AG72" s="19">
        <f>SUMIFS(Sales_Export_2019_2020__2[[profit]:[profit]],Sales_Export_2019_2020__2[[sales_rep]:[sales_rep]],$Y72,Sales_Export_2019_2020__2[[category]:[category]],AG$46)</f>
        <v>0</v>
      </c>
      <c r="AH72" s="19">
        <f>SUMIFS(Sales_Export_2019_2020__2[[profit]:[profit]],Sales_Export_2019_2020__2[[sales_rep]:[sales_rep]],$Y72,Sales_Export_2019_2020__2[[category]:[category]],AH$46)</f>
        <v>34747.609999999986</v>
      </c>
      <c r="AI72" s="19">
        <f>SUMIFS(Sales_Export_2019_2020__2[[profit]:[profit]],Sales_Export_2019_2020__2[[sales_rep]:[sales_rep]],$Y72,Sales_Export_2019_2020__2[[category]:[category]],AI$46)</f>
        <v>0</v>
      </c>
    </row>
    <row r="73" spans="2:35" x14ac:dyDescent="0.35">
      <c r="B73" s="4" t="s">
        <v>27</v>
      </c>
      <c r="C73" s="14">
        <v>17349.187804878042</v>
      </c>
      <c r="D73">
        <v>41</v>
      </c>
      <c r="F73">
        <v>38</v>
      </c>
      <c r="G73" s="14">
        <v>20780.183421052625</v>
      </c>
      <c r="K73">
        <v>41</v>
      </c>
      <c r="L73" s="4" t="s">
        <v>86</v>
      </c>
      <c r="N73">
        <v>2</v>
      </c>
      <c r="O73">
        <v>1</v>
      </c>
      <c r="P73">
        <v>4</v>
      </c>
      <c r="Q73">
        <v>6</v>
      </c>
      <c r="R73">
        <v>4</v>
      </c>
      <c r="S73">
        <v>4</v>
      </c>
      <c r="U73">
        <v>2</v>
      </c>
      <c r="V73">
        <v>5</v>
      </c>
      <c r="W73">
        <v>28</v>
      </c>
      <c r="Y73" s="4" t="s">
        <v>86</v>
      </c>
      <c r="Z73" s="19">
        <f>SUMIFS(Sales_Export_2019_2020__2[[profit]:[profit]],Sales_Export_2019_2020__2[[sales_rep]:[sales_rep]],$Y73,Sales_Export_2019_2020__2[[category]:[category]],Z$46)</f>
        <v>0</v>
      </c>
      <c r="AA73" s="19">
        <f>SUMIFS(Sales_Export_2019_2020__2[[profit]:[profit]],Sales_Export_2019_2020__2[[sales_rep]:[sales_rep]],$Y73,Sales_Export_2019_2020__2[[category]:[category]],AA$46)</f>
        <v>26702.589999999997</v>
      </c>
      <c r="AB73" s="19">
        <f>SUMIFS(Sales_Export_2019_2020__2[[profit]:[profit]],Sales_Export_2019_2020__2[[sales_rep]:[sales_rep]],$Y73,Sales_Export_2019_2020__2[[category]:[category]],AB$46)</f>
        <v>34569.290000000008</v>
      </c>
      <c r="AC73" s="19">
        <f>SUMIFS(Sales_Export_2019_2020__2[[profit]:[profit]],Sales_Export_2019_2020__2[[sales_rep]:[sales_rep]],$Y73,Sales_Export_2019_2020__2[[category]:[category]],AC$46)</f>
        <v>100836.58</v>
      </c>
      <c r="AD73" s="19">
        <f>SUMIFS(Sales_Export_2019_2020__2[[profit]:[profit]],Sales_Export_2019_2020__2[[sales_rep]:[sales_rep]],$Y73,Sales_Export_2019_2020__2[[category]:[category]],AD$46)</f>
        <v>127524.98000000004</v>
      </c>
      <c r="AE73" s="19">
        <f>SUMIFS(Sales_Export_2019_2020__2[[profit]:[profit]],Sales_Export_2019_2020__2[[sales_rep]:[sales_rep]],$Y73,Sales_Export_2019_2020__2[[category]:[category]],AE$46)</f>
        <v>69294.929999999978</v>
      </c>
      <c r="AF73" s="19">
        <f>SUMIFS(Sales_Export_2019_2020__2[[profit]:[profit]],Sales_Export_2019_2020__2[[sales_rep]:[sales_rep]],$Y73,Sales_Export_2019_2020__2[[category]:[category]],AF$46)</f>
        <v>57976.219999999979</v>
      </c>
      <c r="AG73" s="19">
        <f>SUMIFS(Sales_Export_2019_2020__2[[profit]:[profit]],Sales_Export_2019_2020__2[[sales_rep]:[sales_rep]],$Y73,Sales_Export_2019_2020__2[[category]:[category]],AG$46)</f>
        <v>0</v>
      </c>
      <c r="AH73" s="19">
        <f>SUMIFS(Sales_Export_2019_2020__2[[profit]:[profit]],Sales_Export_2019_2020__2[[sales_rep]:[sales_rep]],$Y73,Sales_Export_2019_2020__2[[category]:[category]],AH$46)</f>
        <v>47067.049999999988</v>
      </c>
      <c r="AI73" s="19">
        <f>SUMIFS(Sales_Export_2019_2020__2[[profit]:[profit]],Sales_Export_2019_2020__2[[sales_rep]:[sales_rep]],$Y73,Sales_Export_2019_2020__2[[category]:[category]],AI$46)</f>
        <v>61594.45</v>
      </c>
    </row>
    <row r="74" spans="2:35" x14ac:dyDescent="0.35">
      <c r="B74" s="4" t="s">
        <v>170</v>
      </c>
      <c r="C74" s="14">
        <v>20780.183421052625</v>
      </c>
      <c r="D74">
        <v>38</v>
      </c>
      <c r="F74">
        <v>23</v>
      </c>
      <c r="G74" s="14">
        <v>19822.040869565215</v>
      </c>
      <c r="K74">
        <v>38</v>
      </c>
      <c r="L74" s="4" t="s">
        <v>133</v>
      </c>
      <c r="M74">
        <v>1</v>
      </c>
      <c r="N74">
        <v>8</v>
      </c>
      <c r="O74">
        <v>8</v>
      </c>
      <c r="P74">
        <v>9</v>
      </c>
      <c r="Q74">
        <v>7</v>
      </c>
      <c r="R74">
        <v>7</v>
      </c>
      <c r="S74">
        <v>4</v>
      </c>
      <c r="T74">
        <v>1</v>
      </c>
      <c r="V74">
        <v>5</v>
      </c>
      <c r="W74">
        <v>50</v>
      </c>
      <c r="Y74" s="4" t="s">
        <v>133</v>
      </c>
      <c r="Z74" s="19">
        <f>SUMIFS(Sales_Export_2019_2020__2[[profit]:[profit]],Sales_Export_2019_2020__2[[sales_rep]:[sales_rep]],$Y74,Sales_Export_2019_2020__2[[category]:[category]],Z$46)</f>
        <v>10723.720000000001</v>
      </c>
      <c r="AA74" s="19">
        <f>SUMIFS(Sales_Export_2019_2020__2[[profit]:[profit]],Sales_Export_2019_2020__2[[sales_rep]:[sales_rep]],$Y74,Sales_Export_2019_2020__2[[category]:[category]],AA$46)</f>
        <v>114716.20000000003</v>
      </c>
      <c r="AB74" s="19">
        <f>SUMIFS(Sales_Export_2019_2020__2[[profit]:[profit]],Sales_Export_2019_2020__2[[sales_rep]:[sales_rep]],$Y74,Sales_Export_2019_2020__2[[category]:[category]],AB$46)</f>
        <v>149437.08000000002</v>
      </c>
      <c r="AC74" s="19">
        <f>SUMIFS(Sales_Export_2019_2020__2[[profit]:[profit]],Sales_Export_2019_2020__2[[sales_rep]:[sales_rep]],$Y74,Sales_Export_2019_2020__2[[category]:[category]],AC$46)</f>
        <v>152809.88</v>
      </c>
      <c r="AD74" s="19">
        <f>SUMIFS(Sales_Export_2019_2020__2[[profit]:[profit]],Sales_Export_2019_2020__2[[sales_rep]:[sales_rep]],$Y74,Sales_Export_2019_2020__2[[category]:[category]],AD$46)</f>
        <v>96252.37999999999</v>
      </c>
      <c r="AE74" s="19">
        <f>SUMIFS(Sales_Export_2019_2020__2[[profit]:[profit]],Sales_Export_2019_2020__2[[sales_rep]:[sales_rep]],$Y74,Sales_Export_2019_2020__2[[category]:[category]],AE$46)</f>
        <v>175281.11</v>
      </c>
      <c r="AF74" s="19">
        <f>SUMIFS(Sales_Export_2019_2020__2[[profit]:[profit]],Sales_Export_2019_2020__2[[sales_rep]:[sales_rep]],$Y74,Sales_Export_2019_2020__2[[category]:[category]],AF$46)</f>
        <v>47083.339999999989</v>
      </c>
      <c r="AG74" s="19">
        <f>SUMIFS(Sales_Export_2019_2020__2[[profit]:[profit]],Sales_Export_2019_2020__2[[sales_rep]:[sales_rep]],$Y74,Sales_Export_2019_2020__2[[category]:[category]],AG$46)</f>
        <v>21431.020000000004</v>
      </c>
      <c r="AH74" s="19">
        <f>SUMIFS(Sales_Export_2019_2020__2[[profit]:[profit]],Sales_Export_2019_2020__2[[sales_rep]:[sales_rep]],$Y74,Sales_Export_2019_2020__2[[category]:[category]],AH$46)</f>
        <v>0</v>
      </c>
      <c r="AI74" s="19">
        <f>SUMIFS(Sales_Export_2019_2020__2[[profit]:[profit]],Sales_Export_2019_2020__2[[sales_rep]:[sales_rep]],$Y74,Sales_Export_2019_2020__2[[category]:[category]],AI$46)</f>
        <v>114790.50000000001</v>
      </c>
    </row>
    <row r="75" spans="2:35" x14ac:dyDescent="0.35">
      <c r="B75" s="4" t="s">
        <v>21</v>
      </c>
      <c r="C75" s="14">
        <v>19822.040869565215</v>
      </c>
      <c r="D75">
        <v>23</v>
      </c>
      <c r="F75">
        <v>38</v>
      </c>
      <c r="G75" s="14">
        <v>21608.279473684201</v>
      </c>
      <c r="K75">
        <v>23</v>
      </c>
      <c r="L75" s="4" t="s">
        <v>212</v>
      </c>
      <c r="M75">
        <v>1</v>
      </c>
      <c r="N75">
        <v>2</v>
      </c>
      <c r="O75">
        <v>2</v>
      </c>
      <c r="P75">
        <v>1</v>
      </c>
      <c r="Q75">
        <v>2</v>
      </c>
      <c r="R75">
        <v>4</v>
      </c>
      <c r="S75">
        <v>3</v>
      </c>
      <c r="T75">
        <v>1</v>
      </c>
      <c r="V75">
        <v>4</v>
      </c>
      <c r="W75">
        <v>20</v>
      </c>
      <c r="Y75" s="4" t="s">
        <v>212</v>
      </c>
      <c r="Z75" s="19">
        <f>SUMIFS(Sales_Export_2019_2020__2[[profit]:[profit]],Sales_Export_2019_2020__2[[sales_rep]:[sales_rep]],$Y75,Sales_Export_2019_2020__2[[category]:[category]],Z$46)</f>
        <v>45565.869999999995</v>
      </c>
      <c r="AA75" s="19">
        <f>SUMIFS(Sales_Export_2019_2020__2[[profit]:[profit]],Sales_Export_2019_2020__2[[sales_rep]:[sales_rep]],$Y75,Sales_Export_2019_2020__2[[category]:[category]],AA$46)</f>
        <v>33012.459999999992</v>
      </c>
      <c r="AB75" s="19">
        <f>SUMIFS(Sales_Export_2019_2020__2[[profit]:[profit]],Sales_Export_2019_2020__2[[sales_rep]:[sales_rep]],$Y75,Sales_Export_2019_2020__2[[category]:[category]],AB$46)</f>
        <v>65199.540000000008</v>
      </c>
      <c r="AC75" s="19">
        <f>SUMIFS(Sales_Export_2019_2020__2[[profit]:[profit]],Sales_Export_2019_2020__2[[sales_rep]:[sales_rep]],$Y75,Sales_Export_2019_2020__2[[category]:[category]],AC$46)</f>
        <v>12439.729999999996</v>
      </c>
      <c r="AD75" s="19">
        <f>SUMIFS(Sales_Export_2019_2020__2[[profit]:[profit]],Sales_Export_2019_2020__2[[sales_rep]:[sales_rep]],$Y75,Sales_Export_2019_2020__2[[category]:[category]],AD$46)</f>
        <v>37435.42</v>
      </c>
      <c r="AE75" s="19">
        <f>SUMIFS(Sales_Export_2019_2020__2[[profit]:[profit]],Sales_Export_2019_2020__2[[sales_rep]:[sales_rep]],$Y75,Sales_Export_2019_2020__2[[category]:[category]],AE$46)</f>
        <v>50294.029999999992</v>
      </c>
      <c r="AF75" s="19">
        <f>SUMIFS(Sales_Export_2019_2020__2[[profit]:[profit]],Sales_Export_2019_2020__2[[sales_rep]:[sales_rep]],$Y75,Sales_Export_2019_2020__2[[category]:[category]],AF$46)</f>
        <v>44195.709999999977</v>
      </c>
      <c r="AG75" s="19">
        <f>SUMIFS(Sales_Export_2019_2020__2[[profit]:[profit]],Sales_Export_2019_2020__2[[sales_rep]:[sales_rep]],$Y75,Sales_Export_2019_2020__2[[category]:[category]],AG$46)</f>
        <v>13347.050000000003</v>
      </c>
      <c r="AH75" s="19">
        <f>SUMIFS(Sales_Export_2019_2020__2[[profit]:[profit]],Sales_Export_2019_2020__2[[sales_rep]:[sales_rep]],$Y75,Sales_Export_2019_2020__2[[category]:[category]],AH$46)</f>
        <v>0</v>
      </c>
      <c r="AI75" s="19">
        <f>SUMIFS(Sales_Export_2019_2020__2[[profit]:[profit]],Sales_Export_2019_2020__2[[sales_rep]:[sales_rep]],$Y75,Sales_Export_2019_2020__2[[category]:[category]],AI$46)</f>
        <v>55643.429999999986</v>
      </c>
    </row>
    <row r="76" spans="2:35" x14ac:dyDescent="0.35">
      <c r="B76" s="4" t="s">
        <v>49</v>
      </c>
      <c r="C76" s="14">
        <v>21608.279473684201</v>
      </c>
      <c r="D76">
        <v>38</v>
      </c>
      <c r="K76">
        <v>38</v>
      </c>
      <c r="L76" s="78" t="s">
        <v>41</v>
      </c>
      <c r="O76">
        <v>2</v>
      </c>
      <c r="P76">
        <v>1</v>
      </c>
      <c r="Q76">
        <v>4</v>
      </c>
      <c r="R76">
        <v>1</v>
      </c>
      <c r="S76">
        <v>1</v>
      </c>
      <c r="T76">
        <v>1</v>
      </c>
      <c r="V76">
        <v>2</v>
      </c>
      <c r="W76">
        <v>12</v>
      </c>
      <c r="Y76" s="78" t="s">
        <v>41</v>
      </c>
      <c r="Z76" s="19">
        <f>SUMIFS(Sales_Export_2019_2020__2[[profit]:[profit]],Sales_Export_2019_2020__2[[sales_rep]:[sales_rep]],$Y76,Sales_Export_2019_2020__2[[category]:[category]],Z$46)</f>
        <v>0</v>
      </c>
      <c r="AA76" s="19">
        <f>SUMIFS(Sales_Export_2019_2020__2[[profit]:[profit]],Sales_Export_2019_2020__2[[sales_rep]:[sales_rep]],$Y76,Sales_Export_2019_2020__2[[category]:[category]],AA$46)</f>
        <v>0</v>
      </c>
      <c r="AB76" s="19">
        <f>SUMIFS(Sales_Export_2019_2020__2[[profit]:[profit]],Sales_Export_2019_2020__2[[sales_rep]:[sales_rep]],$Y76,Sales_Export_2019_2020__2[[category]:[category]],AB$46)</f>
        <v>29472.47</v>
      </c>
      <c r="AC76" s="19">
        <f>SUMIFS(Sales_Export_2019_2020__2[[profit]:[profit]],Sales_Export_2019_2020__2[[sales_rep]:[sales_rep]],$Y76,Sales_Export_2019_2020__2[[category]:[category]],AC$46)</f>
        <v>6672.9199999999983</v>
      </c>
      <c r="AD76" s="19">
        <f>SUMIFS(Sales_Export_2019_2020__2[[profit]:[profit]],Sales_Export_2019_2020__2[[sales_rep]:[sales_rep]],$Y76,Sales_Export_2019_2020__2[[category]:[category]],AD$46)</f>
        <v>47949.810000000012</v>
      </c>
      <c r="AE76" s="19">
        <f>SUMIFS(Sales_Export_2019_2020__2[[profit]:[profit]],Sales_Export_2019_2020__2[[sales_rep]:[sales_rep]],$Y76,Sales_Export_2019_2020__2[[category]:[category]],AE$46)</f>
        <v>16490.339999999997</v>
      </c>
      <c r="AF76" s="19">
        <f>SUMIFS(Sales_Export_2019_2020__2[[profit]:[profit]],Sales_Export_2019_2020__2[[sales_rep]:[sales_rep]],$Y76,Sales_Export_2019_2020__2[[category]:[category]],AF$46)</f>
        <v>30983.799999999988</v>
      </c>
      <c r="AG76" s="19">
        <f>SUMIFS(Sales_Export_2019_2020__2[[profit]:[profit]],Sales_Export_2019_2020__2[[sales_rep]:[sales_rep]],$Y76,Sales_Export_2019_2020__2[[category]:[category]],AG$46)</f>
        <v>5728.4799999999959</v>
      </c>
      <c r="AH76" s="19">
        <f>SUMIFS(Sales_Export_2019_2020__2[[profit]:[profit]],Sales_Export_2019_2020__2[[sales_rep]:[sales_rep]],$Y76,Sales_Export_2019_2020__2[[category]:[category]],AH$46)</f>
        <v>0</v>
      </c>
      <c r="AI76" s="19">
        <f>SUMIFS(Sales_Export_2019_2020__2[[profit]:[profit]],Sales_Export_2019_2020__2[[sales_rep]:[sales_rep]],$Y76,Sales_Export_2019_2020__2[[category]:[category]],AI$46)</f>
        <v>26620.639999999999</v>
      </c>
    </row>
    <row r="77" spans="2:35" x14ac:dyDescent="0.35">
      <c r="B77" s="4" t="s">
        <v>1164</v>
      </c>
      <c r="C77" s="14">
        <v>18992.42772</v>
      </c>
      <c r="D77">
        <v>1000</v>
      </c>
      <c r="L77" s="4" t="s">
        <v>104</v>
      </c>
      <c r="N77">
        <v>2</v>
      </c>
      <c r="P77">
        <v>2</v>
      </c>
      <c r="Q77">
        <v>3</v>
      </c>
      <c r="R77">
        <v>3</v>
      </c>
      <c r="S77">
        <v>1</v>
      </c>
      <c r="U77">
        <v>2</v>
      </c>
      <c r="V77">
        <v>2</v>
      </c>
      <c r="W77">
        <v>15</v>
      </c>
      <c r="Y77" s="4" t="s">
        <v>104</v>
      </c>
      <c r="Z77" s="19">
        <f>SUMIFS(Sales_Export_2019_2020__2[[profit]:[profit]],Sales_Export_2019_2020__2[[sales_rep]:[sales_rep]],$Y77,Sales_Export_2019_2020__2[[category]:[category]],Z$46)</f>
        <v>0</v>
      </c>
      <c r="AA77" s="19">
        <f>SUMIFS(Sales_Export_2019_2020__2[[profit]:[profit]],Sales_Export_2019_2020__2[[sales_rep]:[sales_rep]],$Y77,Sales_Export_2019_2020__2[[category]:[category]],AA$46)</f>
        <v>31192.400000000009</v>
      </c>
      <c r="AB77" s="19">
        <f>SUMIFS(Sales_Export_2019_2020__2[[profit]:[profit]],Sales_Export_2019_2020__2[[sales_rep]:[sales_rep]],$Y77,Sales_Export_2019_2020__2[[category]:[category]],AB$46)</f>
        <v>0</v>
      </c>
      <c r="AC77" s="19">
        <f>SUMIFS(Sales_Export_2019_2020__2[[profit]:[profit]],Sales_Export_2019_2020__2[[sales_rep]:[sales_rep]],$Y77,Sales_Export_2019_2020__2[[category]:[category]],AC$46)</f>
        <v>39728.859999999986</v>
      </c>
      <c r="AD77" s="19">
        <f>SUMIFS(Sales_Export_2019_2020__2[[profit]:[profit]],Sales_Export_2019_2020__2[[sales_rep]:[sales_rep]],$Y77,Sales_Export_2019_2020__2[[category]:[category]],AD$46)</f>
        <v>72969.439999999988</v>
      </c>
      <c r="AE77" s="19">
        <f>SUMIFS(Sales_Export_2019_2020__2[[profit]:[profit]],Sales_Export_2019_2020__2[[sales_rep]:[sales_rep]],$Y77,Sales_Export_2019_2020__2[[category]:[category]],AE$46)</f>
        <v>52357.180000000008</v>
      </c>
      <c r="AF77" s="19">
        <f>SUMIFS(Sales_Export_2019_2020__2[[profit]:[profit]],Sales_Export_2019_2020__2[[sales_rep]:[sales_rep]],$Y77,Sales_Export_2019_2020__2[[category]:[category]],AF$46)</f>
        <v>7679.9199999999983</v>
      </c>
      <c r="AG77" s="19">
        <f>SUMIFS(Sales_Export_2019_2020__2[[profit]:[profit]],Sales_Export_2019_2020__2[[sales_rep]:[sales_rep]],$Y77,Sales_Export_2019_2020__2[[category]:[category]],AG$46)</f>
        <v>0</v>
      </c>
      <c r="AH77" s="19">
        <f>SUMIFS(Sales_Export_2019_2020__2[[profit]:[profit]],Sales_Export_2019_2020__2[[sales_rep]:[sales_rep]],$Y77,Sales_Export_2019_2020__2[[category]:[category]],AH$46)</f>
        <v>32902.580000000016</v>
      </c>
      <c r="AI77" s="19">
        <f>SUMIFS(Sales_Export_2019_2020__2[[profit]:[profit]],Sales_Export_2019_2020__2[[sales_rep]:[sales_rep]],$Y77,Sales_Export_2019_2020__2[[category]:[category]],AI$46)</f>
        <v>35128.479999999989</v>
      </c>
    </row>
    <row r="78" spans="2:35" x14ac:dyDescent="0.35">
      <c r="I78" s="3" t="s">
        <v>1225</v>
      </c>
      <c r="J78" t="s">
        <v>1165</v>
      </c>
      <c r="L78" s="4" t="s">
        <v>27</v>
      </c>
      <c r="M78">
        <v>2</v>
      </c>
      <c r="N78">
        <v>7</v>
      </c>
      <c r="O78">
        <v>3</v>
      </c>
      <c r="P78">
        <v>3</v>
      </c>
      <c r="Q78">
        <v>4</v>
      </c>
      <c r="R78">
        <v>4</v>
      </c>
      <c r="S78">
        <v>10</v>
      </c>
      <c r="T78">
        <v>1</v>
      </c>
      <c r="U78">
        <v>4</v>
      </c>
      <c r="V78">
        <v>3</v>
      </c>
      <c r="W78">
        <v>41</v>
      </c>
      <c r="Y78" s="4" t="s">
        <v>27</v>
      </c>
      <c r="Z78" s="19">
        <f>SUMIFS(Sales_Export_2019_2020__2[[profit]:[profit]],Sales_Export_2019_2020__2[[sales_rep]:[sales_rep]],$Y78,Sales_Export_2019_2020__2[[category]:[category]],Z$46)</f>
        <v>44608.649999999994</v>
      </c>
      <c r="AA78" s="19">
        <f>SUMIFS(Sales_Export_2019_2020__2[[profit]:[profit]],Sales_Export_2019_2020__2[[sales_rep]:[sales_rep]],$Y78,Sales_Export_2019_2020__2[[category]:[category]],AA$46)</f>
        <v>102453.53000000003</v>
      </c>
      <c r="AB78" s="19">
        <f>SUMIFS(Sales_Export_2019_2020__2[[profit]:[profit]],Sales_Export_2019_2020__2[[sales_rep]:[sales_rep]],$Y78,Sales_Export_2019_2020__2[[category]:[category]],AB$46)</f>
        <v>67856.850000000006</v>
      </c>
      <c r="AC78" s="19">
        <f>SUMIFS(Sales_Export_2019_2020__2[[profit]:[profit]],Sales_Export_2019_2020__2[[sales_rep]:[sales_rep]],$Y78,Sales_Export_2019_2020__2[[category]:[category]],AC$46)</f>
        <v>23692.459999999995</v>
      </c>
      <c r="AD78" s="19">
        <f>SUMIFS(Sales_Export_2019_2020__2[[profit]:[profit]],Sales_Export_2019_2020__2[[sales_rep]:[sales_rep]],$Y78,Sales_Export_2019_2020__2[[category]:[category]],AD$46)</f>
        <v>93666.450000000012</v>
      </c>
      <c r="AE78" s="19">
        <f>SUMIFS(Sales_Export_2019_2020__2[[profit]:[profit]],Sales_Export_2019_2020__2[[sales_rep]:[sales_rep]],$Y78,Sales_Export_2019_2020__2[[category]:[category]],AE$46)</f>
        <v>46106.80000000001</v>
      </c>
      <c r="AF78" s="19">
        <f>SUMIFS(Sales_Export_2019_2020__2[[profit]:[profit]],Sales_Export_2019_2020__2[[sales_rep]:[sales_rep]],$Y78,Sales_Export_2019_2020__2[[category]:[category]],AF$46)</f>
        <v>183770.20000000004</v>
      </c>
      <c r="AG78" s="19">
        <f>SUMIFS(Sales_Export_2019_2020__2[[profit]:[profit]],Sales_Export_2019_2020__2[[sales_rep]:[sales_rep]],$Y78,Sales_Export_2019_2020__2[[category]:[category]],AG$46)</f>
        <v>6281.6399999999994</v>
      </c>
      <c r="AH78" s="19">
        <f>SUMIFS(Sales_Export_2019_2020__2[[profit]:[profit]],Sales_Export_2019_2020__2[[sales_rep]:[sales_rep]],$Y78,Sales_Export_2019_2020__2[[category]:[category]],AH$46)</f>
        <v>75194.66</v>
      </c>
      <c r="AI78" s="19">
        <f>SUMIFS(Sales_Export_2019_2020__2[[profit]:[profit]],Sales_Export_2019_2020__2[[sales_rep]:[sales_rep]],$Y78,Sales_Export_2019_2020__2[[category]:[category]],AI$46)</f>
        <v>67685.460000000006</v>
      </c>
    </row>
    <row r="79" spans="2:35" x14ac:dyDescent="0.35">
      <c r="B79" s="3" t="s">
        <v>1225</v>
      </c>
      <c r="C79" t="s">
        <v>1168</v>
      </c>
      <c r="I79" s="4" t="s">
        <v>46</v>
      </c>
      <c r="J79" s="14">
        <v>783896.33000000007</v>
      </c>
      <c r="L79" s="4" t="s">
        <v>170</v>
      </c>
      <c r="M79">
        <v>1</v>
      </c>
      <c r="N79">
        <v>6</v>
      </c>
      <c r="O79">
        <v>4</v>
      </c>
      <c r="P79">
        <v>4</v>
      </c>
      <c r="Q79">
        <v>7</v>
      </c>
      <c r="R79">
        <v>8</v>
      </c>
      <c r="S79">
        <v>4</v>
      </c>
      <c r="T79">
        <v>1</v>
      </c>
      <c r="U79">
        <v>1</v>
      </c>
      <c r="V79">
        <v>2</v>
      </c>
      <c r="W79">
        <v>38</v>
      </c>
      <c r="Y79" s="4" t="s">
        <v>170</v>
      </c>
      <c r="Z79" s="19">
        <f>SUMIFS(Sales_Export_2019_2020__2[[profit]:[profit]],Sales_Export_2019_2020__2[[sales_rep]:[sales_rep]],$Y79,Sales_Export_2019_2020__2[[category]:[category]],Z$46)</f>
        <v>45802.880000000005</v>
      </c>
      <c r="AA79" s="19">
        <f>SUMIFS(Sales_Export_2019_2020__2[[profit]:[profit]],Sales_Export_2019_2020__2[[sales_rep]:[sales_rep]],$Y79,Sales_Export_2019_2020__2[[category]:[category]],AA$46)</f>
        <v>125629.82000000004</v>
      </c>
      <c r="AB79" s="19">
        <f>SUMIFS(Sales_Export_2019_2020__2[[profit]:[profit]],Sales_Export_2019_2020__2[[sales_rep]:[sales_rep]],$Y79,Sales_Export_2019_2020__2[[category]:[category]],AB$46)</f>
        <v>58254.610000000008</v>
      </c>
      <c r="AC79" s="19">
        <f>SUMIFS(Sales_Export_2019_2020__2[[profit]:[profit]],Sales_Export_2019_2020__2[[sales_rep]:[sales_rep]],$Y79,Sales_Export_2019_2020__2[[category]:[category]],AC$46)</f>
        <v>74822.490000000005</v>
      </c>
      <c r="AD79" s="19">
        <f>SUMIFS(Sales_Export_2019_2020__2[[profit]:[profit]],Sales_Export_2019_2020__2[[sales_rep]:[sales_rep]],$Y79,Sales_Export_2019_2020__2[[category]:[category]],AD$46)</f>
        <v>139521.18000000002</v>
      </c>
      <c r="AE79" s="19">
        <f>SUMIFS(Sales_Export_2019_2020__2[[profit]:[profit]],Sales_Export_2019_2020__2[[sales_rep]:[sales_rep]],$Y79,Sales_Export_2019_2020__2[[category]:[category]],AE$46)</f>
        <v>180788.92999999996</v>
      </c>
      <c r="AF79" s="19">
        <f>SUMIFS(Sales_Export_2019_2020__2[[profit]:[profit]],Sales_Export_2019_2020__2[[sales_rep]:[sales_rep]],$Y79,Sales_Export_2019_2020__2[[category]:[category]],AF$46)</f>
        <v>54980.240000000005</v>
      </c>
      <c r="AG79" s="19">
        <f>SUMIFS(Sales_Export_2019_2020__2[[profit]:[profit]],Sales_Export_2019_2020__2[[sales_rep]:[sales_rep]],$Y79,Sales_Export_2019_2020__2[[category]:[category]],AG$46)</f>
        <v>51918.06</v>
      </c>
      <c r="AH79" s="19">
        <f>SUMIFS(Sales_Export_2019_2020__2[[profit]:[profit]],Sales_Export_2019_2020__2[[sales_rep]:[sales_rep]],$Y79,Sales_Export_2019_2020__2[[category]:[category]],AH$46)</f>
        <v>21944.839999999997</v>
      </c>
      <c r="AI79" s="19">
        <f>SUMIFS(Sales_Export_2019_2020__2[[profit]:[profit]],Sales_Export_2019_2020__2[[sales_rep]:[sales_rep]],$Y79,Sales_Export_2019_2020__2[[category]:[category]],AI$46)</f>
        <v>35983.919999999998</v>
      </c>
    </row>
    <row r="80" spans="2:35" x14ac:dyDescent="0.35">
      <c r="B80" s="4" t="s">
        <v>82</v>
      </c>
      <c r="C80" s="14">
        <v>18553.631750000011</v>
      </c>
      <c r="E80" t="s">
        <v>1326</v>
      </c>
      <c r="F80">
        <f>CORREL(C42:C76,D42:D76)</f>
        <v>0.43963324107954238</v>
      </c>
      <c r="I80" s="4" t="s">
        <v>51</v>
      </c>
      <c r="J80" s="14">
        <v>2534879.3399999994</v>
      </c>
      <c r="L80" s="4" t="s">
        <v>21</v>
      </c>
      <c r="N80">
        <v>4</v>
      </c>
      <c r="O80">
        <v>3</v>
      </c>
      <c r="P80">
        <v>1</v>
      </c>
      <c r="Q80">
        <v>5</v>
      </c>
      <c r="R80">
        <v>2</v>
      </c>
      <c r="S80">
        <v>6</v>
      </c>
      <c r="T80">
        <v>1</v>
      </c>
      <c r="U80">
        <v>1</v>
      </c>
      <c r="W80">
        <v>23</v>
      </c>
      <c r="Y80" s="4" t="s">
        <v>21</v>
      </c>
      <c r="Z80" s="19">
        <f>SUMIFS(Sales_Export_2019_2020__2[[profit]:[profit]],Sales_Export_2019_2020__2[[sales_rep]:[sales_rep]],$Y80,Sales_Export_2019_2020__2[[category]:[category]],Z$46)</f>
        <v>0</v>
      </c>
      <c r="AA80" s="19">
        <f>SUMIFS(Sales_Export_2019_2020__2[[profit]:[profit]],Sales_Export_2019_2020__2[[sales_rep]:[sales_rep]],$Y80,Sales_Export_2019_2020__2[[category]:[category]],AA$46)</f>
        <v>66993.410000000033</v>
      </c>
      <c r="AB80" s="19">
        <f>SUMIFS(Sales_Export_2019_2020__2[[profit]:[profit]],Sales_Export_2019_2020__2[[sales_rep]:[sales_rep]],$Y80,Sales_Export_2019_2020__2[[category]:[category]],AB$46)</f>
        <v>72652.459999999992</v>
      </c>
      <c r="AC80" s="19">
        <f>SUMIFS(Sales_Export_2019_2020__2[[profit]:[profit]],Sales_Export_2019_2020__2[[sales_rep]:[sales_rep]],$Y80,Sales_Export_2019_2020__2[[category]:[category]],AC$46)</f>
        <v>22742.01999999999</v>
      </c>
      <c r="AD80" s="19">
        <f>SUMIFS(Sales_Export_2019_2020__2[[profit]:[profit]],Sales_Export_2019_2020__2[[sales_rep]:[sales_rep]],$Y80,Sales_Export_2019_2020__2[[category]:[category]],AD$46)</f>
        <v>124359.09999999998</v>
      </c>
      <c r="AE80" s="19">
        <f>SUMIFS(Sales_Export_2019_2020__2[[profit]:[profit]],Sales_Export_2019_2020__2[[sales_rep]:[sales_rep]],$Y80,Sales_Export_2019_2020__2[[category]:[category]],AE$46)</f>
        <v>12219.259999999998</v>
      </c>
      <c r="AF80" s="19">
        <f>SUMIFS(Sales_Export_2019_2020__2[[profit]:[profit]],Sales_Export_2019_2020__2[[sales_rep]:[sales_rep]],$Y80,Sales_Export_2019_2020__2[[category]:[category]],AF$46)</f>
        <v>126064.77000000003</v>
      </c>
      <c r="AG80" s="19">
        <f>SUMIFS(Sales_Export_2019_2020__2[[profit]:[profit]],Sales_Export_2019_2020__2[[sales_rep]:[sales_rep]],$Y80,Sales_Export_2019_2020__2[[category]:[category]],AG$46)</f>
        <v>19705.75</v>
      </c>
      <c r="AH80" s="19">
        <f>SUMIFS(Sales_Export_2019_2020__2[[profit]:[profit]],Sales_Export_2019_2020__2[[sales_rep]:[sales_rep]],$Y80,Sales_Export_2019_2020__2[[category]:[category]],AH$46)</f>
        <v>11170.169999999998</v>
      </c>
      <c r="AI80" s="19">
        <f>SUMIFS(Sales_Export_2019_2020__2[[profit]:[profit]],Sales_Export_2019_2020__2[[sales_rep]:[sales_rep]],$Y80,Sales_Export_2019_2020__2[[category]:[category]],AI$46)</f>
        <v>0</v>
      </c>
    </row>
    <row r="81" spans="2:47" x14ac:dyDescent="0.35">
      <c r="B81" s="4" t="s">
        <v>72</v>
      </c>
      <c r="C81" s="14">
        <v>19614.37750000001</v>
      </c>
      <c r="F81">
        <f>AVERAGE(D42:D76)</f>
        <v>28.571428571428573</v>
      </c>
      <c r="I81" s="4" t="s">
        <v>30</v>
      </c>
      <c r="J81" s="14">
        <v>2118427.4299999992</v>
      </c>
      <c r="L81" s="4" t="s">
        <v>49</v>
      </c>
      <c r="M81">
        <v>3</v>
      </c>
      <c r="N81">
        <v>2</v>
      </c>
      <c r="O81">
        <v>4</v>
      </c>
      <c r="P81">
        <v>9</v>
      </c>
      <c r="Q81">
        <v>8</v>
      </c>
      <c r="R81">
        <v>2</v>
      </c>
      <c r="S81">
        <v>3</v>
      </c>
      <c r="T81">
        <v>2</v>
      </c>
      <c r="U81">
        <v>3</v>
      </c>
      <c r="V81">
        <v>2</v>
      </c>
      <c r="W81">
        <v>38</v>
      </c>
      <c r="Y81" s="4" t="s">
        <v>49</v>
      </c>
      <c r="Z81" s="19">
        <f>SUMIFS(Sales_Export_2019_2020__2[[profit]:[profit]],Sales_Export_2019_2020__2[[sales_rep]:[sales_rep]],$Y81,Sales_Export_2019_2020__2[[category]:[category]],Z$46)</f>
        <v>84454.280000000028</v>
      </c>
      <c r="AA81" s="19">
        <f>SUMIFS(Sales_Export_2019_2020__2[[profit]:[profit]],Sales_Export_2019_2020__2[[sales_rep]:[sales_rep]],$Y81,Sales_Export_2019_2020__2[[category]:[category]],AA$46)</f>
        <v>25590.439999999988</v>
      </c>
      <c r="AB81" s="19">
        <f>SUMIFS(Sales_Export_2019_2020__2[[profit]:[profit]],Sales_Export_2019_2020__2[[sales_rep]:[sales_rep]],$Y81,Sales_Export_2019_2020__2[[category]:[category]],AB$46)</f>
        <v>57278.539999999994</v>
      </c>
      <c r="AC81" s="19">
        <f>SUMIFS(Sales_Export_2019_2020__2[[profit]:[profit]],Sales_Export_2019_2020__2[[sales_rep]:[sales_rep]],$Y81,Sales_Export_2019_2020__2[[category]:[category]],AC$46)</f>
        <v>167134.78000000003</v>
      </c>
      <c r="AD81" s="19">
        <f>SUMIFS(Sales_Export_2019_2020__2[[profit]:[profit]],Sales_Export_2019_2020__2[[sales_rep]:[sales_rep]],$Y81,Sales_Export_2019_2020__2[[category]:[category]],AD$46)</f>
        <v>185266.09999999998</v>
      </c>
      <c r="AE81" s="19">
        <f>SUMIFS(Sales_Export_2019_2020__2[[profit]:[profit]],Sales_Export_2019_2020__2[[sales_rep]:[sales_rep]],$Y81,Sales_Export_2019_2020__2[[category]:[category]],AE$46)</f>
        <v>32493.389999999985</v>
      </c>
      <c r="AF81" s="19">
        <f>SUMIFS(Sales_Export_2019_2020__2[[profit]:[profit]],Sales_Export_2019_2020__2[[sales_rep]:[sales_rep]],$Y81,Sales_Export_2019_2020__2[[category]:[category]],AF$46)</f>
        <v>39253.779999999992</v>
      </c>
      <c r="AG81" s="19">
        <f>SUMIFS(Sales_Export_2019_2020__2[[profit]:[profit]],Sales_Export_2019_2020__2[[sales_rep]:[sales_rep]],$Y81,Sales_Export_2019_2020__2[[category]:[category]],AG$46)</f>
        <v>81723.720000000016</v>
      </c>
      <c r="AH81" s="19">
        <f>SUMIFS(Sales_Export_2019_2020__2[[profit]:[profit]],Sales_Export_2019_2020__2[[sales_rep]:[sales_rep]],$Y81,Sales_Export_2019_2020__2[[category]:[category]],AH$46)</f>
        <v>102010.21</v>
      </c>
      <c r="AI81" s="19">
        <f>SUMIFS(Sales_Export_2019_2020__2[[profit]:[profit]],Sales_Export_2019_2020__2[[sales_rep]:[sales_rep]],$Y81,Sales_Export_2019_2020__2[[category]:[category]],AI$46)</f>
        <v>45909.380000000019</v>
      </c>
    </row>
    <row r="82" spans="2:47" x14ac:dyDescent="0.35">
      <c r="B82" s="4" t="s">
        <v>69</v>
      </c>
      <c r="C82" s="14">
        <v>17251.022500000003</v>
      </c>
      <c r="I82" s="4" t="s">
        <v>11</v>
      </c>
      <c r="J82" s="14">
        <v>2225913.8799999994</v>
      </c>
      <c r="L82" s="4" t="s">
        <v>1164</v>
      </c>
      <c r="M82">
        <v>35</v>
      </c>
      <c r="N82">
        <v>131</v>
      </c>
      <c r="O82">
        <v>115</v>
      </c>
      <c r="P82">
        <v>117</v>
      </c>
      <c r="Q82">
        <v>155</v>
      </c>
      <c r="R82">
        <v>134</v>
      </c>
      <c r="S82">
        <v>139</v>
      </c>
      <c r="T82">
        <v>29</v>
      </c>
      <c r="U82">
        <v>50</v>
      </c>
      <c r="V82">
        <v>95</v>
      </c>
      <c r="W82">
        <v>1000</v>
      </c>
      <c r="Y82" s="21" t="s">
        <v>1264</v>
      </c>
      <c r="Z82" s="19">
        <f>AVERAGEIF(Z47:Z81,"&lt;&gt;0",Z47:Z81)</f>
        <v>37328.396666666667</v>
      </c>
      <c r="AA82" s="19">
        <f t="shared" ref="AA82:AI82" si="3">AVERAGEIF(AA47:AA81,"&lt;&gt;0",AA47:AA81)</f>
        <v>79214.979374999995</v>
      </c>
      <c r="AB82" s="19">
        <f t="shared" si="3"/>
        <v>73049.22172413794</v>
      </c>
      <c r="AC82" s="19">
        <f t="shared" si="3"/>
        <v>71803.673548387102</v>
      </c>
      <c r="AD82" s="19">
        <f t="shared" si="3"/>
        <v>98064.603000000032</v>
      </c>
      <c r="AE82" s="19">
        <f t="shared" si="3"/>
        <v>75035.40625</v>
      </c>
      <c r="AF82" s="19">
        <f t="shared" si="3"/>
        <v>75288.110882352936</v>
      </c>
      <c r="AG82" s="19">
        <f t="shared" si="3"/>
        <v>26144.46238095238</v>
      </c>
      <c r="AH82" s="19">
        <f t="shared" si="3"/>
        <v>44031.771249999998</v>
      </c>
      <c r="AI82" s="19">
        <f t="shared" si="3"/>
        <v>62780.953793103428</v>
      </c>
    </row>
    <row r="83" spans="2:47" x14ac:dyDescent="0.35">
      <c r="B83" s="4" t="s">
        <v>32</v>
      </c>
      <c r="C83" s="14">
        <v>18242.499038461541</v>
      </c>
      <c r="I83" s="4" t="s">
        <v>24</v>
      </c>
      <c r="J83" s="14">
        <v>2941938.0900000008</v>
      </c>
      <c r="L83" s="20"/>
      <c r="M83" s="20"/>
      <c r="N83" s="20"/>
      <c r="O83" s="20"/>
      <c r="P83" s="20"/>
      <c r="Q83" s="20"/>
      <c r="R83" s="20"/>
      <c r="S83" s="20"/>
      <c r="T83" s="20"/>
      <c r="U83" s="20"/>
      <c r="V83" s="20"/>
      <c r="Y83" s="9" t="s">
        <v>1269</v>
      </c>
      <c r="Z83" s="20" t="s">
        <v>46</v>
      </c>
      <c r="AA83" s="20" t="s">
        <v>51</v>
      </c>
      <c r="AB83" s="20" t="s">
        <v>30</v>
      </c>
      <c r="AC83" s="20" t="s">
        <v>11</v>
      </c>
      <c r="AD83" s="20" t="s">
        <v>24</v>
      </c>
      <c r="AE83" s="20" t="s">
        <v>80</v>
      </c>
      <c r="AF83" s="20" t="s">
        <v>18</v>
      </c>
      <c r="AG83" s="20" t="s">
        <v>139</v>
      </c>
      <c r="AH83" s="20" t="s">
        <v>62</v>
      </c>
      <c r="AI83" s="20" t="s">
        <v>60</v>
      </c>
      <c r="AK83" s="9" t="s">
        <v>1270</v>
      </c>
      <c r="AL83" s="20" t="s">
        <v>46</v>
      </c>
      <c r="AM83" s="20" t="s">
        <v>51</v>
      </c>
      <c r="AN83" s="20" t="s">
        <v>30</v>
      </c>
      <c r="AO83" s="20" t="s">
        <v>11</v>
      </c>
      <c r="AP83" s="20" t="s">
        <v>24</v>
      </c>
      <c r="AQ83" s="20" t="s">
        <v>80</v>
      </c>
      <c r="AR83" s="20" t="s">
        <v>18</v>
      </c>
      <c r="AS83" s="20" t="s">
        <v>139</v>
      </c>
      <c r="AT83" s="20" t="s">
        <v>62</v>
      </c>
      <c r="AU83" s="20" t="s">
        <v>60</v>
      </c>
    </row>
    <row r="84" spans="2:47" x14ac:dyDescent="0.35">
      <c r="B84" s="4" t="s">
        <v>144</v>
      </c>
      <c r="C84" s="14">
        <v>18656.654883720923</v>
      </c>
      <c r="I84" s="4" t="s">
        <v>80</v>
      </c>
      <c r="J84" s="14">
        <v>2401132.9999999995</v>
      </c>
      <c r="L84" s="4"/>
      <c r="Y84" s="4" t="s">
        <v>82</v>
      </c>
      <c r="Z84" s="22">
        <f>Z47/SUM($Z47:$AI47)</f>
        <v>2.0243826387251654E-2</v>
      </c>
      <c r="AA84" s="22">
        <f t="shared" ref="AA84:AI84" si="4">AA47/SUM($Z47:$AI47)</f>
        <v>6.0930442903718844E-2</v>
      </c>
      <c r="AB84" s="22">
        <f t="shared" si="4"/>
        <v>0.15647621118706317</v>
      </c>
      <c r="AC84" s="22">
        <f t="shared" si="4"/>
        <v>8.1177274093520796E-2</v>
      </c>
      <c r="AD84" s="22">
        <f t="shared" si="4"/>
        <v>0.18843388976931702</v>
      </c>
      <c r="AE84" s="22">
        <f t="shared" si="4"/>
        <v>0.11275398952552781</v>
      </c>
      <c r="AF84" s="22">
        <f t="shared" si="4"/>
        <v>0.10161843381417764</v>
      </c>
      <c r="AG84" s="22">
        <f t="shared" si="4"/>
        <v>5.4955709682014166E-2</v>
      </c>
      <c r="AH84" s="22">
        <f t="shared" si="4"/>
        <v>4.4417813240256863E-2</v>
      </c>
      <c r="AI84" s="22">
        <f t="shared" si="4"/>
        <v>0.17899240939715211</v>
      </c>
      <c r="AK84" s="4" t="s">
        <v>82</v>
      </c>
      <c r="AL84" s="22">
        <f>M85/$W85</f>
        <v>2.5000000000000001E-2</v>
      </c>
      <c r="AM84" s="22">
        <f>N85/$W85</f>
        <v>0.1</v>
      </c>
      <c r="AN84" s="22">
        <f t="shared" ref="AN84:AU84" si="5">O$85/$W85</f>
        <v>0.1</v>
      </c>
      <c r="AO84" s="22">
        <f t="shared" si="5"/>
        <v>0.1</v>
      </c>
      <c r="AP84" s="22">
        <f t="shared" si="5"/>
        <v>0.22500000000000001</v>
      </c>
      <c r="AQ84" s="22">
        <f t="shared" si="5"/>
        <v>0.1</v>
      </c>
      <c r="AR84" s="22">
        <f t="shared" si="5"/>
        <v>0.15</v>
      </c>
      <c r="AS84" s="22">
        <f t="shared" si="5"/>
        <v>7.4999999999999997E-2</v>
      </c>
      <c r="AT84" s="22">
        <f t="shared" si="5"/>
        <v>2.5000000000000001E-2</v>
      </c>
      <c r="AU84" s="22">
        <f t="shared" si="5"/>
        <v>0.1</v>
      </c>
    </row>
    <row r="85" spans="2:47" x14ac:dyDescent="0.35">
      <c r="B85" s="4" t="s">
        <v>410</v>
      </c>
      <c r="C85" s="14">
        <v>17859.190000000002</v>
      </c>
      <c r="I85" s="4" t="s">
        <v>18</v>
      </c>
      <c r="J85" s="14">
        <v>2559795.7700000005</v>
      </c>
      <c r="L85" s="4" t="s">
        <v>82</v>
      </c>
      <c r="M85">
        <v>1</v>
      </c>
      <c r="N85">
        <v>4</v>
      </c>
      <c r="O85">
        <v>4</v>
      </c>
      <c r="P85">
        <v>4</v>
      </c>
      <c r="Q85">
        <v>9</v>
      </c>
      <c r="R85">
        <v>4</v>
      </c>
      <c r="S85">
        <v>6</v>
      </c>
      <c r="T85">
        <v>3</v>
      </c>
      <c r="U85">
        <v>1</v>
      </c>
      <c r="V85">
        <v>4</v>
      </c>
      <c r="W85">
        <v>40</v>
      </c>
      <c r="Y85" s="4" t="s">
        <v>72</v>
      </c>
      <c r="Z85" s="22">
        <f t="shared" ref="Z85:AG118" si="6">Z48/SUM($Z48:$AI48)</f>
        <v>0</v>
      </c>
      <c r="AA85" s="22">
        <f t="shared" si="6"/>
        <v>0.1820273346499453</v>
      </c>
      <c r="AB85" s="22">
        <f t="shared" si="6"/>
        <v>4.8423207487903755E-2</v>
      </c>
      <c r="AC85" s="22">
        <f t="shared" si="6"/>
        <v>7.9932145983949043E-2</v>
      </c>
      <c r="AD85" s="22">
        <f t="shared" si="6"/>
        <v>0.19211651722605735</v>
      </c>
      <c r="AE85" s="22">
        <f t="shared" si="6"/>
        <v>0.14725349883195191</v>
      </c>
      <c r="AF85" s="22">
        <f t="shared" si="6"/>
        <v>0.13630376857122137</v>
      </c>
      <c r="AG85" s="22">
        <f t="shared" si="6"/>
        <v>5.3803508239227645E-2</v>
      </c>
      <c r="AH85" s="22">
        <f t="shared" ref="AH85:AI85" si="7">AH48/SUM($Z48:$AI48)</f>
        <v>4.8928977153184096E-2</v>
      </c>
      <c r="AI85" s="22">
        <f t="shared" si="7"/>
        <v>0.11121104185655942</v>
      </c>
      <c r="AK85" s="4" t="s">
        <v>72</v>
      </c>
      <c r="AL85" s="22">
        <f>M86/$W86</f>
        <v>0</v>
      </c>
      <c r="AM85" s="22">
        <f t="shared" ref="AM85:AU100" si="8">N86/$W86</f>
        <v>0.17857142857142858</v>
      </c>
      <c r="AN85" s="22">
        <f t="shared" si="8"/>
        <v>5.3571428571428568E-2</v>
      </c>
      <c r="AO85" s="22">
        <f t="shared" si="8"/>
        <v>7.1428571428571425E-2</v>
      </c>
      <c r="AP85" s="22">
        <f t="shared" si="8"/>
        <v>0.16071428571428573</v>
      </c>
      <c r="AQ85" s="22">
        <f t="shared" si="8"/>
        <v>0.17857142857142858</v>
      </c>
      <c r="AR85" s="22">
        <f t="shared" si="8"/>
        <v>0.125</v>
      </c>
      <c r="AS85" s="22">
        <f t="shared" si="8"/>
        <v>7.1428571428571425E-2</v>
      </c>
      <c r="AT85" s="22">
        <f t="shared" si="8"/>
        <v>3.5714285714285712E-2</v>
      </c>
      <c r="AU85" s="22">
        <f t="shared" si="8"/>
        <v>0.125</v>
      </c>
    </row>
    <row r="86" spans="2:47" x14ac:dyDescent="0.35">
      <c r="B86" s="4" t="s">
        <v>162</v>
      </c>
      <c r="C86" s="14">
        <v>22229.617333333335</v>
      </c>
      <c r="I86" s="4" t="s">
        <v>139</v>
      </c>
      <c r="J86" s="14">
        <v>549033.71</v>
      </c>
      <c r="L86" s="4" t="s">
        <v>72</v>
      </c>
      <c r="N86">
        <v>10</v>
      </c>
      <c r="O86">
        <v>3</v>
      </c>
      <c r="P86">
        <v>4</v>
      </c>
      <c r="Q86">
        <v>9</v>
      </c>
      <c r="R86">
        <v>10</v>
      </c>
      <c r="S86">
        <v>7</v>
      </c>
      <c r="T86">
        <v>4</v>
      </c>
      <c r="U86">
        <v>2</v>
      </c>
      <c r="V86">
        <v>7</v>
      </c>
      <c r="W86">
        <v>56</v>
      </c>
      <c r="Y86" s="4" t="s">
        <v>69</v>
      </c>
      <c r="Z86" s="22">
        <f t="shared" si="6"/>
        <v>0.11043617527276682</v>
      </c>
      <c r="AA86" s="22">
        <f t="shared" si="6"/>
        <v>6.8772252002260573E-2</v>
      </c>
      <c r="AB86" s="22">
        <f t="shared" si="6"/>
        <v>0.14675395811079214</v>
      </c>
      <c r="AC86" s="22">
        <f t="shared" si="6"/>
        <v>0.11563617299914961</v>
      </c>
      <c r="AD86" s="22">
        <f t="shared" si="6"/>
        <v>0.11950736060234496</v>
      </c>
      <c r="AE86" s="22">
        <f t="shared" si="6"/>
        <v>0.14580182453275189</v>
      </c>
      <c r="AF86" s="22">
        <f t="shared" si="6"/>
        <v>0.13126489233383765</v>
      </c>
      <c r="AG86" s="22">
        <f t="shared" si="6"/>
        <v>2.7849540834785615E-2</v>
      </c>
      <c r="AH86" s="22">
        <f t="shared" ref="AH86:AI86" si="9">AH49/SUM($Z49:$AI49)</f>
        <v>0</v>
      </c>
      <c r="AI86" s="22">
        <f t="shared" si="9"/>
        <v>0.13397782331131058</v>
      </c>
      <c r="AK86" s="4" t="s">
        <v>69</v>
      </c>
      <c r="AL86" s="22">
        <f t="shared" ref="AL86:AU118" si="10">M87/$W87</f>
        <v>5.5555555555555552E-2</v>
      </c>
      <c r="AM86" s="22">
        <f t="shared" si="8"/>
        <v>8.3333333333333329E-2</v>
      </c>
      <c r="AN86" s="22">
        <f t="shared" si="8"/>
        <v>0.22222222222222221</v>
      </c>
      <c r="AO86" s="22">
        <f t="shared" si="8"/>
        <v>0.1388888888888889</v>
      </c>
      <c r="AP86" s="22">
        <f t="shared" si="8"/>
        <v>0.1388888888888889</v>
      </c>
      <c r="AQ86" s="22">
        <f t="shared" si="8"/>
        <v>0.1388888888888889</v>
      </c>
      <c r="AR86" s="22">
        <f t="shared" si="8"/>
        <v>8.3333333333333329E-2</v>
      </c>
      <c r="AS86" s="22">
        <f t="shared" si="8"/>
        <v>2.7777777777777776E-2</v>
      </c>
      <c r="AT86" s="22">
        <f t="shared" si="8"/>
        <v>0</v>
      </c>
      <c r="AU86" s="22">
        <f t="shared" si="8"/>
        <v>0.1111111111111111</v>
      </c>
    </row>
    <row r="87" spans="2:47" x14ac:dyDescent="0.35">
      <c r="B87" s="4" t="s">
        <v>37</v>
      </c>
      <c r="C87" s="14">
        <v>19239.036666666649</v>
      </c>
      <c r="I87" s="4" t="s">
        <v>62</v>
      </c>
      <c r="J87" s="14">
        <v>1056762.5099999998</v>
      </c>
      <c r="L87" s="4" t="s">
        <v>69</v>
      </c>
      <c r="M87">
        <v>2</v>
      </c>
      <c r="N87">
        <v>3</v>
      </c>
      <c r="O87">
        <v>8</v>
      </c>
      <c r="P87">
        <v>5</v>
      </c>
      <c r="Q87">
        <v>5</v>
      </c>
      <c r="R87">
        <v>5</v>
      </c>
      <c r="S87">
        <v>3</v>
      </c>
      <c r="T87">
        <v>1</v>
      </c>
      <c r="V87">
        <v>4</v>
      </c>
      <c r="W87">
        <v>36</v>
      </c>
      <c r="Y87" s="4" t="s">
        <v>32</v>
      </c>
      <c r="Z87" s="22">
        <f t="shared" si="6"/>
        <v>3.3974248319870552E-2</v>
      </c>
      <c r="AA87" s="22">
        <f t="shared" si="6"/>
        <v>0.12651591942504925</v>
      </c>
      <c r="AB87" s="22">
        <f t="shared" si="6"/>
        <v>6.767354696205749E-2</v>
      </c>
      <c r="AC87" s="22">
        <f t="shared" si="6"/>
        <v>0.17421606214440402</v>
      </c>
      <c r="AD87" s="22">
        <f t="shared" si="6"/>
        <v>0.131183865402213</v>
      </c>
      <c r="AE87" s="22">
        <f t="shared" si="6"/>
        <v>0.15558279775581102</v>
      </c>
      <c r="AF87" s="22">
        <f t="shared" si="6"/>
        <v>0.12211246571891854</v>
      </c>
      <c r="AG87" s="22">
        <f t="shared" si="6"/>
        <v>2.1449701218082304E-2</v>
      </c>
      <c r="AH87" s="22">
        <f t="shared" ref="AH87:AI87" si="11">AH50/SUM($Z50:$AI50)</f>
        <v>9.3627797178387165E-2</v>
      </c>
      <c r="AI87" s="22">
        <f t="shared" si="11"/>
        <v>7.3663595875206642E-2</v>
      </c>
      <c r="AK87" s="4" t="s">
        <v>32</v>
      </c>
      <c r="AL87" s="22">
        <f t="shared" si="10"/>
        <v>3.8461538461538464E-2</v>
      </c>
      <c r="AM87" s="22">
        <f t="shared" si="8"/>
        <v>0.11538461538461539</v>
      </c>
      <c r="AN87" s="22">
        <f t="shared" si="8"/>
        <v>5.7692307692307696E-2</v>
      </c>
      <c r="AO87" s="22">
        <f t="shared" si="8"/>
        <v>0.15384615384615385</v>
      </c>
      <c r="AP87" s="22">
        <f t="shared" si="8"/>
        <v>0.15384615384615385</v>
      </c>
      <c r="AQ87" s="22">
        <f t="shared" si="8"/>
        <v>0.13461538461538461</v>
      </c>
      <c r="AR87" s="22">
        <f t="shared" si="8"/>
        <v>0.13461538461538461</v>
      </c>
      <c r="AS87" s="22">
        <f t="shared" si="8"/>
        <v>3.8461538461538464E-2</v>
      </c>
      <c r="AT87" s="22">
        <f t="shared" si="8"/>
        <v>7.6923076923076927E-2</v>
      </c>
      <c r="AU87" s="22">
        <f t="shared" si="8"/>
        <v>9.6153846153846159E-2</v>
      </c>
    </row>
    <row r="88" spans="2:47" x14ac:dyDescent="0.35">
      <c r="B88" s="4" t="s">
        <v>219</v>
      </c>
      <c r="C88" s="14">
        <v>19592.63219512194</v>
      </c>
      <c r="I88" s="4" t="s">
        <v>60</v>
      </c>
      <c r="J88" s="14">
        <v>1820647.6599999992</v>
      </c>
      <c r="L88" s="4" t="s">
        <v>32</v>
      </c>
      <c r="M88">
        <v>2</v>
      </c>
      <c r="N88">
        <v>6</v>
      </c>
      <c r="O88">
        <v>3</v>
      </c>
      <c r="P88">
        <v>8</v>
      </c>
      <c r="Q88">
        <v>8</v>
      </c>
      <c r="R88">
        <v>7</v>
      </c>
      <c r="S88">
        <v>7</v>
      </c>
      <c r="T88">
        <v>2</v>
      </c>
      <c r="U88">
        <v>4</v>
      </c>
      <c r="V88">
        <v>5</v>
      </c>
      <c r="W88">
        <v>52</v>
      </c>
      <c r="Y88" s="4" t="s">
        <v>144</v>
      </c>
      <c r="Z88" s="22">
        <f t="shared" si="6"/>
        <v>2.162990259626292E-2</v>
      </c>
      <c r="AA88" s="22">
        <f t="shared" si="6"/>
        <v>0.16870195679037955</v>
      </c>
      <c r="AB88" s="22">
        <f t="shared" si="6"/>
        <v>2.0966145430293251E-2</v>
      </c>
      <c r="AC88" s="22">
        <f t="shared" si="6"/>
        <v>0.19287289418617082</v>
      </c>
      <c r="AD88" s="22">
        <f t="shared" si="6"/>
        <v>0.14568875828284786</v>
      </c>
      <c r="AE88" s="22">
        <f t="shared" si="6"/>
        <v>0.13286213625673515</v>
      </c>
      <c r="AF88" s="22">
        <f t="shared" si="6"/>
        <v>9.7658475030594522E-2</v>
      </c>
      <c r="AG88" s="22">
        <f t="shared" si="6"/>
        <v>0</v>
      </c>
      <c r="AH88" s="22">
        <f t="shared" ref="AH88:AI88" si="12">AH51/SUM($Z51:$AI51)</f>
        <v>3.8805318872687074E-2</v>
      </c>
      <c r="AI88" s="22">
        <f t="shared" si="12"/>
        <v>0.18081441255402891</v>
      </c>
      <c r="AK88" s="4" t="s">
        <v>144</v>
      </c>
      <c r="AL88" s="22">
        <f t="shared" si="10"/>
        <v>2.3255813953488372E-2</v>
      </c>
      <c r="AM88" s="22">
        <f t="shared" si="8"/>
        <v>0.18604651162790697</v>
      </c>
      <c r="AN88" s="22">
        <f t="shared" si="8"/>
        <v>2.3255813953488372E-2</v>
      </c>
      <c r="AO88" s="22">
        <f t="shared" si="8"/>
        <v>0.18604651162790697</v>
      </c>
      <c r="AP88" s="22">
        <f t="shared" si="8"/>
        <v>0.11627906976744186</v>
      </c>
      <c r="AQ88" s="22">
        <f t="shared" si="8"/>
        <v>0.13953488372093023</v>
      </c>
      <c r="AR88" s="22">
        <f t="shared" si="8"/>
        <v>0.16279069767441862</v>
      </c>
      <c r="AS88" s="22">
        <f t="shared" si="8"/>
        <v>0</v>
      </c>
      <c r="AT88" s="22">
        <f t="shared" si="8"/>
        <v>4.6511627906976744E-2</v>
      </c>
      <c r="AU88" s="22">
        <f t="shared" si="8"/>
        <v>0.11627906976744186</v>
      </c>
    </row>
    <row r="89" spans="2:47" x14ac:dyDescent="0.35">
      <c r="B89" s="4" t="s">
        <v>176</v>
      </c>
      <c r="C89" s="14">
        <v>20529.510869565216</v>
      </c>
      <c r="I89" s="4" t="s">
        <v>1164</v>
      </c>
      <c r="J89" s="14">
        <v>18992427.720000003</v>
      </c>
      <c r="L89" s="4" t="s">
        <v>144</v>
      </c>
      <c r="M89">
        <v>1</v>
      </c>
      <c r="N89">
        <v>8</v>
      </c>
      <c r="O89">
        <v>1</v>
      </c>
      <c r="P89">
        <v>8</v>
      </c>
      <c r="Q89">
        <v>5</v>
      </c>
      <c r="R89">
        <v>6</v>
      </c>
      <c r="S89">
        <v>7</v>
      </c>
      <c r="U89">
        <v>2</v>
      </c>
      <c r="V89">
        <v>5</v>
      </c>
      <c r="W89">
        <v>43</v>
      </c>
      <c r="Y89" s="4" t="s">
        <v>410</v>
      </c>
      <c r="Z89" s="22">
        <f t="shared" si="6"/>
        <v>0</v>
      </c>
      <c r="AA89" s="22">
        <f t="shared" si="6"/>
        <v>0</v>
      </c>
      <c r="AB89" s="22">
        <f t="shared" si="6"/>
        <v>0</v>
      </c>
      <c r="AC89" s="22">
        <f t="shared" si="6"/>
        <v>0</v>
      </c>
      <c r="AD89" s="22">
        <f t="shared" si="6"/>
        <v>0</v>
      </c>
      <c r="AE89" s="22">
        <f t="shared" si="6"/>
        <v>0.28979449795875412</v>
      </c>
      <c r="AF89" s="22">
        <f t="shared" si="6"/>
        <v>0.71020550204124588</v>
      </c>
      <c r="AG89" s="22">
        <f t="shared" si="6"/>
        <v>0</v>
      </c>
      <c r="AH89" s="22">
        <f t="shared" ref="AH89:AI89" si="13">AH52/SUM($Z52:$AI52)</f>
        <v>0</v>
      </c>
      <c r="AI89" s="22">
        <f t="shared" si="13"/>
        <v>0</v>
      </c>
      <c r="AK89" s="4" t="s">
        <v>410</v>
      </c>
      <c r="AL89" s="22">
        <f t="shared" si="10"/>
        <v>0</v>
      </c>
      <c r="AM89" s="22">
        <f t="shared" si="8"/>
        <v>0</v>
      </c>
      <c r="AN89" s="22">
        <f t="shared" si="8"/>
        <v>0</v>
      </c>
      <c r="AO89" s="22">
        <f t="shared" si="8"/>
        <v>0</v>
      </c>
      <c r="AP89" s="22">
        <f t="shared" si="8"/>
        <v>0</v>
      </c>
      <c r="AQ89" s="22">
        <f t="shared" si="8"/>
        <v>0.5</v>
      </c>
      <c r="AR89" s="22">
        <f t="shared" si="8"/>
        <v>0.5</v>
      </c>
      <c r="AS89" s="22">
        <f t="shared" si="8"/>
        <v>0</v>
      </c>
      <c r="AT89" s="22">
        <f t="shared" si="8"/>
        <v>0</v>
      </c>
      <c r="AU89" s="22">
        <f t="shared" si="8"/>
        <v>0</v>
      </c>
    </row>
    <row r="90" spans="2:47" x14ac:dyDescent="0.35">
      <c r="B90" s="4" t="s">
        <v>118</v>
      </c>
      <c r="C90" s="14">
        <v>16436.133793103443</v>
      </c>
      <c r="L90" s="4" t="s">
        <v>410</v>
      </c>
      <c r="R90">
        <v>1</v>
      </c>
      <c r="S90">
        <v>1</v>
      </c>
      <c r="W90">
        <v>2</v>
      </c>
      <c r="Y90" s="4" t="s">
        <v>162</v>
      </c>
      <c r="Z90" s="22">
        <f t="shared" si="6"/>
        <v>5.576689189371558E-2</v>
      </c>
      <c r="AA90" s="22">
        <f t="shared" si="6"/>
        <v>0.20752287053914206</v>
      </c>
      <c r="AB90" s="22">
        <f t="shared" si="6"/>
        <v>0.13051428745542057</v>
      </c>
      <c r="AC90" s="22">
        <f t="shared" si="6"/>
        <v>0.23599389595130527</v>
      </c>
      <c r="AD90" s="22">
        <f t="shared" si="6"/>
        <v>0</v>
      </c>
      <c r="AE90" s="22">
        <f t="shared" si="6"/>
        <v>5.5668914498633121E-2</v>
      </c>
      <c r="AF90" s="22">
        <f t="shared" si="6"/>
        <v>0.24936878505570914</v>
      </c>
      <c r="AG90" s="22">
        <f t="shared" si="6"/>
        <v>0</v>
      </c>
      <c r="AH90" s="22">
        <f t="shared" ref="AH90:AI90" si="14">AH53/SUM($Z53:$AI53)</f>
        <v>0</v>
      </c>
      <c r="AI90" s="22">
        <f t="shared" si="14"/>
        <v>6.5164354606074157E-2</v>
      </c>
      <c r="AK90" s="4" t="s">
        <v>162</v>
      </c>
      <c r="AL90" s="22">
        <f t="shared" si="10"/>
        <v>6.6666666666666666E-2</v>
      </c>
      <c r="AM90" s="22">
        <f t="shared" si="8"/>
        <v>0.13333333333333333</v>
      </c>
      <c r="AN90" s="22">
        <f t="shared" si="8"/>
        <v>0.13333333333333333</v>
      </c>
      <c r="AO90" s="22">
        <f t="shared" si="8"/>
        <v>0.26666666666666666</v>
      </c>
      <c r="AP90" s="22">
        <f t="shared" si="8"/>
        <v>0</v>
      </c>
      <c r="AQ90" s="22">
        <f t="shared" si="8"/>
        <v>6.6666666666666666E-2</v>
      </c>
      <c r="AR90" s="22">
        <f t="shared" si="8"/>
        <v>0.26666666666666666</v>
      </c>
      <c r="AS90" s="22">
        <f t="shared" si="8"/>
        <v>0</v>
      </c>
      <c r="AT90" s="22">
        <f t="shared" si="8"/>
        <v>0</v>
      </c>
      <c r="AU90" s="22">
        <f t="shared" si="8"/>
        <v>6.6666666666666666E-2</v>
      </c>
    </row>
    <row r="91" spans="2:47" x14ac:dyDescent="0.35">
      <c r="B91" s="4" t="s">
        <v>348</v>
      </c>
      <c r="C91" s="14">
        <v>13931.776666666663</v>
      </c>
      <c r="L91" s="4" t="s">
        <v>162</v>
      </c>
      <c r="M91">
        <v>1</v>
      </c>
      <c r="N91">
        <v>2</v>
      </c>
      <c r="O91">
        <v>2</v>
      </c>
      <c r="P91">
        <v>4</v>
      </c>
      <c r="R91">
        <v>1</v>
      </c>
      <c r="S91">
        <v>4</v>
      </c>
      <c r="V91">
        <v>1</v>
      </c>
      <c r="W91">
        <v>15</v>
      </c>
      <c r="Y91" s="4" t="s">
        <v>37</v>
      </c>
      <c r="Z91" s="22">
        <f t="shared" si="6"/>
        <v>0</v>
      </c>
      <c r="AA91" s="22">
        <f t="shared" si="6"/>
        <v>0.17890581608584816</v>
      </c>
      <c r="AB91" s="22">
        <f t="shared" si="6"/>
        <v>6.6612020825944529E-2</v>
      </c>
      <c r="AC91" s="22">
        <f t="shared" si="6"/>
        <v>0</v>
      </c>
      <c r="AD91" s="22">
        <f t="shared" si="6"/>
        <v>0</v>
      </c>
      <c r="AE91" s="22">
        <f t="shared" si="6"/>
        <v>0.35770883192176461</v>
      </c>
      <c r="AF91" s="22">
        <f t="shared" si="6"/>
        <v>0.31412978462250341</v>
      </c>
      <c r="AG91" s="22">
        <f t="shared" si="6"/>
        <v>0</v>
      </c>
      <c r="AH91" s="22">
        <f t="shared" ref="AH91:AI91" si="15">AH54/SUM($Z54:$AI54)</f>
        <v>8.2643546543939364E-2</v>
      </c>
      <c r="AI91" s="22">
        <f t="shared" si="15"/>
        <v>0</v>
      </c>
      <c r="AK91" s="4" t="s">
        <v>37</v>
      </c>
      <c r="AL91" s="22">
        <f t="shared" si="10"/>
        <v>0</v>
      </c>
      <c r="AM91" s="22">
        <f t="shared" si="8"/>
        <v>0.1111111111111111</v>
      </c>
      <c r="AN91" s="22">
        <f t="shared" si="8"/>
        <v>0.1111111111111111</v>
      </c>
      <c r="AO91" s="22">
        <f t="shared" si="8"/>
        <v>0</v>
      </c>
      <c r="AP91" s="22">
        <f t="shared" si="8"/>
        <v>0</v>
      </c>
      <c r="AQ91" s="22">
        <f t="shared" si="8"/>
        <v>0.44444444444444442</v>
      </c>
      <c r="AR91" s="22">
        <f t="shared" si="8"/>
        <v>0.22222222222222221</v>
      </c>
      <c r="AS91" s="22">
        <f t="shared" si="8"/>
        <v>0</v>
      </c>
      <c r="AT91" s="22">
        <f t="shared" si="8"/>
        <v>0.1111111111111111</v>
      </c>
      <c r="AU91" s="22">
        <f t="shared" si="8"/>
        <v>0</v>
      </c>
    </row>
    <row r="92" spans="2:47" x14ac:dyDescent="0.35">
      <c r="B92" s="4" t="s">
        <v>217</v>
      </c>
      <c r="C92" s="14">
        <v>19414.931249999983</v>
      </c>
      <c r="L92" s="4" t="s">
        <v>37</v>
      </c>
      <c r="N92">
        <v>1</v>
      </c>
      <c r="O92">
        <v>1</v>
      </c>
      <c r="R92">
        <v>4</v>
      </c>
      <c r="S92">
        <v>2</v>
      </c>
      <c r="U92">
        <v>1</v>
      </c>
      <c r="W92">
        <v>9</v>
      </c>
      <c r="Y92" s="4" t="s">
        <v>219</v>
      </c>
      <c r="Z92" s="22">
        <f t="shared" si="6"/>
        <v>6.7741791239793056E-2</v>
      </c>
      <c r="AA92" s="22">
        <f t="shared" si="6"/>
        <v>0.12620018983741424</v>
      </c>
      <c r="AB92" s="22">
        <f t="shared" si="6"/>
        <v>0.10803445127805132</v>
      </c>
      <c r="AC92" s="22">
        <f t="shared" si="6"/>
        <v>6.7173907284609938E-2</v>
      </c>
      <c r="AD92" s="22">
        <f t="shared" si="6"/>
        <v>0.13739988272346079</v>
      </c>
      <c r="AE92" s="22">
        <f t="shared" si="6"/>
        <v>9.9274127337463991E-2</v>
      </c>
      <c r="AF92" s="22">
        <f t="shared" si="6"/>
        <v>0.20970902053375165</v>
      </c>
      <c r="AG92" s="22">
        <f t="shared" si="6"/>
        <v>6.3514268778387978E-2</v>
      </c>
      <c r="AH92" s="22">
        <f t="shared" ref="AH92:AI92" si="16">AH55/SUM($Z55:$AI55)</f>
        <v>5.1665314905832212E-2</v>
      </c>
      <c r="AI92" s="22">
        <f t="shared" si="16"/>
        <v>6.9287046081234718E-2</v>
      </c>
      <c r="AK92" s="4" t="s">
        <v>219</v>
      </c>
      <c r="AL92" s="22">
        <f t="shared" si="10"/>
        <v>4.878048780487805E-2</v>
      </c>
      <c r="AM92" s="22">
        <f t="shared" si="8"/>
        <v>0.12195121951219512</v>
      </c>
      <c r="AN92" s="22">
        <f t="shared" si="8"/>
        <v>0.12195121951219512</v>
      </c>
      <c r="AO92" s="22">
        <f t="shared" si="8"/>
        <v>7.3170731707317069E-2</v>
      </c>
      <c r="AP92" s="22">
        <f t="shared" si="8"/>
        <v>0.14634146341463414</v>
      </c>
      <c r="AQ92" s="22">
        <f t="shared" si="8"/>
        <v>0.14634146341463414</v>
      </c>
      <c r="AR92" s="22">
        <f t="shared" si="8"/>
        <v>0.1951219512195122</v>
      </c>
      <c r="AS92" s="22">
        <f t="shared" si="8"/>
        <v>2.4390243902439025E-2</v>
      </c>
      <c r="AT92" s="22">
        <f t="shared" si="8"/>
        <v>4.878048780487805E-2</v>
      </c>
      <c r="AU92" s="22">
        <f t="shared" si="8"/>
        <v>7.3170731707317069E-2</v>
      </c>
    </row>
    <row r="93" spans="2:47" x14ac:dyDescent="0.35">
      <c r="B93" s="4" t="s">
        <v>701</v>
      </c>
      <c r="C93" s="14">
        <v>9952.4080000000013</v>
      </c>
      <c r="L93" s="4" t="s">
        <v>219</v>
      </c>
      <c r="M93">
        <v>2</v>
      </c>
      <c r="N93">
        <v>5</v>
      </c>
      <c r="O93">
        <v>5</v>
      </c>
      <c r="P93">
        <v>3</v>
      </c>
      <c r="Q93">
        <v>6</v>
      </c>
      <c r="R93">
        <v>6</v>
      </c>
      <c r="S93">
        <v>8</v>
      </c>
      <c r="T93">
        <v>1</v>
      </c>
      <c r="U93">
        <v>2</v>
      </c>
      <c r="V93">
        <v>3</v>
      </c>
      <c r="W93">
        <v>41</v>
      </c>
      <c r="Y93" s="4" t="s">
        <v>176</v>
      </c>
      <c r="Z93" s="22">
        <f t="shared" si="6"/>
        <v>0</v>
      </c>
      <c r="AA93" s="22">
        <f t="shared" si="6"/>
        <v>3.4515000939792401E-2</v>
      </c>
      <c r="AB93" s="22">
        <f t="shared" si="6"/>
        <v>0.15186738073240272</v>
      </c>
      <c r="AC93" s="22">
        <f t="shared" si="6"/>
        <v>0.22374787090693937</v>
      </c>
      <c r="AD93" s="22">
        <f t="shared" si="6"/>
        <v>0.11963662066537296</v>
      </c>
      <c r="AE93" s="22">
        <f t="shared" si="6"/>
        <v>0.18165124965915988</v>
      </c>
      <c r="AF93" s="22">
        <f t="shared" si="6"/>
        <v>8.3927410964597632E-2</v>
      </c>
      <c r="AG93" s="22">
        <f t="shared" si="6"/>
        <v>1.4254771100986658E-2</v>
      </c>
      <c r="AH93" s="22">
        <f t="shared" ref="AH93:AI93" si="17">AH56/SUM($Z56:$AI56)</f>
        <v>8.5938725535615504E-2</v>
      </c>
      <c r="AI93" s="22">
        <f t="shared" si="17"/>
        <v>0.10446096949513292</v>
      </c>
      <c r="AK93" s="4" t="s">
        <v>176</v>
      </c>
      <c r="AL93" s="22">
        <f t="shared" si="10"/>
        <v>0</v>
      </c>
      <c r="AM93" s="22">
        <f t="shared" si="8"/>
        <v>4.3478260869565216E-2</v>
      </c>
      <c r="AN93" s="22">
        <f t="shared" si="8"/>
        <v>0.17391304347826086</v>
      </c>
      <c r="AO93" s="22">
        <f t="shared" si="8"/>
        <v>8.6956521739130432E-2</v>
      </c>
      <c r="AP93" s="22">
        <f t="shared" si="8"/>
        <v>0.17391304347826086</v>
      </c>
      <c r="AQ93" s="22">
        <f t="shared" si="8"/>
        <v>0.13043478260869565</v>
      </c>
      <c r="AR93" s="22">
        <f t="shared" si="8"/>
        <v>0.13043478260869565</v>
      </c>
      <c r="AS93" s="22">
        <f t="shared" si="8"/>
        <v>4.3478260869565216E-2</v>
      </c>
      <c r="AT93" s="22">
        <f t="shared" si="8"/>
        <v>0.13043478260869565</v>
      </c>
      <c r="AU93" s="22">
        <f t="shared" si="8"/>
        <v>8.6956521739130432E-2</v>
      </c>
    </row>
    <row r="94" spans="2:47" x14ac:dyDescent="0.35">
      <c r="B94" s="4" t="s">
        <v>99</v>
      </c>
      <c r="C94" s="14">
        <v>15738.879999999996</v>
      </c>
      <c r="L94" s="4" t="s">
        <v>176</v>
      </c>
      <c r="N94">
        <v>1</v>
      </c>
      <c r="O94">
        <v>4</v>
      </c>
      <c r="P94">
        <v>2</v>
      </c>
      <c r="Q94">
        <v>4</v>
      </c>
      <c r="R94">
        <v>3</v>
      </c>
      <c r="S94">
        <v>3</v>
      </c>
      <c r="T94">
        <v>1</v>
      </c>
      <c r="U94">
        <v>3</v>
      </c>
      <c r="V94">
        <v>2</v>
      </c>
      <c r="W94">
        <v>23</v>
      </c>
      <c r="Y94" s="4" t="s">
        <v>118</v>
      </c>
      <c r="Z94" s="22">
        <f t="shared" si="6"/>
        <v>0</v>
      </c>
      <c r="AA94" s="22">
        <f t="shared" si="6"/>
        <v>3.7222047436778691E-2</v>
      </c>
      <c r="AB94" s="22">
        <f t="shared" si="6"/>
        <v>0.1745775309018473</v>
      </c>
      <c r="AC94" s="22">
        <f t="shared" si="6"/>
        <v>3.22088708335386E-2</v>
      </c>
      <c r="AD94" s="22">
        <f t="shared" si="6"/>
        <v>0.20390544902874633</v>
      </c>
      <c r="AE94" s="22">
        <f t="shared" si="6"/>
        <v>0.16106036179160182</v>
      </c>
      <c r="AF94" s="22">
        <f t="shared" si="6"/>
        <v>0.20654249002429206</v>
      </c>
      <c r="AG94" s="22">
        <f t="shared" si="6"/>
        <v>9.0903163148444103E-3</v>
      </c>
      <c r="AH94" s="22">
        <f t="shared" ref="AH94:AI94" si="18">AH57/SUM($Z57:$AI57)</f>
        <v>4.4642913338878154E-2</v>
      </c>
      <c r="AI94" s="22">
        <f t="shared" si="18"/>
        <v>0.13075002032947258</v>
      </c>
      <c r="AK94" s="4" t="s">
        <v>118</v>
      </c>
      <c r="AL94" s="22">
        <f t="shared" si="10"/>
        <v>0</v>
      </c>
      <c r="AM94" s="22">
        <f t="shared" si="8"/>
        <v>3.4482758620689655E-2</v>
      </c>
      <c r="AN94" s="22">
        <f t="shared" si="8"/>
        <v>0.20689655172413793</v>
      </c>
      <c r="AO94" s="22">
        <f t="shared" si="8"/>
        <v>3.4482758620689655E-2</v>
      </c>
      <c r="AP94" s="22">
        <f t="shared" si="8"/>
        <v>0.20689655172413793</v>
      </c>
      <c r="AQ94" s="22">
        <f t="shared" si="8"/>
        <v>0.17241379310344829</v>
      </c>
      <c r="AR94" s="22">
        <f t="shared" si="8"/>
        <v>0.10344827586206896</v>
      </c>
      <c r="AS94" s="22">
        <f t="shared" si="8"/>
        <v>3.4482758620689655E-2</v>
      </c>
      <c r="AT94" s="22">
        <f t="shared" si="8"/>
        <v>3.4482758620689655E-2</v>
      </c>
      <c r="AU94" s="22">
        <f t="shared" si="8"/>
        <v>0.17241379310344829</v>
      </c>
    </row>
    <row r="95" spans="2:47" x14ac:dyDescent="0.35">
      <c r="B95" s="4" t="s">
        <v>76</v>
      </c>
      <c r="C95" s="14">
        <v>22405.310000000012</v>
      </c>
      <c r="L95" s="4" t="s">
        <v>118</v>
      </c>
      <c r="N95">
        <v>1</v>
      </c>
      <c r="O95">
        <v>6</v>
      </c>
      <c r="P95">
        <v>1</v>
      </c>
      <c r="Q95">
        <v>6</v>
      </c>
      <c r="R95">
        <v>5</v>
      </c>
      <c r="S95">
        <v>3</v>
      </c>
      <c r="T95">
        <v>1</v>
      </c>
      <c r="U95">
        <v>1</v>
      </c>
      <c r="V95">
        <v>5</v>
      </c>
      <c r="W95">
        <v>29</v>
      </c>
      <c r="Y95" s="4" t="s">
        <v>348</v>
      </c>
      <c r="Z95" s="22">
        <f t="shared" si="6"/>
        <v>0</v>
      </c>
      <c r="AA95" s="22">
        <f t="shared" si="6"/>
        <v>4.9594296779089907E-2</v>
      </c>
      <c r="AB95" s="22">
        <f t="shared" si="6"/>
        <v>0</v>
      </c>
      <c r="AC95" s="22">
        <f t="shared" si="6"/>
        <v>5.0566175694748687E-2</v>
      </c>
      <c r="AD95" s="22">
        <f t="shared" si="6"/>
        <v>0.2460054747743349</v>
      </c>
      <c r="AE95" s="22">
        <f t="shared" si="6"/>
        <v>0.15695784672593804</v>
      </c>
      <c r="AF95" s="22">
        <f t="shared" si="6"/>
        <v>0</v>
      </c>
      <c r="AG95" s="22">
        <f t="shared" si="6"/>
        <v>0</v>
      </c>
      <c r="AH95" s="22">
        <f t="shared" ref="AH95:AI95" si="19">AH58/SUM($Z58:$AI58)</f>
        <v>0</v>
      </c>
      <c r="AI95" s="22">
        <f t="shared" si="19"/>
        <v>0.4968762060258885</v>
      </c>
      <c r="AK95" s="4" t="s">
        <v>348</v>
      </c>
      <c r="AL95" s="22">
        <f t="shared" si="10"/>
        <v>0</v>
      </c>
      <c r="AM95" s="22">
        <f t="shared" si="8"/>
        <v>0.16666666666666666</v>
      </c>
      <c r="AN95" s="22">
        <f t="shared" si="8"/>
        <v>0</v>
      </c>
      <c r="AO95" s="22">
        <f t="shared" si="8"/>
        <v>0.16666666666666666</v>
      </c>
      <c r="AP95" s="22">
        <f t="shared" si="8"/>
        <v>0.33333333333333331</v>
      </c>
      <c r="AQ95" s="22">
        <f t="shared" si="8"/>
        <v>0.16666666666666666</v>
      </c>
      <c r="AR95" s="22">
        <f t="shared" si="8"/>
        <v>0</v>
      </c>
      <c r="AS95" s="22">
        <f t="shared" si="8"/>
        <v>0</v>
      </c>
      <c r="AT95" s="22">
        <f t="shared" si="8"/>
        <v>0</v>
      </c>
      <c r="AU95" s="22">
        <f t="shared" si="8"/>
        <v>0.16666666666666666</v>
      </c>
    </row>
    <row r="96" spans="2:47" x14ac:dyDescent="0.35">
      <c r="B96" s="4" t="s">
        <v>128</v>
      </c>
      <c r="C96" s="14">
        <v>17871.527659574465</v>
      </c>
      <c r="L96" s="4" t="s">
        <v>348</v>
      </c>
      <c r="N96">
        <v>1</v>
      </c>
      <c r="P96">
        <v>1</v>
      </c>
      <c r="Q96">
        <v>2</v>
      </c>
      <c r="R96">
        <v>1</v>
      </c>
      <c r="V96">
        <v>1</v>
      </c>
      <c r="W96">
        <v>6</v>
      </c>
      <c r="Y96" s="4" t="s">
        <v>217</v>
      </c>
      <c r="Z96" s="22">
        <f t="shared" si="6"/>
        <v>0.12173233938183531</v>
      </c>
      <c r="AA96" s="22">
        <f t="shared" si="6"/>
        <v>0.28035033603325282</v>
      </c>
      <c r="AB96" s="22">
        <f t="shared" si="6"/>
        <v>7.582269960394529E-2</v>
      </c>
      <c r="AC96" s="22">
        <f t="shared" si="6"/>
        <v>2.4301635543176773E-2</v>
      </c>
      <c r="AD96" s="22">
        <f t="shared" si="6"/>
        <v>0.10755353992475936</v>
      </c>
      <c r="AE96" s="22">
        <f t="shared" si="6"/>
        <v>0.20772341562287702</v>
      </c>
      <c r="AF96" s="22">
        <f t="shared" si="6"/>
        <v>0.12892178024065884</v>
      </c>
      <c r="AG96" s="22">
        <f t="shared" si="6"/>
        <v>0</v>
      </c>
      <c r="AH96" s="22">
        <f t="shared" ref="AH96:AI96" si="20">AH59/SUM($Z59:$AI59)</f>
        <v>2.0463159421866776E-2</v>
      </c>
      <c r="AI96" s="22">
        <f t="shared" si="20"/>
        <v>3.313109422762784E-2</v>
      </c>
      <c r="AK96" s="4" t="s">
        <v>217</v>
      </c>
      <c r="AL96" s="22">
        <f t="shared" si="10"/>
        <v>0.16666666666666666</v>
      </c>
      <c r="AM96" s="22">
        <f t="shared" si="8"/>
        <v>0.20833333333333334</v>
      </c>
      <c r="AN96" s="22">
        <f t="shared" si="8"/>
        <v>4.1666666666666664E-2</v>
      </c>
      <c r="AO96" s="22">
        <f t="shared" si="8"/>
        <v>4.1666666666666664E-2</v>
      </c>
      <c r="AP96" s="22">
        <f t="shared" si="8"/>
        <v>0.125</v>
      </c>
      <c r="AQ96" s="22">
        <f t="shared" si="8"/>
        <v>0.25</v>
      </c>
      <c r="AR96" s="22">
        <f t="shared" si="8"/>
        <v>8.3333333333333329E-2</v>
      </c>
      <c r="AS96" s="22">
        <f t="shared" si="8"/>
        <v>0</v>
      </c>
      <c r="AT96" s="22">
        <f t="shared" si="8"/>
        <v>4.1666666666666664E-2</v>
      </c>
      <c r="AU96" s="22">
        <f t="shared" si="8"/>
        <v>4.1666666666666664E-2</v>
      </c>
    </row>
    <row r="97" spans="2:47" x14ac:dyDescent="0.35">
      <c r="B97" s="4" t="s">
        <v>66</v>
      </c>
      <c r="C97" s="14">
        <v>19501.181351351337</v>
      </c>
      <c r="L97" s="4" t="s">
        <v>217</v>
      </c>
      <c r="M97">
        <v>4</v>
      </c>
      <c r="N97">
        <v>5</v>
      </c>
      <c r="O97">
        <v>1</v>
      </c>
      <c r="P97">
        <v>1</v>
      </c>
      <c r="Q97">
        <v>3</v>
      </c>
      <c r="R97">
        <v>6</v>
      </c>
      <c r="S97">
        <v>2</v>
      </c>
      <c r="U97">
        <v>1</v>
      </c>
      <c r="V97">
        <v>1</v>
      </c>
      <c r="W97">
        <v>24</v>
      </c>
      <c r="Y97" s="4" t="s">
        <v>701</v>
      </c>
      <c r="Z97" s="22">
        <f t="shared" si="6"/>
        <v>0</v>
      </c>
      <c r="AA97" s="22">
        <f t="shared" si="6"/>
        <v>0.18035534716824309</v>
      </c>
      <c r="AB97" s="22">
        <f t="shared" si="6"/>
        <v>0</v>
      </c>
      <c r="AC97" s="22">
        <f t="shared" si="6"/>
        <v>0.66734944950006059</v>
      </c>
      <c r="AD97" s="22">
        <f t="shared" si="6"/>
        <v>0</v>
      </c>
      <c r="AE97" s="22">
        <f t="shared" si="6"/>
        <v>0</v>
      </c>
      <c r="AF97" s="22">
        <f t="shared" si="6"/>
        <v>0.15229520333169624</v>
      </c>
      <c r="AG97" s="22">
        <f t="shared" si="6"/>
        <v>0</v>
      </c>
      <c r="AH97" s="22">
        <f t="shared" ref="AH97:AI97" si="21">AH60/SUM($Z60:$AI60)</f>
        <v>0</v>
      </c>
      <c r="AI97" s="22">
        <f t="shared" si="21"/>
        <v>0</v>
      </c>
      <c r="AK97" s="4" t="s">
        <v>701</v>
      </c>
      <c r="AL97" s="22">
        <f t="shared" si="10"/>
        <v>0</v>
      </c>
      <c r="AM97" s="22">
        <f t="shared" si="8"/>
        <v>0.2</v>
      </c>
      <c r="AN97" s="22">
        <f t="shared" si="8"/>
        <v>0</v>
      </c>
      <c r="AO97" s="22">
        <f t="shared" si="8"/>
        <v>0.6</v>
      </c>
      <c r="AP97" s="22">
        <f t="shared" si="8"/>
        <v>0</v>
      </c>
      <c r="AQ97" s="22">
        <f t="shared" si="8"/>
        <v>0</v>
      </c>
      <c r="AR97" s="22">
        <f t="shared" si="8"/>
        <v>0.2</v>
      </c>
      <c r="AS97" s="22">
        <f t="shared" si="8"/>
        <v>0</v>
      </c>
      <c r="AT97" s="22">
        <f t="shared" si="8"/>
        <v>0</v>
      </c>
      <c r="AU97" s="22">
        <f t="shared" si="8"/>
        <v>0</v>
      </c>
    </row>
    <row r="98" spans="2:47" x14ac:dyDescent="0.35">
      <c r="B98" s="4" t="s">
        <v>90</v>
      </c>
      <c r="C98" s="14">
        <v>19603.876153846148</v>
      </c>
      <c r="L98" s="4" t="s">
        <v>701</v>
      </c>
      <c r="N98">
        <v>1</v>
      </c>
      <c r="P98">
        <v>3</v>
      </c>
      <c r="S98">
        <v>1</v>
      </c>
      <c r="W98">
        <v>5</v>
      </c>
      <c r="Y98" s="4" t="s">
        <v>99</v>
      </c>
      <c r="Z98" s="22">
        <f t="shared" si="6"/>
        <v>6.0860323818043786E-2</v>
      </c>
      <c r="AA98" s="22">
        <f t="shared" si="6"/>
        <v>0.32172323147093895</v>
      </c>
      <c r="AB98" s="22">
        <f t="shared" si="6"/>
        <v>0</v>
      </c>
      <c r="AC98" s="22">
        <f t="shared" si="6"/>
        <v>0</v>
      </c>
      <c r="AD98" s="22">
        <f t="shared" si="6"/>
        <v>0.15424996357216442</v>
      </c>
      <c r="AE98" s="22">
        <f t="shared" si="6"/>
        <v>0</v>
      </c>
      <c r="AF98" s="22">
        <f t="shared" si="6"/>
        <v>0.25300095474815665</v>
      </c>
      <c r="AG98" s="22">
        <f t="shared" si="6"/>
        <v>0</v>
      </c>
      <c r="AH98" s="22">
        <f t="shared" ref="AH98:AI98" si="22">AH61/SUM($Z61:$AI61)</f>
        <v>0</v>
      </c>
      <c r="AI98" s="22">
        <f t="shared" si="22"/>
        <v>0.21016552639069611</v>
      </c>
      <c r="AK98" s="4" t="s">
        <v>99</v>
      </c>
      <c r="AL98" s="22">
        <f t="shared" si="10"/>
        <v>0.16666666666666666</v>
      </c>
      <c r="AM98" s="22">
        <f t="shared" si="8"/>
        <v>0.33333333333333331</v>
      </c>
      <c r="AN98" s="22">
        <f t="shared" si="8"/>
        <v>0</v>
      </c>
      <c r="AO98" s="22">
        <f t="shared" si="8"/>
        <v>0</v>
      </c>
      <c r="AP98" s="22">
        <f t="shared" si="8"/>
        <v>0.16666666666666666</v>
      </c>
      <c r="AQ98" s="22">
        <f t="shared" si="8"/>
        <v>0</v>
      </c>
      <c r="AR98" s="22">
        <f t="shared" si="8"/>
        <v>0.16666666666666666</v>
      </c>
      <c r="AS98" s="22">
        <f t="shared" si="8"/>
        <v>0</v>
      </c>
      <c r="AT98" s="22">
        <f t="shared" si="8"/>
        <v>0</v>
      </c>
      <c r="AU98" s="22">
        <f t="shared" si="8"/>
        <v>0.16666666666666666</v>
      </c>
    </row>
    <row r="99" spans="2:47" x14ac:dyDescent="0.35">
      <c r="B99" s="4" t="s">
        <v>74</v>
      </c>
      <c r="C99" s="14">
        <v>19592.158846153859</v>
      </c>
      <c r="L99" s="4" t="s">
        <v>99</v>
      </c>
      <c r="M99">
        <v>1</v>
      </c>
      <c r="N99">
        <v>2</v>
      </c>
      <c r="Q99">
        <v>1</v>
      </c>
      <c r="S99">
        <v>1</v>
      </c>
      <c r="V99">
        <v>1</v>
      </c>
      <c r="W99">
        <v>6</v>
      </c>
      <c r="Y99" s="4" t="s">
        <v>76</v>
      </c>
      <c r="Z99" s="22">
        <f t="shared" si="6"/>
        <v>0</v>
      </c>
      <c r="AA99" s="22">
        <f t="shared" si="6"/>
        <v>0.13941478646954505</v>
      </c>
      <c r="AB99" s="22">
        <f t="shared" si="6"/>
        <v>0.11246875666931483</v>
      </c>
      <c r="AC99" s="22">
        <f t="shared" si="6"/>
        <v>9.6641806011231693E-2</v>
      </c>
      <c r="AD99" s="22">
        <f t="shared" si="6"/>
        <v>0.16449415971077544</v>
      </c>
      <c r="AE99" s="22">
        <f t="shared" si="6"/>
        <v>9.798856391379529E-2</v>
      </c>
      <c r="AF99" s="22">
        <f t="shared" si="6"/>
        <v>0.21657124356041516</v>
      </c>
      <c r="AG99" s="22">
        <f t="shared" si="6"/>
        <v>2.813032621486973E-2</v>
      </c>
      <c r="AH99" s="22">
        <f t="shared" ref="AH99:AI99" si="23">AH62/SUM($Z62:$AI62)</f>
        <v>3.3885986747599073E-2</v>
      </c>
      <c r="AI99" s="22">
        <f t="shared" si="23"/>
        <v>0.11040437070245385</v>
      </c>
      <c r="AK99" s="4" t="s">
        <v>76</v>
      </c>
      <c r="AL99" s="22">
        <f t="shared" si="10"/>
        <v>0</v>
      </c>
      <c r="AM99" s="22">
        <f t="shared" si="8"/>
        <v>0.13207547169811321</v>
      </c>
      <c r="AN99" s="22">
        <f t="shared" si="8"/>
        <v>0.13207547169811321</v>
      </c>
      <c r="AO99" s="22">
        <f t="shared" si="8"/>
        <v>0.13207547169811321</v>
      </c>
      <c r="AP99" s="22">
        <f t="shared" si="8"/>
        <v>0.15094339622641509</v>
      </c>
      <c r="AQ99" s="22">
        <f t="shared" si="8"/>
        <v>9.4339622641509441E-2</v>
      </c>
      <c r="AR99" s="22">
        <f t="shared" si="8"/>
        <v>0.16981132075471697</v>
      </c>
      <c r="AS99" s="22">
        <f t="shared" si="8"/>
        <v>1.8867924528301886E-2</v>
      </c>
      <c r="AT99" s="22">
        <f t="shared" si="8"/>
        <v>3.7735849056603772E-2</v>
      </c>
      <c r="AU99" s="22">
        <f t="shared" si="8"/>
        <v>0.13207547169811321</v>
      </c>
    </row>
    <row r="100" spans="2:47" x14ac:dyDescent="0.35">
      <c r="B100" s="4" t="s">
        <v>108</v>
      </c>
      <c r="C100" s="14">
        <v>21934.839090909089</v>
      </c>
      <c r="L100" s="4" t="s">
        <v>76</v>
      </c>
      <c r="N100">
        <v>7</v>
      </c>
      <c r="O100">
        <v>7</v>
      </c>
      <c r="P100">
        <v>7</v>
      </c>
      <c r="Q100">
        <v>8</v>
      </c>
      <c r="R100">
        <v>5</v>
      </c>
      <c r="S100">
        <v>9</v>
      </c>
      <c r="T100">
        <v>1</v>
      </c>
      <c r="U100">
        <v>2</v>
      </c>
      <c r="V100">
        <v>7</v>
      </c>
      <c r="W100">
        <v>53</v>
      </c>
      <c r="Y100" s="4" t="s">
        <v>128</v>
      </c>
      <c r="Z100" s="22">
        <f t="shared" si="6"/>
        <v>3.7376306874907887E-2</v>
      </c>
      <c r="AA100" s="22">
        <f t="shared" si="6"/>
        <v>0.23262604323196603</v>
      </c>
      <c r="AB100" s="22">
        <f t="shared" si="6"/>
        <v>0.13586497624058619</v>
      </c>
      <c r="AC100" s="22">
        <f t="shared" si="6"/>
        <v>0.12675414524803391</v>
      </c>
      <c r="AD100" s="22">
        <f t="shared" si="6"/>
        <v>9.8082258026495964E-2</v>
      </c>
      <c r="AE100" s="22">
        <f t="shared" si="6"/>
        <v>6.6564181847317327E-2</v>
      </c>
      <c r="AF100" s="22">
        <f t="shared" si="6"/>
        <v>0.10707130967146361</v>
      </c>
      <c r="AG100" s="22">
        <f t="shared" si="6"/>
        <v>1.4738955985855541E-2</v>
      </c>
      <c r="AH100" s="22">
        <f t="shared" ref="AH100:AI100" si="24">AH63/SUM($Z63:$AI63)</f>
        <v>5.2710885185492946E-2</v>
      </c>
      <c r="AI100" s="22">
        <f t="shared" si="24"/>
        <v>0.12821093768788053</v>
      </c>
      <c r="AK100" s="4" t="s">
        <v>128</v>
      </c>
      <c r="AL100" s="22">
        <f t="shared" si="10"/>
        <v>4.2553191489361701E-2</v>
      </c>
      <c r="AM100" s="22">
        <f t="shared" si="8"/>
        <v>0.19148936170212766</v>
      </c>
      <c r="AN100" s="22">
        <f t="shared" si="8"/>
        <v>0.1702127659574468</v>
      </c>
      <c r="AO100" s="22">
        <f t="shared" si="8"/>
        <v>8.5106382978723402E-2</v>
      </c>
      <c r="AP100" s="22">
        <f t="shared" si="8"/>
        <v>0.10638297872340426</v>
      </c>
      <c r="AQ100" s="22">
        <f t="shared" si="8"/>
        <v>0.10638297872340426</v>
      </c>
      <c r="AR100" s="22">
        <f t="shared" si="8"/>
        <v>8.5106382978723402E-2</v>
      </c>
      <c r="AS100" s="22">
        <f t="shared" si="8"/>
        <v>2.1276595744680851E-2</v>
      </c>
      <c r="AT100" s="22">
        <f t="shared" si="8"/>
        <v>4.2553191489361701E-2</v>
      </c>
      <c r="AU100" s="22">
        <f t="shared" si="8"/>
        <v>0.14893617021276595</v>
      </c>
    </row>
    <row r="101" spans="2:47" x14ac:dyDescent="0.35">
      <c r="B101" s="4" t="s">
        <v>141</v>
      </c>
      <c r="C101" s="14">
        <v>15545.863000000001</v>
      </c>
      <c r="L101" s="4" t="s">
        <v>128</v>
      </c>
      <c r="M101">
        <v>2</v>
      </c>
      <c r="N101">
        <v>9</v>
      </c>
      <c r="O101">
        <v>8</v>
      </c>
      <c r="P101">
        <v>4</v>
      </c>
      <c r="Q101">
        <v>5</v>
      </c>
      <c r="R101">
        <v>5</v>
      </c>
      <c r="S101">
        <v>4</v>
      </c>
      <c r="T101">
        <v>1</v>
      </c>
      <c r="U101">
        <v>2</v>
      </c>
      <c r="V101">
        <v>7</v>
      </c>
      <c r="W101">
        <v>47</v>
      </c>
      <c r="Y101" s="4" t="s">
        <v>66</v>
      </c>
      <c r="Z101" s="22">
        <f t="shared" si="6"/>
        <v>1.7988986419131828E-2</v>
      </c>
      <c r="AA101" s="22">
        <f t="shared" si="6"/>
        <v>0.17740713171763356</v>
      </c>
      <c r="AB101" s="22">
        <f t="shared" si="6"/>
        <v>5.4550929423250037E-2</v>
      </c>
      <c r="AC101" s="22">
        <f t="shared" si="6"/>
        <v>2.3041791882573548E-2</v>
      </c>
      <c r="AD101" s="22">
        <f t="shared" si="6"/>
        <v>0.16692250009358403</v>
      </c>
      <c r="AE101" s="22">
        <f t="shared" si="6"/>
        <v>0.14667969318172006</v>
      </c>
      <c r="AF101" s="22">
        <f t="shared" si="6"/>
        <v>0.14964024840574108</v>
      </c>
      <c r="AG101" s="22">
        <f t="shared" si="6"/>
        <v>0</v>
      </c>
      <c r="AH101" s="22">
        <f t="shared" ref="AH101:AI101" si="25">AH64/SUM($Z64:$AI64)</f>
        <v>0.13440998605614621</v>
      </c>
      <c r="AI101" s="22">
        <f t="shared" si="25"/>
        <v>0.12935873282021951</v>
      </c>
      <c r="AK101" s="4" t="s">
        <v>66</v>
      </c>
      <c r="AL101" s="22">
        <f t="shared" si="10"/>
        <v>2.7027027027027029E-2</v>
      </c>
      <c r="AM101" s="22">
        <f t="shared" si="10"/>
        <v>0.13513513513513514</v>
      </c>
      <c r="AN101" s="22">
        <f t="shared" si="10"/>
        <v>5.4054054054054057E-2</v>
      </c>
      <c r="AO101" s="22">
        <f t="shared" si="10"/>
        <v>2.7027027027027029E-2</v>
      </c>
      <c r="AP101" s="22">
        <f t="shared" si="10"/>
        <v>0.13513513513513514</v>
      </c>
      <c r="AQ101" s="22">
        <f t="shared" si="10"/>
        <v>0.13513513513513514</v>
      </c>
      <c r="AR101" s="22">
        <f t="shared" si="10"/>
        <v>0.21621621621621623</v>
      </c>
      <c r="AS101" s="22">
        <f t="shared" si="10"/>
        <v>0</v>
      </c>
      <c r="AT101" s="22">
        <f t="shared" si="10"/>
        <v>0.16216216216216217</v>
      </c>
      <c r="AU101" s="22">
        <f t="shared" si="10"/>
        <v>0.10810810810810811</v>
      </c>
    </row>
    <row r="102" spans="2:47" x14ac:dyDescent="0.35">
      <c r="B102" s="4" t="s">
        <v>14</v>
      </c>
      <c r="C102" s="14">
        <v>17026.669743589748</v>
      </c>
      <c r="L102" s="4" t="s">
        <v>66</v>
      </c>
      <c r="M102">
        <v>1</v>
      </c>
      <c r="N102">
        <v>5</v>
      </c>
      <c r="O102">
        <v>2</v>
      </c>
      <c r="P102">
        <v>1</v>
      </c>
      <c r="Q102">
        <v>5</v>
      </c>
      <c r="R102">
        <v>5</v>
      </c>
      <c r="S102">
        <v>8</v>
      </c>
      <c r="U102">
        <v>6</v>
      </c>
      <c r="V102">
        <v>4</v>
      </c>
      <c r="W102">
        <v>37</v>
      </c>
      <c r="Y102" s="4" t="s">
        <v>90</v>
      </c>
      <c r="Z102" s="22">
        <f t="shared" si="6"/>
        <v>4.4793702297257633E-2</v>
      </c>
      <c r="AA102" s="22">
        <f t="shared" si="6"/>
        <v>0.12285023381757432</v>
      </c>
      <c r="AB102" s="22">
        <f t="shared" si="6"/>
        <v>0.15309722500326567</v>
      </c>
      <c r="AC102" s="22">
        <f t="shared" si="6"/>
        <v>8.1118975332939477E-2</v>
      </c>
      <c r="AD102" s="22">
        <f t="shared" si="6"/>
        <v>0.26767397726956593</v>
      </c>
      <c r="AE102" s="22">
        <f t="shared" si="6"/>
        <v>0.10259604664524941</v>
      </c>
      <c r="AF102" s="22">
        <f t="shared" si="6"/>
        <v>0.10481877230009337</v>
      </c>
      <c r="AG102" s="22">
        <f t="shared" ref="AG102:AI102" si="26">AG65/SUM($Z65:$AI65)</f>
        <v>1.0253093981924057E-2</v>
      </c>
      <c r="AH102" s="22">
        <f t="shared" si="26"/>
        <v>2.0706697760988321E-2</v>
      </c>
      <c r="AI102" s="22">
        <f t="shared" si="26"/>
        <v>9.20912755911419E-2</v>
      </c>
      <c r="AK102" s="4" t="s">
        <v>90</v>
      </c>
      <c r="AL102" s="22">
        <f t="shared" si="10"/>
        <v>3.8461538461538464E-2</v>
      </c>
      <c r="AM102" s="22">
        <f t="shared" si="10"/>
        <v>7.6923076923076927E-2</v>
      </c>
      <c r="AN102" s="22">
        <f t="shared" si="10"/>
        <v>0.15384615384615385</v>
      </c>
      <c r="AO102" s="22">
        <f t="shared" si="10"/>
        <v>9.6153846153846159E-2</v>
      </c>
      <c r="AP102" s="22">
        <f t="shared" si="10"/>
        <v>0.25</v>
      </c>
      <c r="AQ102" s="22">
        <f t="shared" si="10"/>
        <v>0.11538461538461539</v>
      </c>
      <c r="AR102" s="22">
        <f t="shared" si="10"/>
        <v>0.13461538461538461</v>
      </c>
      <c r="AS102" s="22">
        <f t="shared" si="10"/>
        <v>1.9230769230769232E-2</v>
      </c>
      <c r="AT102" s="22">
        <f t="shared" si="10"/>
        <v>1.9230769230769232E-2</v>
      </c>
      <c r="AU102" s="22">
        <f t="shared" si="10"/>
        <v>9.6153846153846159E-2</v>
      </c>
    </row>
    <row r="103" spans="2:47" x14ac:dyDescent="0.35">
      <c r="B103" s="4" t="s">
        <v>56</v>
      </c>
      <c r="C103" s="14">
        <v>19774.340000000007</v>
      </c>
      <c r="L103" s="4" t="s">
        <v>90</v>
      </c>
      <c r="M103">
        <v>2</v>
      </c>
      <c r="N103">
        <v>4</v>
      </c>
      <c r="O103">
        <v>8</v>
      </c>
      <c r="P103">
        <v>5</v>
      </c>
      <c r="Q103">
        <v>13</v>
      </c>
      <c r="R103">
        <v>6</v>
      </c>
      <c r="S103">
        <v>7</v>
      </c>
      <c r="T103">
        <v>1</v>
      </c>
      <c r="U103">
        <v>1</v>
      </c>
      <c r="V103">
        <v>5</v>
      </c>
      <c r="W103">
        <v>52</v>
      </c>
      <c r="Y103" s="4" t="s">
        <v>74</v>
      </c>
      <c r="Z103" s="22">
        <f t="shared" si="6"/>
        <v>9.1183751238942484E-2</v>
      </c>
      <c r="AA103" s="22">
        <f t="shared" si="6"/>
        <v>0.22359215803229604</v>
      </c>
      <c r="AB103" s="22">
        <f t="shared" si="6"/>
        <v>0.16280282694727186</v>
      </c>
      <c r="AC103" s="22">
        <f t="shared" si="6"/>
        <v>0.15656481332121627</v>
      </c>
      <c r="AD103" s="22">
        <f t="shared" si="6"/>
        <v>0.11989268548231809</v>
      </c>
      <c r="AE103" s="22">
        <f t="shared" si="6"/>
        <v>5.6629111022103759E-2</v>
      </c>
      <c r="AF103" s="22">
        <f t="shared" si="6"/>
        <v>7.4368802134401765E-2</v>
      </c>
      <c r="AG103" s="22">
        <f t="shared" ref="AG103:AI103" si="27">AG66/SUM($Z66:$AI66)</f>
        <v>0</v>
      </c>
      <c r="AH103" s="22">
        <f t="shared" si="27"/>
        <v>6.7299549370349515E-2</v>
      </c>
      <c r="AI103" s="22">
        <f t="shared" si="27"/>
        <v>4.7666302451100304E-2</v>
      </c>
      <c r="AK103" s="4" t="s">
        <v>74</v>
      </c>
      <c r="AL103" s="22">
        <f t="shared" si="10"/>
        <v>7.6923076923076927E-2</v>
      </c>
      <c r="AM103" s="22">
        <f t="shared" si="10"/>
        <v>0.15384615384615385</v>
      </c>
      <c r="AN103" s="22">
        <f t="shared" si="10"/>
        <v>0.15384615384615385</v>
      </c>
      <c r="AO103" s="22">
        <f t="shared" si="10"/>
        <v>0.15384615384615385</v>
      </c>
      <c r="AP103" s="22">
        <f t="shared" si="10"/>
        <v>0.19230769230769232</v>
      </c>
      <c r="AQ103" s="22">
        <f t="shared" si="10"/>
        <v>3.8461538461538464E-2</v>
      </c>
      <c r="AR103" s="22">
        <f t="shared" si="10"/>
        <v>0.11538461538461539</v>
      </c>
      <c r="AS103" s="22">
        <f t="shared" si="10"/>
        <v>0</v>
      </c>
      <c r="AT103" s="22">
        <f t="shared" si="10"/>
        <v>3.8461538461538464E-2</v>
      </c>
      <c r="AU103" s="22">
        <f t="shared" si="10"/>
        <v>7.6923076923076927E-2</v>
      </c>
    </row>
    <row r="104" spans="2:47" x14ac:dyDescent="0.35">
      <c r="B104" s="4" t="s">
        <v>425</v>
      </c>
      <c r="C104" s="14">
        <v>15524.046000000008</v>
      </c>
      <c r="L104" s="4" t="s">
        <v>74</v>
      </c>
      <c r="M104">
        <v>2</v>
      </c>
      <c r="N104">
        <v>4</v>
      </c>
      <c r="O104">
        <v>4</v>
      </c>
      <c r="P104">
        <v>4</v>
      </c>
      <c r="Q104">
        <v>5</v>
      </c>
      <c r="R104">
        <v>1</v>
      </c>
      <c r="S104">
        <v>3</v>
      </c>
      <c r="U104">
        <v>1</v>
      </c>
      <c r="V104">
        <v>2</v>
      </c>
      <c r="W104">
        <v>26</v>
      </c>
      <c r="Y104" s="4" t="s">
        <v>108</v>
      </c>
      <c r="Z104" s="22">
        <f t="shared" si="6"/>
        <v>0.12439927963497505</v>
      </c>
      <c r="AA104" s="22">
        <f t="shared" si="6"/>
        <v>4.2123130563197449E-2</v>
      </c>
      <c r="AB104" s="22">
        <f t="shared" si="6"/>
        <v>0.12969142115678731</v>
      </c>
      <c r="AC104" s="22">
        <f t="shared" si="6"/>
        <v>0.15498402023215618</v>
      </c>
      <c r="AD104" s="22">
        <f t="shared" si="6"/>
        <v>0.11770310352692144</v>
      </c>
      <c r="AE104" s="22">
        <f t="shared" si="6"/>
        <v>6.853402119989857E-2</v>
      </c>
      <c r="AF104" s="22">
        <f t="shared" si="6"/>
        <v>0.12237804508833872</v>
      </c>
      <c r="AG104" s="22">
        <f t="shared" ref="AG104:AI104" si="28">AG67/SUM($Z67:$AI67)</f>
        <v>0</v>
      </c>
      <c r="AH104" s="22">
        <f t="shared" si="28"/>
        <v>0.12950781950324519</v>
      </c>
      <c r="AI104" s="22">
        <f t="shared" si="28"/>
        <v>0.11067915909447999</v>
      </c>
      <c r="AK104" s="4" t="s">
        <v>108</v>
      </c>
      <c r="AL104" s="22">
        <f t="shared" si="10"/>
        <v>9.0909090909090912E-2</v>
      </c>
      <c r="AM104" s="22">
        <f t="shared" si="10"/>
        <v>9.0909090909090912E-2</v>
      </c>
      <c r="AN104" s="22">
        <f t="shared" si="10"/>
        <v>0.13636363636363635</v>
      </c>
      <c r="AO104" s="22">
        <f t="shared" si="10"/>
        <v>0.13636363636363635</v>
      </c>
      <c r="AP104" s="22">
        <f t="shared" si="10"/>
        <v>0.13636363636363635</v>
      </c>
      <c r="AQ104" s="22">
        <f t="shared" si="10"/>
        <v>9.0909090909090912E-2</v>
      </c>
      <c r="AR104" s="22">
        <f t="shared" si="10"/>
        <v>0.13636363636363635</v>
      </c>
      <c r="AS104" s="22">
        <f t="shared" si="10"/>
        <v>0</v>
      </c>
      <c r="AT104" s="22">
        <f t="shared" si="10"/>
        <v>9.0909090909090912E-2</v>
      </c>
      <c r="AU104" s="22">
        <f t="shared" si="10"/>
        <v>9.0909090909090912E-2</v>
      </c>
    </row>
    <row r="105" spans="2:47" x14ac:dyDescent="0.35">
      <c r="B105" s="4" t="s">
        <v>353</v>
      </c>
      <c r="C105" s="14">
        <v>21113.243809523814</v>
      </c>
      <c r="L105" s="4" t="s">
        <v>108</v>
      </c>
      <c r="M105">
        <v>2</v>
      </c>
      <c r="N105">
        <v>2</v>
      </c>
      <c r="O105">
        <v>3</v>
      </c>
      <c r="P105">
        <v>3</v>
      </c>
      <c r="Q105">
        <v>3</v>
      </c>
      <c r="R105">
        <v>2</v>
      </c>
      <c r="S105">
        <v>3</v>
      </c>
      <c r="U105">
        <v>2</v>
      </c>
      <c r="V105">
        <v>2</v>
      </c>
      <c r="W105">
        <v>22</v>
      </c>
      <c r="Y105" s="4" t="s">
        <v>141</v>
      </c>
      <c r="Z105" s="22">
        <f t="shared" si="6"/>
        <v>0</v>
      </c>
      <c r="AA105" s="22">
        <f t="shared" si="6"/>
        <v>4.3675285186805024E-2</v>
      </c>
      <c r="AB105" s="22">
        <f t="shared" si="6"/>
        <v>0</v>
      </c>
      <c r="AC105" s="22">
        <f t="shared" si="6"/>
        <v>0.24569160296858397</v>
      </c>
      <c r="AD105" s="22">
        <f t="shared" si="6"/>
        <v>0.10389439299703075</v>
      </c>
      <c r="AE105" s="22">
        <f t="shared" si="6"/>
        <v>0</v>
      </c>
      <c r="AF105" s="22">
        <f t="shared" si="6"/>
        <v>0.32186222147975957</v>
      </c>
      <c r="AG105" s="22">
        <f t="shared" ref="AG105:AI105" si="29">AG68/SUM($Z68:$AI68)</f>
        <v>0.14136603416613155</v>
      </c>
      <c r="AH105" s="22">
        <f t="shared" si="29"/>
        <v>0</v>
      </c>
      <c r="AI105" s="22">
        <f t="shared" si="29"/>
        <v>0.14351046320168909</v>
      </c>
      <c r="AK105" s="4" t="s">
        <v>141</v>
      </c>
      <c r="AL105" s="22">
        <f t="shared" si="10"/>
        <v>0</v>
      </c>
      <c r="AM105" s="22">
        <f t="shared" si="10"/>
        <v>0.1</v>
      </c>
      <c r="AN105" s="22">
        <f t="shared" si="10"/>
        <v>0</v>
      </c>
      <c r="AO105" s="22">
        <f t="shared" si="10"/>
        <v>0.3</v>
      </c>
      <c r="AP105" s="22">
        <f t="shared" si="10"/>
        <v>0.1</v>
      </c>
      <c r="AQ105" s="22">
        <f t="shared" si="10"/>
        <v>0</v>
      </c>
      <c r="AR105" s="22">
        <f t="shared" si="10"/>
        <v>0.3</v>
      </c>
      <c r="AS105" s="22">
        <f t="shared" si="10"/>
        <v>0.1</v>
      </c>
      <c r="AT105" s="22">
        <f t="shared" si="10"/>
        <v>0</v>
      </c>
      <c r="AU105" s="22">
        <f t="shared" si="10"/>
        <v>0.1</v>
      </c>
    </row>
    <row r="106" spans="2:47" x14ac:dyDescent="0.35">
      <c r="B106" s="4" t="s">
        <v>86</v>
      </c>
      <c r="C106" s="14">
        <v>18770.217499999995</v>
      </c>
      <c r="L106" s="4" t="s">
        <v>141</v>
      </c>
      <c r="N106">
        <v>1</v>
      </c>
      <c r="P106">
        <v>3</v>
      </c>
      <c r="Q106">
        <v>1</v>
      </c>
      <c r="S106">
        <v>3</v>
      </c>
      <c r="T106">
        <v>1</v>
      </c>
      <c r="V106">
        <v>1</v>
      </c>
      <c r="W106">
        <v>10</v>
      </c>
      <c r="Y106" s="4" t="s">
        <v>14</v>
      </c>
      <c r="Z106" s="22">
        <f t="shared" si="6"/>
        <v>3.40517828952865E-2</v>
      </c>
      <c r="AA106" s="22">
        <f t="shared" si="6"/>
        <v>0.17496313325164745</v>
      </c>
      <c r="AB106" s="22">
        <f t="shared" si="6"/>
        <v>7.4412401467549835E-2</v>
      </c>
      <c r="AC106" s="22">
        <f t="shared" si="6"/>
        <v>0.15044539778710958</v>
      </c>
      <c r="AD106" s="22">
        <f t="shared" si="6"/>
        <v>0.12033646400762654</v>
      </c>
      <c r="AE106" s="22">
        <f t="shared" si="6"/>
        <v>0.19283669185530539</v>
      </c>
      <c r="AF106" s="22">
        <f t="shared" si="6"/>
        <v>8.3380745127267286E-2</v>
      </c>
      <c r="AG106" s="22">
        <f t="shared" ref="AG106:AI106" si="30">AG69/SUM($Z69:$AI69)</f>
        <v>3.1172679747121304E-2</v>
      </c>
      <c r="AH106" s="22">
        <f t="shared" si="30"/>
        <v>0.10802919558535108</v>
      </c>
      <c r="AI106" s="22">
        <f t="shared" si="30"/>
        <v>3.0371508275734892E-2</v>
      </c>
      <c r="AK106" s="4" t="s">
        <v>14</v>
      </c>
      <c r="AL106" s="22">
        <f t="shared" si="10"/>
        <v>2.564102564102564E-2</v>
      </c>
      <c r="AM106" s="22">
        <f t="shared" si="10"/>
        <v>0.20512820512820512</v>
      </c>
      <c r="AN106" s="22">
        <f t="shared" si="10"/>
        <v>0.10256410256410256</v>
      </c>
      <c r="AO106" s="22">
        <f t="shared" si="10"/>
        <v>0.15384615384615385</v>
      </c>
      <c r="AP106" s="22">
        <f t="shared" si="10"/>
        <v>0.12820512820512819</v>
      </c>
      <c r="AQ106" s="22">
        <f t="shared" si="10"/>
        <v>0.15384615384615385</v>
      </c>
      <c r="AR106" s="22">
        <f t="shared" si="10"/>
        <v>7.6923076923076927E-2</v>
      </c>
      <c r="AS106" s="22">
        <f t="shared" si="10"/>
        <v>2.564102564102564E-2</v>
      </c>
      <c r="AT106" s="22">
        <f t="shared" si="10"/>
        <v>0.10256410256410256</v>
      </c>
      <c r="AU106" s="22">
        <f t="shared" si="10"/>
        <v>2.564102564102564E-2</v>
      </c>
    </row>
    <row r="107" spans="2:47" x14ac:dyDescent="0.35">
      <c r="B107" s="4" t="s">
        <v>133</v>
      </c>
      <c r="C107" s="14">
        <v>17650.504600000007</v>
      </c>
      <c r="L107" s="4" t="s">
        <v>14</v>
      </c>
      <c r="M107">
        <v>1</v>
      </c>
      <c r="N107">
        <v>8</v>
      </c>
      <c r="O107">
        <v>4</v>
      </c>
      <c r="P107">
        <v>6</v>
      </c>
      <c r="Q107">
        <v>5</v>
      </c>
      <c r="R107">
        <v>6</v>
      </c>
      <c r="S107">
        <v>3</v>
      </c>
      <c r="T107">
        <v>1</v>
      </c>
      <c r="U107">
        <v>4</v>
      </c>
      <c r="V107">
        <v>1</v>
      </c>
      <c r="W107">
        <v>39</v>
      </c>
      <c r="Y107" s="4" t="s">
        <v>56</v>
      </c>
      <c r="Z107" s="22">
        <f t="shared" si="6"/>
        <v>7.6924312012436324E-2</v>
      </c>
      <c r="AA107" s="22">
        <f t="shared" si="6"/>
        <v>0.10210340774963919</v>
      </c>
      <c r="AB107" s="22">
        <f t="shared" si="6"/>
        <v>0.27126279702775297</v>
      </c>
      <c r="AC107" s="22">
        <f t="shared" si="6"/>
        <v>0.20704451380481526</v>
      </c>
      <c r="AD107" s="22">
        <f t="shared" si="6"/>
        <v>9.7039142646480198E-2</v>
      </c>
      <c r="AE107" s="22">
        <f t="shared" si="6"/>
        <v>0.12464929297260993</v>
      </c>
      <c r="AF107" s="22">
        <f t="shared" si="6"/>
        <v>3.6516923222497215E-2</v>
      </c>
      <c r="AG107" s="22">
        <f t="shared" ref="AG107:AI107" si="31">AG70/SUM($Z70:$AI70)</f>
        <v>2.9852801380194936E-2</v>
      </c>
      <c r="AH107" s="22">
        <f t="shared" si="31"/>
        <v>3.7570758085703218E-2</v>
      </c>
      <c r="AI107" s="22">
        <f t="shared" si="31"/>
        <v>1.7036051097870607E-2</v>
      </c>
      <c r="AK107" s="4" t="s">
        <v>56</v>
      </c>
      <c r="AL107" s="22">
        <f t="shared" si="10"/>
        <v>5.5555555555555552E-2</v>
      </c>
      <c r="AM107" s="22">
        <f t="shared" si="10"/>
        <v>0.1111111111111111</v>
      </c>
      <c r="AN107" s="22">
        <f t="shared" si="10"/>
        <v>0.27777777777777779</v>
      </c>
      <c r="AO107" s="22">
        <f t="shared" si="10"/>
        <v>0.1388888888888889</v>
      </c>
      <c r="AP107" s="22">
        <f t="shared" si="10"/>
        <v>8.3333333333333329E-2</v>
      </c>
      <c r="AQ107" s="22">
        <f t="shared" si="10"/>
        <v>0.1388888888888889</v>
      </c>
      <c r="AR107" s="22">
        <f t="shared" si="10"/>
        <v>5.5555555555555552E-2</v>
      </c>
      <c r="AS107" s="22">
        <f t="shared" si="10"/>
        <v>5.5555555555555552E-2</v>
      </c>
      <c r="AT107" s="22">
        <f t="shared" si="10"/>
        <v>2.7777777777777776E-2</v>
      </c>
      <c r="AU107" s="22">
        <f t="shared" si="10"/>
        <v>5.5555555555555552E-2</v>
      </c>
    </row>
    <row r="108" spans="2:47" x14ac:dyDescent="0.35">
      <c r="B108" s="4" t="s">
        <v>212</v>
      </c>
      <c r="C108" s="14">
        <v>17856.661999999989</v>
      </c>
      <c r="L108" s="4" t="s">
        <v>56</v>
      </c>
      <c r="M108">
        <v>2</v>
      </c>
      <c r="N108">
        <v>4</v>
      </c>
      <c r="O108">
        <v>10</v>
      </c>
      <c r="P108">
        <v>5</v>
      </c>
      <c r="Q108">
        <v>3</v>
      </c>
      <c r="R108">
        <v>5</v>
      </c>
      <c r="S108">
        <v>2</v>
      </c>
      <c r="T108">
        <v>2</v>
      </c>
      <c r="U108">
        <v>1</v>
      </c>
      <c r="V108">
        <v>2</v>
      </c>
      <c r="W108">
        <v>36</v>
      </c>
      <c r="Y108" s="4" t="s">
        <v>425</v>
      </c>
      <c r="Z108" s="22">
        <f t="shared" si="6"/>
        <v>0</v>
      </c>
      <c r="AA108" s="22">
        <f t="shared" si="6"/>
        <v>0</v>
      </c>
      <c r="AB108" s="22">
        <f t="shared" si="6"/>
        <v>0.15390523836376163</v>
      </c>
      <c r="AC108" s="22">
        <f t="shared" si="6"/>
        <v>0</v>
      </c>
      <c r="AD108" s="22">
        <f t="shared" si="6"/>
        <v>0</v>
      </c>
      <c r="AE108" s="22">
        <f t="shared" si="6"/>
        <v>0.23856151933587419</v>
      </c>
      <c r="AF108" s="22">
        <f t="shared" si="6"/>
        <v>0.23233633809124241</v>
      </c>
      <c r="AG108" s="22">
        <f t="shared" ref="AG108:AI108" si="32">AG71/SUM($Z71:$AI71)</f>
        <v>0.37519690420912183</v>
      </c>
      <c r="AH108" s="22">
        <f t="shared" si="32"/>
        <v>0</v>
      </c>
      <c r="AI108" s="22">
        <f t="shared" si="32"/>
        <v>0</v>
      </c>
      <c r="AK108" s="4" t="s">
        <v>425</v>
      </c>
      <c r="AL108" s="22">
        <f t="shared" si="10"/>
        <v>0</v>
      </c>
      <c r="AM108" s="22">
        <f t="shared" si="10"/>
        <v>0</v>
      </c>
      <c r="AN108" s="22">
        <f t="shared" si="10"/>
        <v>0.2</v>
      </c>
      <c r="AO108" s="22">
        <f t="shared" si="10"/>
        <v>0</v>
      </c>
      <c r="AP108" s="22">
        <f t="shared" si="10"/>
        <v>0</v>
      </c>
      <c r="AQ108" s="22">
        <f t="shared" si="10"/>
        <v>0.4</v>
      </c>
      <c r="AR108" s="22">
        <f t="shared" si="10"/>
        <v>0.2</v>
      </c>
      <c r="AS108" s="22">
        <f t="shared" si="10"/>
        <v>0.2</v>
      </c>
      <c r="AT108" s="22">
        <f t="shared" si="10"/>
        <v>0</v>
      </c>
      <c r="AU108" s="22">
        <f t="shared" si="10"/>
        <v>0</v>
      </c>
    </row>
    <row r="109" spans="2:47" x14ac:dyDescent="0.35">
      <c r="B109" s="4" t="s">
        <v>41</v>
      </c>
      <c r="C109" s="14">
        <v>13659.871666666664</v>
      </c>
      <c r="L109" s="4" t="s">
        <v>425</v>
      </c>
      <c r="O109">
        <v>1</v>
      </c>
      <c r="R109">
        <v>2</v>
      </c>
      <c r="S109">
        <v>1</v>
      </c>
      <c r="T109">
        <v>1</v>
      </c>
      <c r="W109">
        <v>5</v>
      </c>
      <c r="Y109" s="4" t="s">
        <v>353</v>
      </c>
      <c r="Z109" s="22">
        <f t="shared" si="6"/>
        <v>2.2962161506751847E-2</v>
      </c>
      <c r="AA109" s="22">
        <f t="shared" si="6"/>
        <v>0.2516380149746677</v>
      </c>
      <c r="AB109" s="22">
        <f t="shared" si="6"/>
        <v>0.15125331398852065</v>
      </c>
      <c r="AC109" s="22">
        <f t="shared" si="6"/>
        <v>5.0057296467403499E-2</v>
      </c>
      <c r="AD109" s="22">
        <f t="shared" si="6"/>
        <v>0.10656572318002522</v>
      </c>
      <c r="AE109" s="22">
        <f t="shared" si="6"/>
        <v>0.11885015886665763</v>
      </c>
      <c r="AF109" s="22">
        <f t="shared" si="6"/>
        <v>0.22030318049975048</v>
      </c>
      <c r="AG109" s="22">
        <f t="shared" ref="AG109:AI109" si="33">AG72/SUM($Z72:$AI72)</f>
        <v>0</v>
      </c>
      <c r="AH109" s="22">
        <f t="shared" si="33"/>
        <v>7.8370150516223022E-2</v>
      </c>
      <c r="AI109" s="22">
        <f t="shared" si="33"/>
        <v>0</v>
      </c>
      <c r="AK109" s="4" t="s">
        <v>353</v>
      </c>
      <c r="AL109" s="22">
        <f t="shared" si="10"/>
        <v>4.7619047619047616E-2</v>
      </c>
      <c r="AM109" s="22">
        <f t="shared" si="10"/>
        <v>0.19047619047619047</v>
      </c>
      <c r="AN109" s="22">
        <f t="shared" si="10"/>
        <v>0.14285714285714285</v>
      </c>
      <c r="AO109" s="22">
        <f t="shared" si="10"/>
        <v>4.7619047619047616E-2</v>
      </c>
      <c r="AP109" s="22">
        <f t="shared" si="10"/>
        <v>0.14285714285714285</v>
      </c>
      <c r="AQ109" s="22">
        <f t="shared" si="10"/>
        <v>0.14285714285714285</v>
      </c>
      <c r="AR109" s="22">
        <f t="shared" si="10"/>
        <v>0.23809523809523808</v>
      </c>
      <c r="AS109" s="22">
        <f t="shared" si="10"/>
        <v>0</v>
      </c>
      <c r="AT109" s="22">
        <f t="shared" si="10"/>
        <v>4.7619047619047616E-2</v>
      </c>
      <c r="AU109" s="22">
        <f t="shared" si="10"/>
        <v>0</v>
      </c>
    </row>
    <row r="110" spans="2:47" x14ac:dyDescent="0.35">
      <c r="B110" s="4" t="s">
        <v>104</v>
      </c>
      <c r="C110" s="14">
        <v>18130.590666666674</v>
      </c>
      <c r="L110" s="4" t="s">
        <v>353</v>
      </c>
      <c r="M110">
        <v>1</v>
      </c>
      <c r="N110">
        <v>4</v>
      </c>
      <c r="O110">
        <v>3</v>
      </c>
      <c r="P110">
        <v>1</v>
      </c>
      <c r="Q110">
        <v>3</v>
      </c>
      <c r="R110">
        <v>3</v>
      </c>
      <c r="S110">
        <v>5</v>
      </c>
      <c r="U110">
        <v>1</v>
      </c>
      <c r="W110">
        <v>21</v>
      </c>
      <c r="Y110" s="4" t="s">
        <v>86</v>
      </c>
      <c r="Z110" s="22">
        <f t="shared" si="6"/>
        <v>0</v>
      </c>
      <c r="AA110" s="22">
        <f t="shared" si="6"/>
        <v>5.0807292380678513E-2</v>
      </c>
      <c r="AB110" s="22">
        <f t="shared" si="6"/>
        <v>6.5775343306490736E-2</v>
      </c>
      <c r="AC110" s="22">
        <f t="shared" si="6"/>
        <v>0.19186279693197103</v>
      </c>
      <c r="AD110" s="22">
        <f t="shared" si="6"/>
        <v>0.24264308985383751</v>
      </c>
      <c r="AE110" s="22">
        <f t="shared" si="6"/>
        <v>0.13184817536458637</v>
      </c>
      <c r="AF110" s="22">
        <f t="shared" si="6"/>
        <v>0.11031194953997124</v>
      </c>
      <c r="AG110" s="22">
        <f t="shared" ref="AG110:AI110" si="34">AG73/SUM($Z73:$AI73)</f>
        <v>0</v>
      </c>
      <c r="AH110" s="22">
        <f t="shared" si="34"/>
        <v>8.9554959681664381E-2</v>
      </c>
      <c r="AI110" s="22">
        <f t="shared" si="34"/>
        <v>0.11719639294080027</v>
      </c>
      <c r="AK110" s="4" t="s">
        <v>86</v>
      </c>
      <c r="AL110" s="22">
        <f t="shared" si="10"/>
        <v>0</v>
      </c>
      <c r="AM110" s="22">
        <f t="shared" si="10"/>
        <v>7.1428571428571425E-2</v>
      </c>
      <c r="AN110" s="22">
        <f t="shared" si="10"/>
        <v>3.5714285714285712E-2</v>
      </c>
      <c r="AO110" s="22">
        <f t="shared" si="10"/>
        <v>0.14285714285714285</v>
      </c>
      <c r="AP110" s="22">
        <f t="shared" si="10"/>
        <v>0.21428571428571427</v>
      </c>
      <c r="AQ110" s="22">
        <f t="shared" si="10"/>
        <v>0.14285714285714285</v>
      </c>
      <c r="AR110" s="22">
        <f t="shared" si="10"/>
        <v>0.14285714285714285</v>
      </c>
      <c r="AS110" s="22">
        <f t="shared" si="10"/>
        <v>0</v>
      </c>
      <c r="AT110" s="22">
        <f t="shared" si="10"/>
        <v>7.1428571428571425E-2</v>
      </c>
      <c r="AU110" s="22">
        <f t="shared" si="10"/>
        <v>0.17857142857142858</v>
      </c>
    </row>
    <row r="111" spans="2:47" x14ac:dyDescent="0.35">
      <c r="B111" s="4" t="s">
        <v>27</v>
      </c>
      <c r="C111" s="14">
        <v>17349.187804878042</v>
      </c>
      <c r="L111" s="4" t="s">
        <v>86</v>
      </c>
      <c r="N111">
        <v>2</v>
      </c>
      <c r="O111">
        <v>1</v>
      </c>
      <c r="P111">
        <v>4</v>
      </c>
      <c r="Q111">
        <v>6</v>
      </c>
      <c r="R111">
        <v>4</v>
      </c>
      <c r="S111">
        <v>4</v>
      </c>
      <c r="U111">
        <v>2</v>
      </c>
      <c r="V111">
        <v>5</v>
      </c>
      <c r="W111">
        <v>28</v>
      </c>
      <c r="Y111" s="4" t="s">
        <v>133</v>
      </c>
      <c r="Z111" s="22">
        <f t="shared" si="6"/>
        <v>1.2151176686472748E-2</v>
      </c>
      <c r="AA111" s="22">
        <f t="shared" si="6"/>
        <v>0.12998631211937137</v>
      </c>
      <c r="AB111" s="22">
        <f t="shared" si="6"/>
        <v>0.16932896071424497</v>
      </c>
      <c r="AC111" s="22">
        <f t="shared" si="6"/>
        <v>0.17315072114142277</v>
      </c>
      <c r="AD111" s="22">
        <f t="shared" si="6"/>
        <v>0.10906473461387611</v>
      </c>
      <c r="AE111" s="22">
        <f t="shared" si="6"/>
        <v>0.19861314333189087</v>
      </c>
      <c r="AF111" s="22">
        <f t="shared" si="6"/>
        <v>5.3350701373149394E-2</v>
      </c>
      <c r="AG111" s="22">
        <f t="shared" ref="AG111:AI111" si="35">AG74/SUM($Z74:$AI74)</f>
        <v>2.4283747672573623E-2</v>
      </c>
      <c r="AH111" s="22">
        <f t="shared" si="35"/>
        <v>0</v>
      </c>
      <c r="AI111" s="22">
        <f t="shared" si="35"/>
        <v>0.13007050234699805</v>
      </c>
      <c r="AK111" s="4" t="s">
        <v>133</v>
      </c>
      <c r="AL111" s="22">
        <f t="shared" si="10"/>
        <v>0.02</v>
      </c>
      <c r="AM111" s="22">
        <f t="shared" si="10"/>
        <v>0.16</v>
      </c>
      <c r="AN111" s="22">
        <f t="shared" si="10"/>
        <v>0.16</v>
      </c>
      <c r="AO111" s="22">
        <f t="shared" si="10"/>
        <v>0.18</v>
      </c>
      <c r="AP111" s="22">
        <f t="shared" si="10"/>
        <v>0.14000000000000001</v>
      </c>
      <c r="AQ111" s="22">
        <f t="shared" si="10"/>
        <v>0.14000000000000001</v>
      </c>
      <c r="AR111" s="22">
        <f t="shared" si="10"/>
        <v>0.08</v>
      </c>
      <c r="AS111" s="22">
        <f t="shared" si="10"/>
        <v>0.02</v>
      </c>
      <c r="AT111" s="22">
        <f t="shared" si="10"/>
        <v>0</v>
      </c>
      <c r="AU111" s="22">
        <f t="shared" si="10"/>
        <v>0.1</v>
      </c>
    </row>
    <row r="112" spans="2:47" x14ac:dyDescent="0.35">
      <c r="B112" s="4" t="s">
        <v>170</v>
      </c>
      <c r="C112" s="14">
        <v>20780.183421052625</v>
      </c>
      <c r="L112" s="4" t="s">
        <v>133</v>
      </c>
      <c r="M112">
        <v>1</v>
      </c>
      <c r="N112">
        <v>8</v>
      </c>
      <c r="O112">
        <v>8</v>
      </c>
      <c r="P112">
        <v>9</v>
      </c>
      <c r="Q112">
        <v>7</v>
      </c>
      <c r="R112">
        <v>7</v>
      </c>
      <c r="S112">
        <v>4</v>
      </c>
      <c r="T112">
        <v>1</v>
      </c>
      <c r="V112">
        <v>5</v>
      </c>
      <c r="W112">
        <v>50</v>
      </c>
      <c r="Y112" s="4" t="s">
        <v>212</v>
      </c>
      <c r="Z112" s="22">
        <f t="shared" si="6"/>
        <v>0.12758787168620878</v>
      </c>
      <c r="AA112" s="22">
        <f t="shared" si="6"/>
        <v>9.2437377153691991E-2</v>
      </c>
      <c r="AB112" s="22">
        <f t="shared" si="6"/>
        <v>0.18256362807337681</v>
      </c>
      <c r="AC112" s="22">
        <f t="shared" si="6"/>
        <v>3.4832181960995842E-2</v>
      </c>
      <c r="AD112" s="22">
        <f t="shared" si="6"/>
        <v>0.10482199864677957</v>
      </c>
      <c r="AE112" s="22">
        <f t="shared" si="6"/>
        <v>0.14082707619150769</v>
      </c>
      <c r="AF112" s="22">
        <f t="shared" si="6"/>
        <v>0.12375132037555503</v>
      </c>
      <c r="AG112" s="22">
        <f t="shared" ref="AG112:AI112" si="36">AG75/SUM($Z75:$AI75)</f>
        <v>3.7372746373314357E-2</v>
      </c>
      <c r="AH112" s="22">
        <f t="shared" si="36"/>
        <v>0</v>
      </c>
      <c r="AI112" s="22">
        <f t="shared" si="36"/>
        <v>0.15580579953856996</v>
      </c>
      <c r="AK112" s="4" t="s">
        <v>212</v>
      </c>
      <c r="AL112" s="22">
        <f t="shared" si="10"/>
        <v>0.05</v>
      </c>
      <c r="AM112" s="22">
        <f t="shared" si="10"/>
        <v>0.1</v>
      </c>
      <c r="AN112" s="22">
        <f t="shared" si="10"/>
        <v>0.1</v>
      </c>
      <c r="AO112" s="22">
        <f t="shared" si="10"/>
        <v>0.05</v>
      </c>
      <c r="AP112" s="22">
        <f t="shared" si="10"/>
        <v>0.1</v>
      </c>
      <c r="AQ112" s="22">
        <f t="shared" si="10"/>
        <v>0.2</v>
      </c>
      <c r="AR112" s="22">
        <f t="shared" si="10"/>
        <v>0.15</v>
      </c>
      <c r="AS112" s="22">
        <f t="shared" si="10"/>
        <v>0.05</v>
      </c>
      <c r="AT112" s="22">
        <f t="shared" si="10"/>
        <v>0</v>
      </c>
      <c r="AU112" s="22">
        <f t="shared" si="10"/>
        <v>0.2</v>
      </c>
    </row>
    <row r="113" spans="2:47" x14ac:dyDescent="0.35">
      <c r="B113" s="4" t="s">
        <v>21</v>
      </c>
      <c r="C113" s="14">
        <v>19822.040869565215</v>
      </c>
      <c r="L113" s="4" t="s">
        <v>212</v>
      </c>
      <c r="M113">
        <v>1</v>
      </c>
      <c r="N113">
        <v>2</v>
      </c>
      <c r="O113">
        <v>2</v>
      </c>
      <c r="P113">
        <v>1</v>
      </c>
      <c r="Q113">
        <v>2</v>
      </c>
      <c r="R113">
        <v>4</v>
      </c>
      <c r="S113">
        <v>3</v>
      </c>
      <c r="T113">
        <v>1</v>
      </c>
      <c r="V113">
        <v>4</v>
      </c>
      <c r="W113">
        <v>20</v>
      </c>
      <c r="Y113" s="4" t="s">
        <v>41</v>
      </c>
      <c r="Z113" s="22">
        <f t="shared" si="6"/>
        <v>0</v>
      </c>
      <c r="AA113" s="22">
        <f t="shared" si="6"/>
        <v>0</v>
      </c>
      <c r="AB113" s="22">
        <f t="shared" si="6"/>
        <v>0.17979957840013869</v>
      </c>
      <c r="AC113" s="22">
        <f t="shared" si="6"/>
        <v>4.0708776790606728E-2</v>
      </c>
      <c r="AD113" s="22">
        <f t="shared" si="6"/>
        <v>0.29252233091989766</v>
      </c>
      <c r="AE113" s="22">
        <f t="shared" si="6"/>
        <v>0.10060087192131988</v>
      </c>
      <c r="AF113" s="22">
        <f t="shared" si="6"/>
        <v>0.18901958937388738</v>
      </c>
      <c r="AG113" s="22">
        <f t="shared" ref="AG113:AI113" si="37">AG76/SUM($Z76:$AI76)</f>
        <v>3.494713164093901E-2</v>
      </c>
      <c r="AH113" s="22">
        <f t="shared" si="37"/>
        <v>0</v>
      </c>
      <c r="AI113" s="22">
        <f t="shared" si="37"/>
        <v>0.16240172095321048</v>
      </c>
      <c r="AK113" s="4" t="s">
        <v>41</v>
      </c>
      <c r="AL113" s="22">
        <f t="shared" si="10"/>
        <v>0</v>
      </c>
      <c r="AM113" s="22">
        <f t="shared" si="10"/>
        <v>0</v>
      </c>
      <c r="AN113" s="22">
        <f t="shared" si="10"/>
        <v>0.16666666666666666</v>
      </c>
      <c r="AO113" s="22">
        <f t="shared" si="10"/>
        <v>8.3333333333333329E-2</v>
      </c>
      <c r="AP113" s="22">
        <f t="shared" si="10"/>
        <v>0.33333333333333331</v>
      </c>
      <c r="AQ113" s="22">
        <f t="shared" si="10"/>
        <v>8.3333333333333329E-2</v>
      </c>
      <c r="AR113" s="22">
        <f t="shared" si="10"/>
        <v>8.3333333333333329E-2</v>
      </c>
      <c r="AS113" s="22">
        <f t="shared" si="10"/>
        <v>8.3333333333333329E-2</v>
      </c>
      <c r="AT113" s="22">
        <f t="shared" si="10"/>
        <v>0</v>
      </c>
      <c r="AU113" s="22">
        <f t="shared" si="10"/>
        <v>0.16666666666666666</v>
      </c>
    </row>
    <row r="114" spans="2:47" x14ac:dyDescent="0.35">
      <c r="B114" s="4" t="s">
        <v>49</v>
      </c>
      <c r="C114" s="14">
        <v>21608.279473684201</v>
      </c>
      <c r="L114" s="4" t="s">
        <v>41</v>
      </c>
      <c r="O114">
        <v>2</v>
      </c>
      <c r="P114">
        <v>1</v>
      </c>
      <c r="Q114">
        <v>4</v>
      </c>
      <c r="R114">
        <v>1</v>
      </c>
      <c r="S114">
        <v>1</v>
      </c>
      <c r="T114">
        <v>1</v>
      </c>
      <c r="V114">
        <v>2</v>
      </c>
      <c r="W114">
        <v>12</v>
      </c>
      <c r="Y114" s="4" t="s">
        <v>104</v>
      </c>
      <c r="Z114" s="22">
        <f t="shared" si="6"/>
        <v>0</v>
      </c>
      <c r="AA114" s="22">
        <f t="shared" si="6"/>
        <v>0.11469528883890751</v>
      </c>
      <c r="AB114" s="22">
        <f t="shared" si="6"/>
        <v>0</v>
      </c>
      <c r="AC114" s="22">
        <f t="shared" si="6"/>
        <v>0.14608408051129493</v>
      </c>
      <c r="AD114" s="22">
        <f t="shared" si="6"/>
        <v>0.26831058197552377</v>
      </c>
      <c r="AE114" s="22">
        <f t="shared" si="6"/>
        <v>0.19251875081400183</v>
      </c>
      <c r="AF114" s="22">
        <f t="shared" si="6"/>
        <v>2.8239271189767448E-2</v>
      </c>
      <c r="AG114" s="22">
        <f t="shared" ref="AG114:AI114" si="38">AG77/SUM($Z77:$AI77)</f>
        <v>0</v>
      </c>
      <c r="AH114" s="22">
        <f t="shared" si="38"/>
        <v>0.12098366642660591</v>
      </c>
      <c r="AI114" s="22">
        <f t="shared" si="38"/>
        <v>0.12916836024389861</v>
      </c>
      <c r="AK114" s="4" t="s">
        <v>104</v>
      </c>
      <c r="AL114" s="22">
        <f t="shared" si="10"/>
        <v>0</v>
      </c>
      <c r="AM114" s="22">
        <f t="shared" si="10"/>
        <v>0.13333333333333333</v>
      </c>
      <c r="AN114" s="22">
        <f t="shared" si="10"/>
        <v>0</v>
      </c>
      <c r="AO114" s="22">
        <f t="shared" si="10"/>
        <v>0.13333333333333333</v>
      </c>
      <c r="AP114" s="22">
        <f t="shared" si="10"/>
        <v>0.2</v>
      </c>
      <c r="AQ114" s="22">
        <f t="shared" si="10"/>
        <v>0.2</v>
      </c>
      <c r="AR114" s="22">
        <f t="shared" si="10"/>
        <v>6.6666666666666666E-2</v>
      </c>
      <c r="AS114" s="22">
        <f t="shared" si="10"/>
        <v>0</v>
      </c>
      <c r="AT114" s="22">
        <f t="shared" si="10"/>
        <v>0.13333333333333333</v>
      </c>
      <c r="AU114" s="22">
        <f t="shared" si="10"/>
        <v>0.13333333333333333</v>
      </c>
    </row>
    <row r="115" spans="2:47" x14ac:dyDescent="0.35">
      <c r="B115" s="4" t="s">
        <v>1164</v>
      </c>
      <c r="C115" s="14">
        <v>18992.42772</v>
      </c>
      <c r="L115" s="4" t="s">
        <v>104</v>
      </c>
      <c r="N115">
        <v>2</v>
      </c>
      <c r="P115">
        <v>2</v>
      </c>
      <c r="Q115">
        <v>3</v>
      </c>
      <c r="R115">
        <v>3</v>
      </c>
      <c r="S115">
        <v>1</v>
      </c>
      <c r="U115">
        <v>2</v>
      </c>
      <c r="V115">
        <v>2</v>
      </c>
      <c r="W115">
        <v>15</v>
      </c>
      <c r="Y115" s="4" t="s">
        <v>27</v>
      </c>
      <c r="Z115" s="22">
        <f t="shared" si="6"/>
        <v>6.2712783208941941E-2</v>
      </c>
      <c r="AA115" s="22">
        <f t="shared" si="6"/>
        <v>0.14403363508828068</v>
      </c>
      <c r="AB115" s="22">
        <f t="shared" si="6"/>
        <v>9.5396115401198925E-2</v>
      </c>
      <c r="AC115" s="22">
        <f t="shared" si="6"/>
        <v>3.3307892251088711E-2</v>
      </c>
      <c r="AD115" s="22">
        <f t="shared" si="6"/>
        <v>0.13168037528150262</v>
      </c>
      <c r="AE115" s="22">
        <f t="shared" si="6"/>
        <v>6.4818947734532326E-2</v>
      </c>
      <c r="AF115" s="22">
        <f t="shared" si="6"/>
        <v>0.2583521517208861</v>
      </c>
      <c r="AG115" s="22">
        <f t="shared" ref="AG115:AI115" si="39">AG78/SUM($Z78:$AI78)</f>
        <v>8.8310031242061354E-3</v>
      </c>
      <c r="AH115" s="22">
        <f t="shared" si="39"/>
        <v>0.10571192831547466</v>
      </c>
      <c r="AI115" s="22">
        <f t="shared" si="39"/>
        <v>9.5155167873887961E-2</v>
      </c>
      <c r="AK115" s="4" t="s">
        <v>27</v>
      </c>
      <c r="AL115" s="22">
        <f t="shared" si="10"/>
        <v>4.878048780487805E-2</v>
      </c>
      <c r="AM115" s="22">
        <f t="shared" si="10"/>
        <v>0.17073170731707318</v>
      </c>
      <c r="AN115" s="22">
        <f t="shared" si="10"/>
        <v>7.3170731707317069E-2</v>
      </c>
      <c r="AO115" s="22">
        <f t="shared" si="10"/>
        <v>7.3170731707317069E-2</v>
      </c>
      <c r="AP115" s="22">
        <f t="shared" si="10"/>
        <v>9.7560975609756101E-2</v>
      </c>
      <c r="AQ115" s="22">
        <f t="shared" si="10"/>
        <v>9.7560975609756101E-2</v>
      </c>
      <c r="AR115" s="22">
        <f t="shared" si="10"/>
        <v>0.24390243902439024</v>
      </c>
      <c r="AS115" s="22">
        <f t="shared" si="10"/>
        <v>2.4390243902439025E-2</v>
      </c>
      <c r="AT115" s="22">
        <f t="shared" si="10"/>
        <v>9.7560975609756101E-2</v>
      </c>
      <c r="AU115" s="22">
        <f t="shared" si="10"/>
        <v>7.3170731707317069E-2</v>
      </c>
    </row>
    <row r="116" spans="2:47" x14ac:dyDescent="0.35">
      <c r="L116" s="4" t="s">
        <v>27</v>
      </c>
      <c r="M116">
        <v>2</v>
      </c>
      <c r="N116">
        <v>7</v>
      </c>
      <c r="O116">
        <v>3</v>
      </c>
      <c r="P116">
        <v>3</v>
      </c>
      <c r="Q116">
        <v>4</v>
      </c>
      <c r="R116">
        <v>4</v>
      </c>
      <c r="S116">
        <v>10</v>
      </c>
      <c r="T116">
        <v>1</v>
      </c>
      <c r="U116">
        <v>4</v>
      </c>
      <c r="V116">
        <v>3</v>
      </c>
      <c r="W116">
        <v>41</v>
      </c>
      <c r="Y116" s="4" t="s">
        <v>170</v>
      </c>
      <c r="Z116" s="22">
        <f t="shared" si="6"/>
        <v>5.8004249671217006E-2</v>
      </c>
      <c r="AA116" s="22">
        <f t="shared" si="6"/>
        <v>0.15909618446329254</v>
      </c>
      <c r="AB116" s="22">
        <f t="shared" si="6"/>
        <v>7.3772979841865302E-2</v>
      </c>
      <c r="AC116" s="22">
        <f t="shared" si="6"/>
        <v>9.4754355861075501E-2</v>
      </c>
      <c r="AD116" s="22">
        <f t="shared" si="6"/>
        <v>0.17668804579849148</v>
      </c>
      <c r="AE116" s="22">
        <f t="shared" si="6"/>
        <v>0.2289490580835129</v>
      </c>
      <c r="AF116" s="22">
        <f t="shared" si="6"/>
        <v>6.9626354673405513E-2</v>
      </c>
      <c r="AG116" s="22">
        <f t="shared" ref="AG116:AI116" si="40">AG79/SUM($Z79:$AI79)</f>
        <v>6.5748444523253222E-2</v>
      </c>
      <c r="AH116" s="22">
        <f t="shared" si="40"/>
        <v>2.7790697404942867E-2</v>
      </c>
      <c r="AI116" s="22">
        <f t="shared" si="40"/>
        <v>4.5569629678943742E-2</v>
      </c>
      <c r="AK116" s="4" t="s">
        <v>170</v>
      </c>
      <c r="AL116" s="22">
        <f t="shared" si="10"/>
        <v>2.6315789473684209E-2</v>
      </c>
      <c r="AM116" s="22">
        <f t="shared" si="10"/>
        <v>0.15789473684210525</v>
      </c>
      <c r="AN116" s="22">
        <f t="shared" si="10"/>
        <v>0.10526315789473684</v>
      </c>
      <c r="AO116" s="22">
        <f t="shared" si="10"/>
        <v>0.10526315789473684</v>
      </c>
      <c r="AP116" s="22">
        <f t="shared" si="10"/>
        <v>0.18421052631578946</v>
      </c>
      <c r="AQ116" s="22">
        <f t="shared" si="10"/>
        <v>0.21052631578947367</v>
      </c>
      <c r="AR116" s="22">
        <f t="shared" si="10"/>
        <v>0.10526315789473684</v>
      </c>
      <c r="AS116" s="22">
        <f t="shared" si="10"/>
        <v>2.6315789473684209E-2</v>
      </c>
      <c r="AT116" s="22">
        <f t="shared" si="10"/>
        <v>2.6315789473684209E-2</v>
      </c>
      <c r="AU116" s="22">
        <f t="shared" si="10"/>
        <v>5.2631578947368418E-2</v>
      </c>
    </row>
    <row r="117" spans="2:47" x14ac:dyDescent="0.35">
      <c r="L117" s="4" t="s">
        <v>170</v>
      </c>
      <c r="M117">
        <v>1</v>
      </c>
      <c r="N117">
        <v>6</v>
      </c>
      <c r="O117">
        <v>4</v>
      </c>
      <c r="P117">
        <v>4</v>
      </c>
      <c r="Q117">
        <v>7</v>
      </c>
      <c r="R117">
        <v>8</v>
      </c>
      <c r="S117">
        <v>4</v>
      </c>
      <c r="T117">
        <v>1</v>
      </c>
      <c r="U117">
        <v>1</v>
      </c>
      <c r="V117">
        <v>2</v>
      </c>
      <c r="W117">
        <v>38</v>
      </c>
      <c r="Y117" s="4" t="s">
        <v>21</v>
      </c>
      <c r="Z117" s="22">
        <f t="shared" si="6"/>
        <v>0</v>
      </c>
      <c r="AA117" s="22">
        <f t="shared" si="6"/>
        <v>0.14694536126166458</v>
      </c>
      <c r="AB117" s="22">
        <f t="shared" si="6"/>
        <v>0.1593580918070692</v>
      </c>
      <c r="AC117" s="22">
        <f t="shared" si="6"/>
        <v>4.9883030953641522E-2</v>
      </c>
      <c r="AD117" s="22">
        <f t="shared" si="6"/>
        <v>0.27277299178643777</v>
      </c>
      <c r="AE117" s="22">
        <f t="shared" si="6"/>
        <v>2.6802092549852385E-2</v>
      </c>
      <c r="AF117" s="22">
        <f t="shared" si="6"/>
        <v>0.27651425968641763</v>
      </c>
      <c r="AG117" s="22">
        <f t="shared" ref="AG117:AI117" si="41">AG80/SUM($Z80:$AI80)</f>
        <v>4.3223184977179772E-2</v>
      </c>
      <c r="AH117" s="22">
        <f t="shared" si="41"/>
        <v>2.4500986977737164E-2</v>
      </c>
      <c r="AI117" s="22">
        <f t="shared" si="41"/>
        <v>0</v>
      </c>
      <c r="AK117" s="4" t="s">
        <v>21</v>
      </c>
      <c r="AL117" s="22">
        <f t="shared" si="10"/>
        <v>0</v>
      </c>
      <c r="AM117" s="22">
        <f t="shared" si="10"/>
        <v>0.17391304347826086</v>
      </c>
      <c r="AN117" s="22">
        <f t="shared" si="10"/>
        <v>0.13043478260869565</v>
      </c>
      <c r="AO117" s="22">
        <f t="shared" si="10"/>
        <v>4.3478260869565216E-2</v>
      </c>
      <c r="AP117" s="22">
        <f t="shared" si="10"/>
        <v>0.21739130434782608</v>
      </c>
      <c r="AQ117" s="22">
        <f t="shared" si="10"/>
        <v>8.6956521739130432E-2</v>
      </c>
      <c r="AR117" s="22">
        <f t="shared" si="10"/>
        <v>0.2608695652173913</v>
      </c>
      <c r="AS117" s="22">
        <f t="shared" si="10"/>
        <v>4.3478260869565216E-2</v>
      </c>
      <c r="AT117" s="22">
        <f t="shared" si="10"/>
        <v>4.3478260869565216E-2</v>
      </c>
      <c r="AU117" s="22">
        <f t="shared" si="10"/>
        <v>0</v>
      </c>
    </row>
    <row r="118" spans="2:47" x14ac:dyDescent="0.35">
      <c r="L118" s="4" t="s">
        <v>21</v>
      </c>
      <c r="N118">
        <v>4</v>
      </c>
      <c r="O118">
        <v>3</v>
      </c>
      <c r="P118">
        <v>1</v>
      </c>
      <c r="Q118">
        <v>5</v>
      </c>
      <c r="R118">
        <v>2</v>
      </c>
      <c r="S118">
        <v>6</v>
      </c>
      <c r="T118">
        <v>1</v>
      </c>
      <c r="U118">
        <v>1</v>
      </c>
      <c r="W118">
        <v>23</v>
      </c>
      <c r="Y118" s="4" t="s">
        <v>49</v>
      </c>
      <c r="Z118" s="22">
        <f t="shared" si="6"/>
        <v>0.10285321676527941</v>
      </c>
      <c r="AA118" s="22">
        <f t="shared" si="6"/>
        <v>3.1165490635156379E-2</v>
      </c>
      <c r="AB118" s="22">
        <f t="shared" si="6"/>
        <v>6.9757057790543295E-2</v>
      </c>
      <c r="AC118" s="22">
        <f t="shared" si="6"/>
        <v>0.20354622354671997</v>
      </c>
      <c r="AD118" s="22">
        <f t="shared" si="6"/>
        <v>0.22562757438175923</v>
      </c>
      <c r="AE118" s="22">
        <f t="shared" si="6"/>
        <v>3.957229503476626E-2</v>
      </c>
      <c r="AF118" s="22">
        <f t="shared" si="6"/>
        <v>4.7805481773056227E-2</v>
      </c>
      <c r="AG118" s="22">
        <f t="shared" ref="AG118:AI118" si="42">AG81/SUM($Z81:$AI81)</f>
        <v>9.9527785779773378E-2</v>
      </c>
      <c r="AH118" s="22">
        <f t="shared" si="42"/>
        <v>0.12423382499266668</v>
      </c>
      <c r="AI118" s="22">
        <f t="shared" si="42"/>
        <v>5.5911049300279195E-2</v>
      </c>
      <c r="AK118" s="4" t="s">
        <v>49</v>
      </c>
      <c r="AL118" s="22">
        <f t="shared" si="10"/>
        <v>7.8947368421052627E-2</v>
      </c>
      <c r="AM118" s="22">
        <f t="shared" si="10"/>
        <v>5.2631578947368418E-2</v>
      </c>
      <c r="AN118" s="22">
        <f t="shared" si="10"/>
        <v>0.10526315789473684</v>
      </c>
      <c r="AO118" s="22">
        <f t="shared" si="10"/>
        <v>0.23684210526315788</v>
      </c>
      <c r="AP118" s="22">
        <f t="shared" si="10"/>
        <v>0.21052631578947367</v>
      </c>
      <c r="AQ118" s="22">
        <f t="shared" si="10"/>
        <v>5.2631578947368418E-2</v>
      </c>
      <c r="AR118" s="22">
        <f t="shared" si="10"/>
        <v>7.8947368421052627E-2</v>
      </c>
      <c r="AS118" s="22">
        <f t="shared" si="10"/>
        <v>5.2631578947368418E-2</v>
      </c>
      <c r="AT118" s="22">
        <f t="shared" si="10"/>
        <v>7.8947368421052627E-2</v>
      </c>
      <c r="AU118" s="22">
        <f t="shared" si="10"/>
        <v>5.2631578947368418E-2</v>
      </c>
    </row>
    <row r="119" spans="2:47" x14ac:dyDescent="0.35">
      <c r="L119" s="4" t="s">
        <v>49</v>
      </c>
      <c r="M119">
        <v>3</v>
      </c>
      <c r="N119">
        <v>2</v>
      </c>
      <c r="O119">
        <v>4</v>
      </c>
      <c r="P119">
        <v>9</v>
      </c>
      <c r="Q119">
        <v>8</v>
      </c>
      <c r="R119">
        <v>2</v>
      </c>
      <c r="S119">
        <v>3</v>
      </c>
      <c r="T119">
        <v>2</v>
      </c>
      <c r="U119">
        <v>3</v>
      </c>
      <c r="V119">
        <v>2</v>
      </c>
      <c r="W119">
        <v>38</v>
      </c>
    </row>
    <row r="120" spans="2:47" x14ac:dyDescent="0.35">
      <c r="Y120" s="9" t="s">
        <v>1170</v>
      </c>
      <c r="Z120" s="20" t="s">
        <v>46</v>
      </c>
      <c r="AA120" s="20" t="s">
        <v>51</v>
      </c>
      <c r="AB120" s="20" t="s">
        <v>30</v>
      </c>
      <c r="AC120" s="20" t="s">
        <v>11</v>
      </c>
      <c r="AD120" s="20" t="s">
        <v>24</v>
      </c>
      <c r="AE120" s="20" t="s">
        <v>80</v>
      </c>
      <c r="AF120" s="20" t="s">
        <v>18</v>
      </c>
      <c r="AG120" s="20" t="s">
        <v>139</v>
      </c>
      <c r="AH120" s="20" t="s">
        <v>62</v>
      </c>
      <c r="AI120" s="20" t="s">
        <v>60</v>
      </c>
    </row>
    <row r="121" spans="2:47" x14ac:dyDescent="0.35">
      <c r="Y121" s="4" t="s">
        <v>82</v>
      </c>
      <c r="Z121">
        <f>Z84-AL84</f>
        <v>-4.7561736127483475E-3</v>
      </c>
      <c r="AA121">
        <f>AA84-AM84</f>
        <v>-3.9069557096281161E-2</v>
      </c>
      <c r="AB121">
        <f t="shared" ref="AB121:AI136" si="43">AB84-AN84</f>
        <v>5.6476211187063169E-2</v>
      </c>
      <c r="AC121">
        <f t="shared" si="43"/>
        <v>-1.882272590647921E-2</v>
      </c>
      <c r="AD121">
        <f t="shared" si="43"/>
        <v>-3.6566110230682985E-2</v>
      </c>
      <c r="AE121">
        <f t="shared" si="43"/>
        <v>1.2753989525527809E-2</v>
      </c>
      <c r="AF121">
        <f t="shared" si="43"/>
        <v>-4.8381566185822358E-2</v>
      </c>
      <c r="AG121">
        <f t="shared" si="43"/>
        <v>-2.0044290317985831E-2</v>
      </c>
      <c r="AH121">
        <f t="shared" si="43"/>
        <v>1.9417813240256862E-2</v>
      </c>
      <c r="AI121">
        <f t="shared" si="43"/>
        <v>7.8992409397152102E-2</v>
      </c>
    </row>
    <row r="122" spans="2:47" x14ac:dyDescent="0.35">
      <c r="Y122" s="4" t="s">
        <v>72</v>
      </c>
      <c r="Z122">
        <f t="shared" ref="Z122:Z155" si="44">Z85-AL85</f>
        <v>0</v>
      </c>
      <c r="AA122">
        <f t="shared" ref="AA122:AI155" si="45">AA85-AM85</f>
        <v>3.4559060785167295E-3</v>
      </c>
      <c r="AB122">
        <f t="shared" si="43"/>
        <v>-5.1482210835248135E-3</v>
      </c>
      <c r="AC122">
        <f t="shared" si="43"/>
        <v>8.5035745553776187E-3</v>
      </c>
      <c r="AD122">
        <f t="shared" si="43"/>
        <v>3.1402231511771628E-2</v>
      </c>
      <c r="AE122">
        <f t="shared" si="43"/>
        <v>-3.1317929739476669E-2</v>
      </c>
      <c r="AF122">
        <f t="shared" si="43"/>
        <v>1.1303768571221368E-2</v>
      </c>
      <c r="AG122">
        <f t="shared" si="43"/>
        <v>-1.762506318934378E-2</v>
      </c>
      <c r="AH122">
        <f t="shared" si="43"/>
        <v>1.3214691438898384E-2</v>
      </c>
      <c r="AI122">
        <f t="shared" si="43"/>
        <v>-1.3788958143440583E-2</v>
      </c>
    </row>
    <row r="123" spans="2:47" x14ac:dyDescent="0.35">
      <c r="D123" s="3" t="s">
        <v>1234</v>
      </c>
      <c r="E123" s="3" t="s">
        <v>1223</v>
      </c>
      <c r="Y123" s="4" t="s">
        <v>69</v>
      </c>
      <c r="Z123">
        <f t="shared" si="44"/>
        <v>5.4880619717211268E-2</v>
      </c>
      <c r="AA123">
        <f t="shared" si="45"/>
        <v>-1.4561081331072756E-2</v>
      </c>
      <c r="AB123">
        <f t="shared" si="43"/>
        <v>-7.5468264111430067E-2</v>
      </c>
      <c r="AC123">
        <f t="shared" si="43"/>
        <v>-2.3252715889739289E-2</v>
      </c>
      <c r="AD123">
        <f t="shared" si="43"/>
        <v>-1.9381528286543936E-2</v>
      </c>
      <c r="AE123">
        <f t="shared" si="43"/>
        <v>6.9129356438629996E-3</v>
      </c>
      <c r="AF123">
        <f t="shared" si="43"/>
        <v>4.7931559000504317E-2</v>
      </c>
      <c r="AG123">
        <f t="shared" si="43"/>
        <v>7.1763057007838416E-5</v>
      </c>
      <c r="AH123">
        <f t="shared" si="43"/>
        <v>0</v>
      </c>
      <c r="AI123">
        <f t="shared" si="43"/>
        <v>2.2866712200199479E-2</v>
      </c>
    </row>
    <row r="124" spans="2:47" x14ac:dyDescent="0.35">
      <c r="D124" s="3" t="s">
        <v>1225</v>
      </c>
      <c r="E124" t="s">
        <v>1171</v>
      </c>
      <c r="F124" t="s">
        <v>1172</v>
      </c>
      <c r="G124" t="s">
        <v>1164</v>
      </c>
      <c r="Y124" s="4" t="s">
        <v>32</v>
      </c>
      <c r="Z124">
        <f t="shared" si="44"/>
        <v>-4.4872901416679115E-3</v>
      </c>
      <c r="AA124">
        <f t="shared" si="45"/>
        <v>1.1131304040433859E-2</v>
      </c>
      <c r="AB124">
        <f t="shared" si="43"/>
        <v>9.9812392697497948E-3</v>
      </c>
      <c r="AC124">
        <f t="shared" si="43"/>
        <v>2.0369908298250167E-2</v>
      </c>
      <c r="AD124">
        <f t="shared" si="43"/>
        <v>-2.2662288443940859E-2</v>
      </c>
      <c r="AE124">
        <f t="shared" si="43"/>
        <v>2.0967413140426411E-2</v>
      </c>
      <c r="AF124">
        <f t="shared" si="43"/>
        <v>-1.250291889646607E-2</v>
      </c>
      <c r="AG124">
        <f t="shared" si="43"/>
        <v>-1.701183724345616E-2</v>
      </c>
      <c r="AH124">
        <f t="shared" si="43"/>
        <v>1.6704720255310238E-2</v>
      </c>
      <c r="AI124">
        <f t="shared" si="43"/>
        <v>-2.2490250278639518E-2</v>
      </c>
    </row>
    <row r="125" spans="2:47" x14ac:dyDescent="0.35">
      <c r="D125" s="4" t="s">
        <v>82</v>
      </c>
      <c r="E125" s="14">
        <v>18789.34230769231</v>
      </c>
      <c r="F125" s="14">
        <v>18115.883571428567</v>
      </c>
      <c r="G125" s="14">
        <v>18553.631749999997</v>
      </c>
      <c r="Y125" s="4" t="s">
        <v>144</v>
      </c>
      <c r="Z125">
        <f t="shared" si="44"/>
        <v>-1.6259113572254513E-3</v>
      </c>
      <c r="AA125">
        <f t="shared" si="45"/>
        <v>-1.7344554837527421E-2</v>
      </c>
      <c r="AB125">
        <f t="shared" si="43"/>
        <v>-2.2896685231951208E-3</v>
      </c>
      <c r="AC125">
        <f t="shared" si="43"/>
        <v>6.8263825582638438E-3</v>
      </c>
      <c r="AD125">
        <f t="shared" si="43"/>
        <v>2.9409688515405999E-2</v>
      </c>
      <c r="AE125">
        <f t="shared" si="43"/>
        <v>-6.6727474641950779E-3</v>
      </c>
      <c r="AF125">
        <f t="shared" si="43"/>
        <v>-6.5132222643824095E-2</v>
      </c>
      <c r="AG125">
        <f t="shared" si="43"/>
        <v>0</v>
      </c>
      <c r="AH125">
        <f t="shared" si="43"/>
        <v>-7.7063090342896698E-3</v>
      </c>
      <c r="AI125">
        <f t="shared" si="43"/>
        <v>6.4535342786587055E-2</v>
      </c>
    </row>
    <row r="126" spans="2:47" x14ac:dyDescent="0.35">
      <c r="D126" s="4" t="s">
        <v>72</v>
      </c>
      <c r="E126" s="14">
        <v>20950.415000000008</v>
      </c>
      <c r="F126" s="14">
        <v>17832.994166666664</v>
      </c>
      <c r="G126" s="14">
        <v>19614.377500000002</v>
      </c>
      <c r="Y126" s="4" t="s">
        <v>410</v>
      </c>
      <c r="Z126">
        <f t="shared" si="44"/>
        <v>0</v>
      </c>
      <c r="AA126">
        <f t="shared" si="45"/>
        <v>0</v>
      </c>
      <c r="AB126">
        <f t="shared" si="43"/>
        <v>0</v>
      </c>
      <c r="AC126">
        <f t="shared" si="43"/>
        <v>0</v>
      </c>
      <c r="AD126">
        <f t="shared" si="43"/>
        <v>0</v>
      </c>
      <c r="AE126">
        <f t="shared" si="43"/>
        <v>-0.21020550204124588</v>
      </c>
      <c r="AF126">
        <f t="shared" si="43"/>
        <v>0.21020550204124588</v>
      </c>
      <c r="AG126">
        <f t="shared" si="43"/>
        <v>0</v>
      </c>
      <c r="AH126">
        <f t="shared" si="43"/>
        <v>0</v>
      </c>
      <c r="AI126">
        <f t="shared" si="43"/>
        <v>0</v>
      </c>
    </row>
    <row r="127" spans="2:47" x14ac:dyDescent="0.35">
      <c r="D127" s="4" t="s">
        <v>69</v>
      </c>
      <c r="E127" s="14">
        <v>17196.586111111108</v>
      </c>
      <c r="F127" s="14">
        <v>17305.458888888883</v>
      </c>
      <c r="G127" s="14">
        <v>17251.022499999999</v>
      </c>
      <c r="Y127" s="4" t="s">
        <v>162</v>
      </c>
      <c r="Z127">
        <f t="shared" si="44"/>
        <v>-1.0899774772951086E-2</v>
      </c>
      <c r="AA127">
        <f t="shared" si="45"/>
        <v>7.4189537205808731E-2</v>
      </c>
      <c r="AB127">
        <f t="shared" si="43"/>
        <v>-2.8190458779127625E-3</v>
      </c>
      <c r="AC127">
        <f t="shared" si="43"/>
        <v>-3.0672770715361397E-2</v>
      </c>
      <c r="AD127">
        <f t="shared" si="43"/>
        <v>0</v>
      </c>
      <c r="AE127">
        <f t="shared" si="43"/>
        <v>-1.0997752168033545E-2</v>
      </c>
      <c r="AF127">
        <f t="shared" si="43"/>
        <v>-1.7297881610957522E-2</v>
      </c>
      <c r="AG127">
        <f t="shared" si="43"/>
        <v>0</v>
      </c>
      <c r="AH127">
        <f t="shared" si="43"/>
        <v>0</v>
      </c>
      <c r="AI127">
        <f t="shared" si="43"/>
        <v>-1.5023120605925089E-3</v>
      </c>
    </row>
    <row r="128" spans="2:47" x14ac:dyDescent="0.35">
      <c r="D128" s="4" t="s">
        <v>32</v>
      </c>
      <c r="E128" s="14">
        <v>16196.446086956519</v>
      </c>
      <c r="F128" s="14">
        <v>19865.230689655171</v>
      </c>
      <c r="G128" s="14">
        <v>18242.499038461534</v>
      </c>
      <c r="Y128" s="4" t="s">
        <v>37</v>
      </c>
      <c r="Z128">
        <f t="shared" si="44"/>
        <v>0</v>
      </c>
      <c r="AA128">
        <f t="shared" si="45"/>
        <v>6.7794704974737052E-2</v>
      </c>
      <c r="AB128">
        <f t="shared" si="43"/>
        <v>-4.4499090285166576E-2</v>
      </c>
      <c r="AC128">
        <f t="shared" si="43"/>
        <v>0</v>
      </c>
      <c r="AD128">
        <f t="shared" si="43"/>
        <v>0</v>
      </c>
      <c r="AE128">
        <f t="shared" si="43"/>
        <v>-8.6735612522679806E-2</v>
      </c>
      <c r="AF128">
        <f t="shared" si="43"/>
        <v>9.1907562400281195E-2</v>
      </c>
      <c r="AG128">
        <f t="shared" si="43"/>
        <v>0</v>
      </c>
      <c r="AH128">
        <f t="shared" si="43"/>
        <v>-2.8467564567171741E-2</v>
      </c>
      <c r="AI128">
        <f t="shared" si="43"/>
        <v>0</v>
      </c>
    </row>
    <row r="129" spans="4:35" x14ac:dyDescent="0.35">
      <c r="D129" s="4" t="s">
        <v>144</v>
      </c>
      <c r="E129" s="14">
        <v>19745.596666666665</v>
      </c>
      <c r="F129" s="14">
        <v>17872.616800000003</v>
      </c>
      <c r="G129" s="14">
        <v>18656.65488372093</v>
      </c>
      <c r="Y129" s="4" t="s">
        <v>219</v>
      </c>
      <c r="Z129">
        <f t="shared" si="44"/>
        <v>1.8961303434915006E-2</v>
      </c>
      <c r="AA129">
        <f t="shared" si="45"/>
        <v>4.2489703252191202E-3</v>
      </c>
      <c r="AB129">
        <f t="shared" si="43"/>
        <v>-1.3916768234143798E-2</v>
      </c>
      <c r="AC129">
        <f t="shared" si="43"/>
        <v>-5.996824422707131E-3</v>
      </c>
      <c r="AD129">
        <f t="shared" si="43"/>
        <v>-8.9415806911733453E-3</v>
      </c>
      <c r="AE129">
        <f t="shared" si="43"/>
        <v>-4.7067336077170147E-2</v>
      </c>
      <c r="AF129">
        <f t="shared" si="43"/>
        <v>1.4587069314239448E-2</v>
      </c>
      <c r="AG129">
        <f t="shared" si="43"/>
        <v>3.9124024875948953E-2</v>
      </c>
      <c r="AH129">
        <f t="shared" si="43"/>
        <v>2.8848271009541612E-3</v>
      </c>
      <c r="AI129">
        <f t="shared" si="43"/>
        <v>-3.8836856260823505E-3</v>
      </c>
    </row>
    <row r="130" spans="4:35" x14ac:dyDescent="0.35">
      <c r="D130" s="4" t="s">
        <v>410</v>
      </c>
      <c r="E130" s="14"/>
      <c r="F130" s="14">
        <v>17859.190000000002</v>
      </c>
      <c r="G130" s="14">
        <v>17859.190000000002</v>
      </c>
      <c r="Y130" s="4" t="s">
        <v>176</v>
      </c>
      <c r="Z130">
        <f t="shared" si="44"/>
        <v>0</v>
      </c>
      <c r="AA130">
        <f t="shared" si="45"/>
        <v>-8.9632599297728155E-3</v>
      </c>
      <c r="AB130">
        <f t="shared" si="43"/>
        <v>-2.2045662745858147E-2</v>
      </c>
      <c r="AC130">
        <f t="shared" si="43"/>
        <v>0.13679134916780894</v>
      </c>
      <c r="AD130">
        <f t="shared" si="43"/>
        <v>-5.4276422812887901E-2</v>
      </c>
      <c r="AE130">
        <f t="shared" si="43"/>
        <v>5.1216467050464232E-2</v>
      </c>
      <c r="AF130">
        <f t="shared" si="43"/>
        <v>-4.6507371644098017E-2</v>
      </c>
      <c r="AG130">
        <f t="shared" si="43"/>
        <v>-2.922348976857856E-2</v>
      </c>
      <c r="AH130">
        <f t="shared" si="43"/>
        <v>-4.4496057073080145E-2</v>
      </c>
      <c r="AI130">
        <f t="shared" si="43"/>
        <v>1.7504447756002489E-2</v>
      </c>
    </row>
    <row r="131" spans="4:35" x14ac:dyDescent="0.35">
      <c r="D131" s="4" t="s">
        <v>162</v>
      </c>
      <c r="E131" s="14">
        <v>26964.970000000008</v>
      </c>
      <c r="F131" s="14">
        <v>18086.18375</v>
      </c>
      <c r="G131" s="14">
        <v>22229.617333333339</v>
      </c>
      <c r="Y131" s="4" t="s">
        <v>118</v>
      </c>
      <c r="Z131">
        <f t="shared" si="44"/>
        <v>0</v>
      </c>
      <c r="AA131">
        <f t="shared" si="45"/>
        <v>2.7392888160890361E-3</v>
      </c>
      <c r="AB131">
        <f t="shared" si="43"/>
        <v>-3.2319020822290628E-2</v>
      </c>
      <c r="AC131">
        <f t="shared" si="43"/>
        <v>-2.2738877871510549E-3</v>
      </c>
      <c r="AD131">
        <f t="shared" si="43"/>
        <v>-2.9911026953916009E-3</v>
      </c>
      <c r="AE131">
        <f t="shared" si="43"/>
        <v>-1.1353431311846462E-2</v>
      </c>
      <c r="AF131">
        <f t="shared" si="43"/>
        <v>0.1030942141622231</v>
      </c>
      <c r="AG131">
        <f t="shared" si="43"/>
        <v>-2.5392442305845246E-2</v>
      </c>
      <c r="AH131">
        <f t="shared" si="43"/>
        <v>1.0160154718188499E-2</v>
      </c>
      <c r="AI131">
        <f t="shared" si="43"/>
        <v>-4.1663772773975705E-2</v>
      </c>
    </row>
    <row r="132" spans="4:35" x14ac:dyDescent="0.35">
      <c r="D132" s="4" t="s">
        <v>37</v>
      </c>
      <c r="E132" s="14">
        <v>20547.078333333335</v>
      </c>
      <c r="F132" s="14">
        <v>16622.953333333327</v>
      </c>
      <c r="G132" s="14">
        <v>19239.036666666667</v>
      </c>
      <c r="Y132" s="4" t="s">
        <v>348</v>
      </c>
      <c r="Z132">
        <f t="shared" si="44"/>
        <v>0</v>
      </c>
      <c r="AA132">
        <f t="shared" si="45"/>
        <v>-0.11707236988757674</v>
      </c>
      <c r="AB132">
        <f t="shared" si="43"/>
        <v>0</v>
      </c>
      <c r="AC132">
        <f t="shared" si="43"/>
        <v>-0.11610049097191796</v>
      </c>
      <c r="AD132">
        <f t="shared" si="43"/>
        <v>-8.7327858558998411E-2</v>
      </c>
      <c r="AE132">
        <f t="shared" si="43"/>
        <v>-9.7088199407286135E-3</v>
      </c>
      <c r="AF132">
        <f t="shared" si="43"/>
        <v>0</v>
      </c>
      <c r="AG132">
        <f t="shared" si="43"/>
        <v>0</v>
      </c>
      <c r="AH132">
        <f t="shared" si="43"/>
        <v>0</v>
      </c>
      <c r="AI132">
        <f t="shared" si="43"/>
        <v>0.33020953935922182</v>
      </c>
    </row>
    <row r="133" spans="4:35" x14ac:dyDescent="0.35">
      <c r="D133" s="4" t="s">
        <v>219</v>
      </c>
      <c r="E133" s="14">
        <v>16893.026923076926</v>
      </c>
      <c r="F133" s="14">
        <v>20846.020357142861</v>
      </c>
      <c r="G133" s="14">
        <v>19592.632195121951</v>
      </c>
      <c r="Y133" s="4" t="s">
        <v>217</v>
      </c>
      <c r="Z133">
        <f t="shared" si="44"/>
        <v>-4.4934327284831349E-2</v>
      </c>
      <c r="AA133">
        <f t="shared" si="45"/>
        <v>7.201700269991948E-2</v>
      </c>
      <c r="AB133">
        <f t="shared" si="43"/>
        <v>3.4156032937278626E-2</v>
      </c>
      <c r="AC133">
        <f t="shared" si="43"/>
        <v>-1.7365031123489891E-2</v>
      </c>
      <c r="AD133">
        <f t="shared" si="43"/>
        <v>-1.7446460075240644E-2</v>
      </c>
      <c r="AE133">
        <f t="shared" si="43"/>
        <v>-4.2276584377122978E-2</v>
      </c>
      <c r="AF133">
        <f t="shared" si="43"/>
        <v>4.5588446907325511E-2</v>
      </c>
      <c r="AG133">
        <f t="shared" si="43"/>
        <v>0</v>
      </c>
      <c r="AH133">
        <f t="shared" si="43"/>
        <v>-2.1203507244799889E-2</v>
      </c>
      <c r="AI133">
        <f t="shared" si="43"/>
        <v>-8.5355724390388243E-3</v>
      </c>
    </row>
    <row r="134" spans="4:35" x14ac:dyDescent="0.35">
      <c r="D134" s="4" t="s">
        <v>176</v>
      </c>
      <c r="E134" s="14">
        <v>29312.877499999995</v>
      </c>
      <c r="F134" s="14">
        <v>15845.048666666667</v>
      </c>
      <c r="G134" s="14">
        <v>20529.510869565212</v>
      </c>
      <c r="Y134" s="4" t="s">
        <v>701</v>
      </c>
      <c r="Z134">
        <f t="shared" si="44"/>
        <v>0</v>
      </c>
      <c r="AA134">
        <f t="shared" si="45"/>
        <v>-1.9644652831756926E-2</v>
      </c>
      <c r="AB134">
        <f t="shared" si="43"/>
        <v>0</v>
      </c>
      <c r="AC134">
        <f t="shared" si="43"/>
        <v>6.734944950006061E-2</v>
      </c>
      <c r="AD134">
        <f t="shared" si="43"/>
        <v>0</v>
      </c>
      <c r="AE134">
        <f t="shared" si="43"/>
        <v>0</v>
      </c>
      <c r="AF134">
        <f t="shared" si="43"/>
        <v>-4.7704796668303767E-2</v>
      </c>
      <c r="AG134">
        <f t="shared" si="43"/>
        <v>0</v>
      </c>
      <c r="AH134">
        <f t="shared" si="43"/>
        <v>0</v>
      </c>
      <c r="AI134">
        <f t="shared" si="43"/>
        <v>0</v>
      </c>
    </row>
    <row r="135" spans="4:35" x14ac:dyDescent="0.35">
      <c r="D135" s="4" t="s">
        <v>118</v>
      </c>
      <c r="E135" s="14">
        <v>16205.022307692308</v>
      </c>
      <c r="F135" s="14">
        <v>16623.911875000005</v>
      </c>
      <c r="G135" s="14">
        <v>16436.133793103447</v>
      </c>
      <c r="Y135" s="4" t="s">
        <v>99</v>
      </c>
      <c r="Z135">
        <f t="shared" si="44"/>
        <v>-0.10580634284862286</v>
      </c>
      <c r="AA135">
        <f t="shared" si="45"/>
        <v>-1.1610101862394362E-2</v>
      </c>
      <c r="AB135">
        <f t="shared" si="43"/>
        <v>0</v>
      </c>
      <c r="AC135">
        <f t="shared" si="43"/>
        <v>0</v>
      </c>
      <c r="AD135">
        <f t="shared" si="43"/>
        <v>-1.2416703094502241E-2</v>
      </c>
      <c r="AE135">
        <f t="shared" si="43"/>
        <v>0</v>
      </c>
      <c r="AF135">
        <f t="shared" si="43"/>
        <v>8.633428808148999E-2</v>
      </c>
      <c r="AG135">
        <f t="shared" si="43"/>
        <v>0</v>
      </c>
      <c r="AH135">
        <f t="shared" si="43"/>
        <v>0</v>
      </c>
      <c r="AI135">
        <f t="shared" si="43"/>
        <v>4.3498859724029448E-2</v>
      </c>
    </row>
    <row r="136" spans="4:35" x14ac:dyDescent="0.35">
      <c r="D136" s="4" t="s">
        <v>348</v>
      </c>
      <c r="E136" s="14">
        <v>16635.563333333328</v>
      </c>
      <c r="F136" s="14">
        <v>11227.99</v>
      </c>
      <c r="G136" s="14">
        <v>13931.776666666667</v>
      </c>
      <c r="Y136" s="4" t="s">
        <v>76</v>
      </c>
      <c r="Z136">
        <f t="shared" si="44"/>
        <v>0</v>
      </c>
      <c r="AA136">
        <f t="shared" si="45"/>
        <v>7.3393147714318485E-3</v>
      </c>
      <c r="AB136">
        <f t="shared" si="43"/>
        <v>-1.9606715028798377E-2</v>
      </c>
      <c r="AC136">
        <f t="shared" si="43"/>
        <v>-3.5433665686881513E-2</v>
      </c>
      <c r="AD136">
        <f t="shared" si="43"/>
        <v>1.3550763484360351E-2</v>
      </c>
      <c r="AE136">
        <f t="shared" si="43"/>
        <v>3.6489412722858494E-3</v>
      </c>
      <c r="AF136">
        <f t="shared" si="43"/>
        <v>4.6759922805698184E-2</v>
      </c>
      <c r="AG136">
        <f t="shared" si="43"/>
        <v>9.2624016865678442E-3</v>
      </c>
      <c r="AH136">
        <f t="shared" si="43"/>
        <v>-3.8498623090046993E-3</v>
      </c>
      <c r="AI136">
        <f t="shared" si="43"/>
        <v>-2.1671100995659359E-2</v>
      </c>
    </row>
    <row r="137" spans="4:35" x14ac:dyDescent="0.35">
      <c r="D137" s="4" t="s">
        <v>217</v>
      </c>
      <c r="E137" s="14">
        <v>21126.702727272725</v>
      </c>
      <c r="F137" s="14">
        <v>17966.509230769232</v>
      </c>
      <c r="G137" s="14">
        <v>19414.931250000001</v>
      </c>
      <c r="Y137" s="4" t="s">
        <v>128</v>
      </c>
      <c r="Z137">
        <f t="shared" si="44"/>
        <v>-5.1768846144538139E-3</v>
      </c>
      <c r="AA137">
        <f t="shared" si="45"/>
        <v>4.1136681529838376E-2</v>
      </c>
      <c r="AB137">
        <f t="shared" si="45"/>
        <v>-3.4347789716860616E-2</v>
      </c>
      <c r="AC137">
        <f t="shared" si="45"/>
        <v>4.1647762269310509E-2</v>
      </c>
      <c r="AD137">
        <f t="shared" si="45"/>
        <v>-8.3007206969082925E-3</v>
      </c>
      <c r="AE137">
        <f t="shared" si="45"/>
        <v>-3.9818796876086929E-2</v>
      </c>
      <c r="AF137">
        <f t="shared" si="45"/>
        <v>2.1964926692740208E-2</v>
      </c>
      <c r="AG137">
        <f t="shared" si="45"/>
        <v>-6.5376397588253095E-3</v>
      </c>
      <c r="AH137">
        <f t="shared" si="45"/>
        <v>1.0157693696131245E-2</v>
      </c>
      <c r="AI137">
        <f t="shared" si="45"/>
        <v>-2.0725232524885423E-2</v>
      </c>
    </row>
    <row r="138" spans="4:35" x14ac:dyDescent="0.35">
      <c r="D138" s="4" t="s">
        <v>701</v>
      </c>
      <c r="E138" s="14">
        <v>7578.52</v>
      </c>
      <c r="F138" s="14">
        <v>10545.879999999997</v>
      </c>
      <c r="G138" s="14">
        <v>9952.4079999999976</v>
      </c>
      <c r="Y138" s="4" t="s">
        <v>66</v>
      </c>
      <c r="Z138">
        <f t="shared" si="44"/>
        <v>-9.0380406078952001E-3</v>
      </c>
      <c r="AA138">
        <f t="shared" si="45"/>
        <v>4.2271996582498417E-2</v>
      </c>
      <c r="AB138">
        <f t="shared" si="45"/>
        <v>4.9687536919598013E-4</v>
      </c>
      <c r="AC138">
        <f t="shared" si="45"/>
        <v>-3.9852351444534806E-3</v>
      </c>
      <c r="AD138">
        <f t="shared" si="45"/>
        <v>3.1787364958448888E-2</v>
      </c>
      <c r="AE138">
        <f t="shared" si="45"/>
        <v>1.1544558046584913E-2</v>
      </c>
      <c r="AF138">
        <f t="shared" si="45"/>
        <v>-6.6575967810475145E-2</v>
      </c>
      <c r="AG138">
        <f t="shared" si="45"/>
        <v>0</v>
      </c>
      <c r="AH138">
        <f t="shared" si="45"/>
        <v>-2.7752176106015963E-2</v>
      </c>
      <c r="AI138">
        <f t="shared" si="45"/>
        <v>2.1250624712111393E-2</v>
      </c>
    </row>
    <row r="139" spans="4:35" x14ac:dyDescent="0.35">
      <c r="D139" s="4" t="s">
        <v>99</v>
      </c>
      <c r="E139" s="14">
        <v>19229.020000000004</v>
      </c>
      <c r="F139" s="14">
        <v>13993.809999999996</v>
      </c>
      <c r="G139" s="14">
        <v>15738.879999999997</v>
      </c>
      <c r="Y139" s="4" t="s">
        <v>90</v>
      </c>
      <c r="Z139">
        <f t="shared" si="44"/>
        <v>6.3321638357191692E-3</v>
      </c>
      <c r="AA139">
        <f t="shared" si="45"/>
        <v>4.592715689449739E-2</v>
      </c>
      <c r="AB139">
        <f t="shared" si="45"/>
        <v>-7.4892884288818573E-4</v>
      </c>
      <c r="AC139">
        <f t="shared" si="45"/>
        <v>-1.5034870820906682E-2</v>
      </c>
      <c r="AD139">
        <f t="shared" si="45"/>
        <v>1.7673977269565933E-2</v>
      </c>
      <c r="AE139">
        <f t="shared" si="45"/>
        <v>-1.2788568739365985E-2</v>
      </c>
      <c r="AF139">
        <f t="shared" si="45"/>
        <v>-2.9796612315291238E-2</v>
      </c>
      <c r="AG139">
        <f t="shared" si="45"/>
        <v>-8.9776752488451746E-3</v>
      </c>
      <c r="AH139">
        <f t="shared" si="45"/>
        <v>1.4759285302190887E-3</v>
      </c>
      <c r="AI139">
        <f t="shared" si="45"/>
        <v>-4.0625705627042596E-3</v>
      </c>
    </row>
    <row r="140" spans="4:35" x14ac:dyDescent="0.35">
      <c r="D140" s="4" t="s">
        <v>76</v>
      </c>
      <c r="E140" s="14">
        <v>22721.085652173912</v>
      </c>
      <c r="F140" s="14">
        <v>22163.215333333341</v>
      </c>
      <c r="G140" s="14">
        <v>22405.310000000005</v>
      </c>
      <c r="Y140" s="4" t="s">
        <v>74</v>
      </c>
      <c r="Z140">
        <f t="shared" si="44"/>
        <v>1.4260674315865557E-2</v>
      </c>
      <c r="AA140">
        <f t="shared" si="45"/>
        <v>6.9746004186142185E-2</v>
      </c>
      <c r="AB140">
        <f t="shared" si="45"/>
        <v>8.9566731011180012E-3</v>
      </c>
      <c r="AC140">
        <f t="shared" si="45"/>
        <v>2.7186594750624182E-3</v>
      </c>
      <c r="AD140">
        <f t="shared" si="45"/>
        <v>-7.2415006825374231E-2</v>
      </c>
      <c r="AE140">
        <f t="shared" si="45"/>
        <v>1.8167572560565295E-2</v>
      </c>
      <c r="AF140">
        <f t="shared" si="45"/>
        <v>-4.1015813250213626E-2</v>
      </c>
      <c r="AG140">
        <f t="shared" si="45"/>
        <v>0</v>
      </c>
      <c r="AH140">
        <f t="shared" si="45"/>
        <v>2.8838010908811051E-2</v>
      </c>
      <c r="AI140">
        <f t="shared" si="45"/>
        <v>-2.9256774471976624E-2</v>
      </c>
    </row>
    <row r="141" spans="4:35" x14ac:dyDescent="0.35">
      <c r="D141" s="4" t="s">
        <v>128</v>
      </c>
      <c r="E141" s="14">
        <v>17019.153703703705</v>
      </c>
      <c r="F141" s="14">
        <v>19022.232499999995</v>
      </c>
      <c r="G141" s="14">
        <v>17871.527659574473</v>
      </c>
      <c r="Y141" s="4" t="s">
        <v>108</v>
      </c>
      <c r="Z141">
        <f t="shared" si="44"/>
        <v>3.3490188725884135E-2</v>
      </c>
      <c r="AA141">
        <f t="shared" si="45"/>
        <v>-4.8785960345893463E-2</v>
      </c>
      <c r="AB141">
        <f t="shared" si="45"/>
        <v>-6.672215206849047E-3</v>
      </c>
      <c r="AC141">
        <f t="shared" si="45"/>
        <v>1.862038386851983E-2</v>
      </c>
      <c r="AD141">
        <f t="shared" si="45"/>
        <v>-1.8660532836714913E-2</v>
      </c>
      <c r="AE141">
        <f t="shared" si="45"/>
        <v>-2.2375069709192341E-2</v>
      </c>
      <c r="AF141">
        <f t="shared" si="45"/>
        <v>-1.3985591275297637E-2</v>
      </c>
      <c r="AG141">
        <f t="shared" si="45"/>
        <v>0</v>
      </c>
      <c r="AH141">
        <f t="shared" si="45"/>
        <v>3.859872859415428E-2</v>
      </c>
      <c r="AI141">
        <f t="shared" si="45"/>
        <v>1.9770068185389081E-2</v>
      </c>
    </row>
    <row r="142" spans="4:35" x14ac:dyDescent="0.35">
      <c r="D142" s="4" t="s">
        <v>66</v>
      </c>
      <c r="E142" s="14">
        <v>20026.864761904762</v>
      </c>
      <c r="F142" s="14">
        <v>18811.221874999999</v>
      </c>
      <c r="G142" s="14">
        <v>19501.181351351348</v>
      </c>
      <c r="Y142" s="4" t="s">
        <v>141</v>
      </c>
      <c r="Z142">
        <f t="shared" si="44"/>
        <v>0</v>
      </c>
      <c r="AA142">
        <f t="shared" si="45"/>
        <v>-5.6324714813194982E-2</v>
      </c>
      <c r="AB142">
        <f t="shared" si="45"/>
        <v>0</v>
      </c>
      <c r="AC142">
        <f t="shared" si="45"/>
        <v>-5.4308397031416017E-2</v>
      </c>
      <c r="AD142">
        <f t="shared" si="45"/>
        <v>3.8943929970307462E-3</v>
      </c>
      <c r="AE142">
        <f t="shared" si="45"/>
        <v>0</v>
      </c>
      <c r="AF142">
        <f t="shared" si="45"/>
        <v>2.186222147975958E-2</v>
      </c>
      <c r="AG142">
        <f t="shared" si="45"/>
        <v>4.1366034166131549E-2</v>
      </c>
      <c r="AH142">
        <f t="shared" si="45"/>
        <v>0</v>
      </c>
      <c r="AI142">
        <f t="shared" si="45"/>
        <v>4.3510463201689081E-2</v>
      </c>
    </row>
    <row r="143" spans="4:35" x14ac:dyDescent="0.35">
      <c r="D143" s="4" t="s">
        <v>90</v>
      </c>
      <c r="E143" s="14">
        <v>17647.021785714282</v>
      </c>
      <c r="F143" s="14">
        <v>21886.872916666674</v>
      </c>
      <c r="G143" s="14">
        <v>19603.876153846162</v>
      </c>
      <c r="Y143" s="4" t="s">
        <v>14</v>
      </c>
      <c r="Z143">
        <f t="shared" si="44"/>
        <v>8.4107572542608602E-3</v>
      </c>
      <c r="AA143">
        <f t="shared" si="45"/>
        <v>-3.0165071876557675E-2</v>
      </c>
      <c r="AB143">
        <f t="shared" si="45"/>
        <v>-2.8151701096552725E-2</v>
      </c>
      <c r="AC143">
        <f t="shared" si="45"/>
        <v>-3.4007560590442742E-3</v>
      </c>
      <c r="AD143">
        <f t="shared" si="45"/>
        <v>-7.8686641975016514E-3</v>
      </c>
      <c r="AE143">
        <f t="shared" si="45"/>
        <v>3.8990538009151532E-2</v>
      </c>
      <c r="AF143">
        <f t="shared" si="45"/>
        <v>6.4576682041903588E-3</v>
      </c>
      <c r="AG143">
        <f t="shared" si="45"/>
        <v>5.5316541060956639E-3</v>
      </c>
      <c r="AH143">
        <f t="shared" si="45"/>
        <v>5.465093021248521E-3</v>
      </c>
      <c r="AI143">
        <f t="shared" si="45"/>
        <v>4.7304826347092516E-3</v>
      </c>
    </row>
    <row r="144" spans="4:35" x14ac:dyDescent="0.35">
      <c r="D144" s="4" t="s">
        <v>74</v>
      </c>
      <c r="E144" s="14">
        <v>19625.801874999997</v>
      </c>
      <c r="F144" s="14">
        <v>19538.329999999998</v>
      </c>
      <c r="G144" s="14">
        <v>19592.158846153841</v>
      </c>
      <c r="Y144" s="4" t="s">
        <v>56</v>
      </c>
      <c r="Z144">
        <f t="shared" si="44"/>
        <v>2.1368756456880772E-2</v>
      </c>
      <c r="AA144">
        <f t="shared" si="45"/>
        <v>-9.0077033614719137E-3</v>
      </c>
      <c r="AB144">
        <f t="shared" si="45"/>
        <v>-6.5149807500248236E-3</v>
      </c>
      <c r="AC144">
        <f t="shared" si="45"/>
        <v>6.8155624915926361E-2</v>
      </c>
      <c r="AD144">
        <f t="shared" si="45"/>
        <v>1.3705809313146869E-2</v>
      </c>
      <c r="AE144">
        <f t="shared" si="45"/>
        <v>-1.4239595916278963E-2</v>
      </c>
      <c r="AF144">
        <f t="shared" si="45"/>
        <v>-1.9038632333058338E-2</v>
      </c>
      <c r="AG144">
        <f t="shared" si="45"/>
        <v>-2.5702754175360616E-2</v>
      </c>
      <c r="AH144">
        <f t="shared" si="45"/>
        <v>9.7929803079254418E-3</v>
      </c>
      <c r="AI144">
        <f t="shared" si="45"/>
        <v>-3.8519504457684942E-2</v>
      </c>
    </row>
    <row r="145" spans="4:35" x14ac:dyDescent="0.35">
      <c r="D145" s="4" t="s">
        <v>108</v>
      </c>
      <c r="E145" s="14">
        <v>21378.171538461531</v>
      </c>
      <c r="F145" s="14">
        <v>22738.914444444443</v>
      </c>
      <c r="G145" s="14">
        <v>21934.839090909089</v>
      </c>
      <c r="Y145" s="4" t="s">
        <v>425</v>
      </c>
      <c r="Z145">
        <f t="shared" si="44"/>
        <v>0</v>
      </c>
      <c r="AA145">
        <f t="shared" si="45"/>
        <v>0</v>
      </c>
      <c r="AB145">
        <f t="shared" si="45"/>
        <v>-4.6094761636238379E-2</v>
      </c>
      <c r="AC145">
        <f t="shared" si="45"/>
        <v>0</v>
      </c>
      <c r="AD145">
        <f t="shared" si="45"/>
        <v>0</v>
      </c>
      <c r="AE145">
        <f t="shared" si="45"/>
        <v>-0.16143848066412583</v>
      </c>
      <c r="AF145">
        <f t="shared" si="45"/>
        <v>3.2336338091242395E-2</v>
      </c>
      <c r="AG145">
        <f t="shared" si="45"/>
        <v>0.17519690420912182</v>
      </c>
      <c r="AH145">
        <f t="shared" si="45"/>
        <v>0</v>
      </c>
      <c r="AI145">
        <f t="shared" si="45"/>
        <v>0</v>
      </c>
    </row>
    <row r="146" spans="4:35" x14ac:dyDescent="0.35">
      <c r="D146" s="4" t="s">
        <v>141</v>
      </c>
      <c r="E146" s="14">
        <v>17117.377500000002</v>
      </c>
      <c r="F146" s="14">
        <v>14498.186666666668</v>
      </c>
      <c r="G146" s="14">
        <v>15545.863000000001</v>
      </c>
      <c r="Y146" s="4" t="s">
        <v>353</v>
      </c>
      <c r="Z146">
        <f t="shared" si="44"/>
        <v>-2.4656886112295769E-2</v>
      </c>
      <c r="AA146">
        <f t="shared" si="45"/>
        <v>6.1161824498477235E-2</v>
      </c>
      <c r="AB146">
        <f t="shared" si="45"/>
        <v>8.3961711313778054E-3</v>
      </c>
      <c r="AC146">
        <f t="shared" si="45"/>
        <v>2.4382488483558826E-3</v>
      </c>
      <c r="AD146">
        <f t="shared" si="45"/>
        <v>-3.6291419677117631E-2</v>
      </c>
      <c r="AE146">
        <f t="shared" si="45"/>
        <v>-2.4006983990485217E-2</v>
      </c>
      <c r="AF146">
        <f t="shared" si="45"/>
        <v>-1.7792057595487604E-2</v>
      </c>
      <c r="AG146">
        <f t="shared" si="45"/>
        <v>0</v>
      </c>
      <c r="AH146">
        <f t="shared" si="45"/>
        <v>3.0751102897175406E-2</v>
      </c>
      <c r="AI146">
        <f t="shared" si="45"/>
        <v>0</v>
      </c>
    </row>
    <row r="147" spans="4:35" x14ac:dyDescent="0.35">
      <c r="D147" s="4" t="s">
        <v>14</v>
      </c>
      <c r="E147" s="14">
        <v>16847.693750000002</v>
      </c>
      <c r="F147" s="14">
        <v>17151.17478260869</v>
      </c>
      <c r="G147" s="14">
        <v>17026.669743589748</v>
      </c>
      <c r="Y147" s="4" t="s">
        <v>86</v>
      </c>
      <c r="Z147">
        <f t="shared" si="44"/>
        <v>0</v>
      </c>
      <c r="AA147">
        <f t="shared" si="45"/>
        <v>-2.0621279047892911E-2</v>
      </c>
      <c r="AB147">
        <f t="shared" si="45"/>
        <v>3.0061057592205023E-2</v>
      </c>
      <c r="AC147">
        <f t="shared" si="45"/>
        <v>4.9005654074828181E-2</v>
      </c>
      <c r="AD147">
        <f t="shared" si="45"/>
        <v>2.8357375568123233E-2</v>
      </c>
      <c r="AE147">
        <f t="shared" si="45"/>
        <v>-1.1008967492556476E-2</v>
      </c>
      <c r="AF147">
        <f t="shared" si="45"/>
        <v>-3.2545193317171608E-2</v>
      </c>
      <c r="AG147">
        <f t="shared" si="45"/>
        <v>0</v>
      </c>
      <c r="AH147">
        <f t="shared" si="45"/>
        <v>1.8126388253092957E-2</v>
      </c>
      <c r="AI147">
        <f t="shared" si="45"/>
        <v>-6.1375035630628308E-2</v>
      </c>
    </row>
    <row r="148" spans="4:35" x14ac:dyDescent="0.35">
      <c r="D148" s="4" t="s">
        <v>56</v>
      </c>
      <c r="E148" s="14">
        <v>21948.150869565223</v>
      </c>
      <c r="F148" s="14">
        <v>15928.366923076919</v>
      </c>
      <c r="G148" s="14">
        <v>19774.34</v>
      </c>
      <c r="Y148" s="4" t="s">
        <v>133</v>
      </c>
      <c r="Z148">
        <f t="shared" si="44"/>
        <v>-7.8488233135272523E-3</v>
      </c>
      <c r="AA148">
        <f t="shared" si="45"/>
        <v>-3.0013687880628637E-2</v>
      </c>
      <c r="AB148">
        <f t="shared" si="45"/>
        <v>9.328960714244966E-3</v>
      </c>
      <c r="AC148">
        <f t="shared" si="45"/>
        <v>-6.8492788585772235E-3</v>
      </c>
      <c r="AD148">
        <f t="shared" si="45"/>
        <v>-3.09352653861239E-2</v>
      </c>
      <c r="AE148">
        <f t="shared" si="45"/>
        <v>5.8613143331890855E-2</v>
      </c>
      <c r="AF148">
        <f t="shared" si="45"/>
        <v>-2.6649298626850608E-2</v>
      </c>
      <c r="AG148">
        <f t="shared" si="45"/>
        <v>4.2837476725736227E-3</v>
      </c>
      <c r="AH148">
        <f t="shared" si="45"/>
        <v>0</v>
      </c>
      <c r="AI148">
        <f t="shared" si="45"/>
        <v>3.007050234699804E-2</v>
      </c>
    </row>
    <row r="149" spans="4:35" x14ac:dyDescent="0.35">
      <c r="D149" s="4" t="s">
        <v>425</v>
      </c>
      <c r="E149" s="14">
        <v>10731.230000000003</v>
      </c>
      <c r="F149" s="14">
        <v>16722.250000000004</v>
      </c>
      <c r="G149" s="14">
        <v>15524.046000000002</v>
      </c>
      <c r="Y149" s="4" t="s">
        <v>212</v>
      </c>
      <c r="Z149">
        <f t="shared" si="44"/>
        <v>7.7587871686208773E-2</v>
      </c>
      <c r="AA149">
        <f t="shared" si="45"/>
        <v>-7.5626228463080147E-3</v>
      </c>
      <c r="AB149">
        <f t="shared" si="45"/>
        <v>8.2563628073376805E-2</v>
      </c>
      <c r="AC149">
        <f t="shared" si="45"/>
        <v>-1.5167818039004161E-2</v>
      </c>
      <c r="AD149">
        <f t="shared" si="45"/>
        <v>4.8219986467795684E-3</v>
      </c>
      <c r="AE149">
        <f t="shared" si="45"/>
        <v>-5.9172923808492317E-2</v>
      </c>
      <c r="AF149">
        <f t="shared" si="45"/>
        <v>-2.6248679624444965E-2</v>
      </c>
      <c r="AG149">
        <f t="shared" si="45"/>
        <v>-1.2627253626685646E-2</v>
      </c>
      <c r="AH149">
        <f t="shared" si="45"/>
        <v>0</v>
      </c>
      <c r="AI149">
        <f t="shared" si="45"/>
        <v>-4.419420046143005E-2</v>
      </c>
    </row>
    <row r="150" spans="4:35" x14ac:dyDescent="0.35">
      <c r="D150" s="4" t="s">
        <v>353</v>
      </c>
      <c r="E150" s="14">
        <v>22291.360999999997</v>
      </c>
      <c r="F150" s="14">
        <v>20042.22818181818</v>
      </c>
      <c r="G150" s="14">
        <v>21113.24380952381</v>
      </c>
      <c r="Y150" s="4" t="s">
        <v>41</v>
      </c>
      <c r="Z150">
        <f t="shared" si="44"/>
        <v>0</v>
      </c>
      <c r="AA150">
        <f t="shared" si="45"/>
        <v>0</v>
      </c>
      <c r="AB150">
        <f t="shared" si="45"/>
        <v>1.313291173347203E-2</v>
      </c>
      <c r="AC150">
        <f t="shared" si="45"/>
        <v>-4.2624556542726601E-2</v>
      </c>
      <c r="AD150">
        <f t="shared" si="45"/>
        <v>-4.081100241343566E-2</v>
      </c>
      <c r="AE150">
        <f t="shared" si="45"/>
        <v>1.7267538587986547E-2</v>
      </c>
      <c r="AF150">
        <f t="shared" si="45"/>
        <v>0.10568625604055405</v>
      </c>
      <c r="AG150">
        <f t="shared" si="45"/>
        <v>-4.8386201692394319E-2</v>
      </c>
      <c r="AH150">
        <f t="shared" si="45"/>
        <v>0</v>
      </c>
      <c r="AI150">
        <f t="shared" si="45"/>
        <v>-4.2649457134561752E-3</v>
      </c>
    </row>
    <row r="151" spans="4:35" x14ac:dyDescent="0.35">
      <c r="D151" s="4" t="s">
        <v>86</v>
      </c>
      <c r="E151" s="14">
        <v>15654.119090909087</v>
      </c>
      <c r="F151" s="14">
        <v>20786.516470588238</v>
      </c>
      <c r="G151" s="14">
        <v>18770.217499999999</v>
      </c>
      <c r="Y151" s="4" t="s">
        <v>104</v>
      </c>
      <c r="Z151">
        <f t="shared" si="44"/>
        <v>0</v>
      </c>
      <c r="AA151">
        <f t="shared" si="45"/>
        <v>-1.8638044494425826E-2</v>
      </c>
      <c r="AB151">
        <f t="shared" si="45"/>
        <v>0</v>
      </c>
      <c r="AC151">
        <f t="shared" si="45"/>
        <v>1.2750747177961597E-2</v>
      </c>
      <c r="AD151">
        <f t="shared" si="45"/>
        <v>6.8310581975523754E-2</v>
      </c>
      <c r="AE151">
        <f t="shared" si="45"/>
        <v>-7.4812491859981844E-3</v>
      </c>
      <c r="AF151">
        <f t="shared" si="45"/>
        <v>-3.8427395476899218E-2</v>
      </c>
      <c r="AG151">
        <f t="shared" si="45"/>
        <v>0</v>
      </c>
      <c r="AH151">
        <f t="shared" si="45"/>
        <v>-1.2349666906727425E-2</v>
      </c>
      <c r="AI151">
        <f t="shared" si="45"/>
        <v>-4.1649730894347259E-3</v>
      </c>
    </row>
    <row r="152" spans="4:35" x14ac:dyDescent="0.35">
      <c r="D152" s="4" t="s">
        <v>133</v>
      </c>
      <c r="E152" s="14">
        <v>17311.671428571433</v>
      </c>
      <c r="F152" s="14">
        <v>18081.746818181822</v>
      </c>
      <c r="G152" s="14">
        <v>17650.5046</v>
      </c>
      <c r="Y152" s="4" t="s">
        <v>27</v>
      </c>
      <c r="Z152">
        <f t="shared" si="44"/>
        <v>1.3932295404063891E-2</v>
      </c>
      <c r="AA152">
        <f t="shared" si="45"/>
        <v>-2.6698072228792502E-2</v>
      </c>
      <c r="AB152">
        <f t="shared" si="45"/>
        <v>2.2225383693881856E-2</v>
      </c>
      <c r="AC152">
        <f t="shared" si="45"/>
        <v>-3.9862839456228358E-2</v>
      </c>
      <c r="AD152">
        <f t="shared" si="45"/>
        <v>3.4119399671746514E-2</v>
      </c>
      <c r="AE152">
        <f t="shared" si="45"/>
        <v>-3.2742027875223775E-2</v>
      </c>
      <c r="AF152">
        <f t="shared" si="45"/>
        <v>1.4449712696495864E-2</v>
      </c>
      <c r="AG152">
        <f t="shared" si="45"/>
        <v>-1.555924077823289E-2</v>
      </c>
      <c r="AH152">
        <f t="shared" si="45"/>
        <v>8.150952705718556E-3</v>
      </c>
      <c r="AI152">
        <f t="shared" si="45"/>
        <v>2.1984436166570892E-2</v>
      </c>
    </row>
    <row r="153" spans="4:35" x14ac:dyDescent="0.35">
      <c r="D153" s="4" t="s">
        <v>212</v>
      </c>
      <c r="E153" s="14">
        <v>25903.757142857143</v>
      </c>
      <c r="F153" s="14">
        <v>13523.610769230767</v>
      </c>
      <c r="G153" s="14">
        <v>17856.661999999993</v>
      </c>
      <c r="Y153" s="4" t="s">
        <v>170</v>
      </c>
      <c r="Z153">
        <f t="shared" si="44"/>
        <v>3.1688460197532797E-2</v>
      </c>
      <c r="AA153">
        <f t="shared" si="45"/>
        <v>1.2014476211872904E-3</v>
      </c>
      <c r="AB153">
        <f t="shared" si="45"/>
        <v>-3.1490178052871534E-2</v>
      </c>
      <c r="AC153">
        <f t="shared" si="45"/>
        <v>-1.0508802033661335E-2</v>
      </c>
      <c r="AD153">
        <f t="shared" si="45"/>
        <v>-7.5224805172979803E-3</v>
      </c>
      <c r="AE153">
        <f t="shared" si="45"/>
        <v>1.8422742294039229E-2</v>
      </c>
      <c r="AF153">
        <f t="shared" si="45"/>
        <v>-3.5636803221331323E-2</v>
      </c>
      <c r="AG153">
        <f t="shared" si="45"/>
        <v>3.9432655049569013E-2</v>
      </c>
      <c r="AH153">
        <f t="shared" si="45"/>
        <v>1.474907931258658E-3</v>
      </c>
      <c r="AI153">
        <f t="shared" si="45"/>
        <v>-7.0619492684246762E-3</v>
      </c>
    </row>
    <row r="154" spans="4:35" x14ac:dyDescent="0.35">
      <c r="D154" s="4" t="s">
        <v>41</v>
      </c>
      <c r="E154" s="14">
        <v>13574.483749999998</v>
      </c>
      <c r="F154" s="14">
        <v>13830.647500000003</v>
      </c>
      <c r="G154" s="14">
        <v>13659.871666666666</v>
      </c>
      <c r="Y154" s="4" t="s">
        <v>21</v>
      </c>
      <c r="Z154">
        <f t="shared" si="44"/>
        <v>0</v>
      </c>
      <c r="AA154">
        <f t="shared" si="45"/>
        <v>-2.6967682216596289E-2</v>
      </c>
      <c r="AB154">
        <f t="shared" si="45"/>
        <v>2.8923309198373548E-2</v>
      </c>
      <c r="AC154">
        <f t="shared" si="45"/>
        <v>6.4047700840763055E-3</v>
      </c>
      <c r="AD154">
        <f t="shared" si="45"/>
        <v>5.5381687438611688E-2</v>
      </c>
      <c r="AE154">
        <f t="shared" si="45"/>
        <v>-6.0154429189278047E-2</v>
      </c>
      <c r="AF154">
        <f t="shared" si="45"/>
        <v>1.5644694469026332E-2</v>
      </c>
      <c r="AG154">
        <f t="shared" si="45"/>
        <v>-2.5507589238544376E-4</v>
      </c>
      <c r="AH154">
        <f t="shared" si="45"/>
        <v>-1.8977273891828052E-2</v>
      </c>
      <c r="AI154">
        <f t="shared" si="45"/>
        <v>0</v>
      </c>
    </row>
    <row r="155" spans="4:35" x14ac:dyDescent="0.35">
      <c r="D155" s="4" t="s">
        <v>104</v>
      </c>
      <c r="E155" s="14">
        <v>18208.89</v>
      </c>
      <c r="F155" s="14">
        <v>18041.105714285713</v>
      </c>
      <c r="G155" s="14">
        <v>18130.590666666667</v>
      </c>
      <c r="Y155" s="4" t="s">
        <v>49</v>
      </c>
      <c r="Z155">
        <f t="shared" si="44"/>
        <v>2.3905848344226779E-2</v>
      </c>
      <c r="AA155">
        <f t="shared" si="45"/>
        <v>-2.1466088312212039E-2</v>
      </c>
      <c r="AB155">
        <f t="shared" si="45"/>
        <v>-3.5506100104193541E-2</v>
      </c>
      <c r="AC155">
        <f t="shared" si="45"/>
        <v>-3.3295881716437908E-2</v>
      </c>
      <c r="AD155">
        <f t="shared" si="45"/>
        <v>1.510125859228556E-2</v>
      </c>
      <c r="AE155">
        <f t="shared" si="45"/>
        <v>-1.3059283912602158E-2</v>
      </c>
      <c r="AF155">
        <f t="shared" si="45"/>
        <v>-3.11418866479964E-2</v>
      </c>
      <c r="AG155">
        <f t="shared" si="45"/>
        <v>4.689620683240496E-2</v>
      </c>
      <c r="AH155">
        <f t="shared" si="45"/>
        <v>4.528645657161405E-2</v>
      </c>
      <c r="AI155">
        <f t="shared" si="45"/>
        <v>3.2794703529107766E-3</v>
      </c>
    </row>
    <row r="156" spans="4:35" x14ac:dyDescent="0.35">
      <c r="D156" s="4" t="s">
        <v>27</v>
      </c>
      <c r="E156" s="14">
        <v>18800.516875000001</v>
      </c>
      <c r="F156" s="14">
        <v>16420.337199999998</v>
      </c>
      <c r="G156" s="14">
        <v>17349.187804878056</v>
      </c>
    </row>
    <row r="157" spans="4:35" x14ac:dyDescent="0.35">
      <c r="D157" s="4" t="s">
        <v>170</v>
      </c>
      <c r="E157" s="14">
        <v>21757.365238095237</v>
      </c>
      <c r="F157" s="14">
        <v>19573.076470588232</v>
      </c>
      <c r="G157" s="14">
        <v>20780.183421052632</v>
      </c>
    </row>
    <row r="158" spans="4:35" x14ac:dyDescent="0.35">
      <c r="D158" s="4" t="s">
        <v>21</v>
      </c>
      <c r="E158" s="14">
        <v>17579.732499999998</v>
      </c>
      <c r="F158" s="14">
        <v>22268.195454545457</v>
      </c>
      <c r="G158" s="14">
        <v>19822.040869565219</v>
      </c>
    </row>
    <row r="159" spans="4:35" x14ac:dyDescent="0.35">
      <c r="D159" s="4" t="s">
        <v>49</v>
      </c>
      <c r="E159" s="14">
        <v>22458.141250000004</v>
      </c>
      <c r="F159" s="14">
        <v>20990.198181818181</v>
      </c>
      <c r="G159" s="14">
        <v>21608.279473684208</v>
      </c>
    </row>
    <row r="160" spans="4:35" x14ac:dyDescent="0.35">
      <c r="D160" s="4" t="s">
        <v>1164</v>
      </c>
      <c r="E160" s="14">
        <v>19361.791612244881</v>
      </c>
      <c r="F160" s="14">
        <v>18637.548686274509</v>
      </c>
      <c r="G160" s="14">
        <v>18992.427720000003</v>
      </c>
    </row>
  </sheetData>
  <conditionalFormatting sqref="Z121:AI155">
    <cfRule type="expression" dxfId="5" priority="1">
      <formula>ABS(Z121) &gt; 0.05</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6E690-2861-463C-BAB0-064FD3613CE7}">
  <dimension ref="A1"/>
  <sheetViews>
    <sheetView showGridLines="0" topLeftCell="Y13" zoomScale="75" zoomScaleNormal="74" workbookViewId="0">
      <selection activeCell="V33" sqref="V33"/>
    </sheetView>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DC645-41F9-4402-831C-4392D7D063F0}">
  <dimension ref="A1:R100"/>
  <sheetViews>
    <sheetView showGridLines="0" topLeftCell="E1" zoomScale="92" workbookViewId="0">
      <pane ySplit="2" topLeftCell="A3" activePane="bottomLeft" state="frozen"/>
      <selection pane="bottomLeft" activeCell="J5" sqref="J5:K5"/>
    </sheetView>
  </sheetViews>
  <sheetFormatPr defaultRowHeight="14.5" x14ac:dyDescent="0.35"/>
  <cols>
    <col min="1" max="1" width="2.1796875" customWidth="1"/>
    <col min="2" max="17" width="14.1796875" customWidth="1"/>
    <col min="18" max="18" width="2.1796875" customWidth="1"/>
  </cols>
  <sheetData>
    <row r="1" spans="1:18" ht="38" customHeight="1" x14ac:dyDescent="0.35">
      <c r="A1" s="24"/>
      <c r="B1" s="54" t="s">
        <v>1290</v>
      </c>
      <c r="C1" s="54"/>
      <c r="D1" s="54"/>
      <c r="E1" s="54"/>
      <c r="F1" s="54"/>
      <c r="G1" s="54"/>
      <c r="H1" s="54"/>
      <c r="I1" s="54"/>
      <c r="J1" s="54"/>
      <c r="K1" s="54"/>
      <c r="L1" s="54"/>
      <c r="M1" s="54"/>
      <c r="N1" s="54"/>
      <c r="O1" s="54"/>
      <c r="P1" s="54"/>
      <c r="Q1" s="54"/>
      <c r="R1" s="24"/>
    </row>
    <row r="2" spans="1:18" ht="20" customHeight="1" x14ac:dyDescent="0.35">
      <c r="A2" s="24"/>
      <c r="B2" s="55" t="s">
        <v>1291</v>
      </c>
      <c r="C2" s="55"/>
      <c r="D2" s="55"/>
      <c r="E2" s="55"/>
      <c r="F2" s="55"/>
      <c r="G2" s="55"/>
      <c r="H2" s="55"/>
      <c r="I2" s="55"/>
      <c r="J2" s="55"/>
      <c r="K2" s="55"/>
      <c r="L2" s="55"/>
      <c r="M2" s="55"/>
      <c r="N2" s="55"/>
      <c r="O2" s="55"/>
      <c r="P2" s="55"/>
      <c r="Q2" s="55"/>
      <c r="R2" s="24"/>
    </row>
    <row r="3" spans="1:18" ht="8" customHeight="1" thickBot="1" x14ac:dyDescent="0.4">
      <c r="A3" s="24"/>
      <c r="B3" s="24"/>
      <c r="C3" s="24"/>
      <c r="D3" s="24"/>
      <c r="E3" s="24"/>
      <c r="F3" s="24"/>
      <c r="G3" s="24"/>
      <c r="H3" s="24"/>
      <c r="I3" s="24"/>
      <c r="J3" s="24"/>
      <c r="K3" s="24"/>
      <c r="L3" s="24"/>
      <c r="M3" s="24"/>
      <c r="N3" s="24"/>
      <c r="O3" s="24"/>
      <c r="P3" s="24"/>
      <c r="Q3" s="24"/>
      <c r="R3" s="24"/>
    </row>
    <row r="4" spans="1:18" ht="20" customHeight="1" thickTop="1" x14ac:dyDescent="0.35">
      <c r="A4" s="24"/>
      <c r="B4" s="48" t="s">
        <v>1230</v>
      </c>
      <c r="C4" s="49"/>
      <c r="D4" s="48" t="s">
        <v>1185</v>
      </c>
      <c r="E4" s="49"/>
      <c r="F4" s="48" t="s">
        <v>1165</v>
      </c>
      <c r="G4" s="49"/>
      <c r="H4" s="48" t="s">
        <v>1303</v>
      </c>
      <c r="I4" s="49"/>
      <c r="J4" s="48" t="s">
        <v>1304</v>
      </c>
      <c r="K4" s="49"/>
      <c r="L4" s="48" t="s">
        <v>1305</v>
      </c>
      <c r="M4" s="68"/>
      <c r="N4" s="60" t="s">
        <v>1306</v>
      </c>
      <c r="O4" s="61"/>
      <c r="P4" s="61"/>
      <c r="Q4" s="61"/>
      <c r="R4" s="24"/>
    </row>
    <row r="5" spans="1:18" ht="34" customHeight="1" x14ac:dyDescent="0.35">
      <c r="A5" s="24"/>
      <c r="B5" s="50">
        <f>'MOMP Tables'!K17</f>
        <v>1000</v>
      </c>
      <c r="C5" s="51"/>
      <c r="D5" s="57">
        <f>'MOMP Tables'!L17</f>
        <v>113361738.70999999</v>
      </c>
      <c r="E5" s="51"/>
      <c r="F5" s="57">
        <f>'MOMP Tables'!N17</f>
        <v>18992427.720000003</v>
      </c>
      <c r="G5" s="51"/>
      <c r="H5" s="58">
        <f>'MOMP Tables'!S51</f>
        <v>0.16753825352472843</v>
      </c>
      <c r="I5" s="51"/>
      <c r="J5" s="67">
        <f>CORREL(E61:E84,G61:G84)</f>
        <v>0.37141855296557136</v>
      </c>
      <c r="K5" s="51"/>
      <c r="L5" s="67">
        <f>CORREL(I61:I84,J61:J84)</f>
        <v>0.99578950115488007</v>
      </c>
      <c r="M5" s="69"/>
      <c r="N5" s="62" t="str">
        <f>IF(J5&lt;L5,"Not on its own – profit follows ORDER VALUE, not order COUNT","Yes – order volume is the main profit driver")</f>
        <v>Not on its own – profit follows ORDER VALUE, not order COUNT</v>
      </c>
      <c r="O5" s="61"/>
      <c r="P5" s="61"/>
      <c r="Q5" s="61"/>
      <c r="R5" s="24"/>
    </row>
    <row r="6" spans="1:18" ht="18" customHeight="1" thickBot="1" x14ac:dyDescent="0.4">
      <c r="A6" s="24"/>
      <c r="B6" s="52" t="str">
        <f>"2019: "&amp;TEXT('MOMP Tables'!C17,"#,##0")&amp;"  |  2020: "&amp;TEXT('MOMP Tables'!G17,"#,##0")</f>
        <v>2019: 490  |  2020: 510</v>
      </c>
      <c r="C6" s="53"/>
      <c r="D6" s="52" t="str">
        <f>"2019: "&amp;TEXT('MOMP Tables'!D17/1000000,"£0.00")&amp;"m  |  2020: "&amp;TEXT('MOMP Tables'!H17/1000000,"£0.00")&amp;"m"</f>
        <v>2019: £56.62m  |  2020: £56.74m</v>
      </c>
      <c r="E6" s="53"/>
      <c r="F6" s="52" t="str">
        <f>"2019: "&amp;TEXT('MOMP Tables'!F17/1000000,"£0.00")&amp;"m  |  2020: "&amp;TEXT('MOMP Tables'!J17/1000000,"£0.00")&amp;"m"</f>
        <v>2019: £9.49m  |  2020: £9.51m</v>
      </c>
      <c r="G6" s="53"/>
      <c r="H6" s="52" t="str">
        <f>"2019: "&amp;TEXT('MOMP Tables'!Q51,"0.0%")&amp;"  |  2020: "&amp;TEXT('MOMP Tables'!R51,"0.0%")</f>
        <v>2019: 16.8%  |  2020: 16.8%</v>
      </c>
      <c r="I6" s="53"/>
      <c r="J6" s="52" t="str">
        <f>"Monthly, 24 mths  |  2019: "&amp;TEXT('MOMP Tables'!Q4,"0.00")&amp;" 2020: "&amp;TEXT('MOMP Tables'!R4,"0.00")</f>
        <v>Monthly, 24 mths  |  2019: 0.45 2020: 0.37</v>
      </c>
      <c r="K6" s="53"/>
      <c r="L6" s="52" t="str">
        <f>"Monthly, 24 mths  |  2019: "&amp;TEXT('MOMP Tables'!Q10,"0.00")&amp;" 2020: "&amp;TEXT('MOMP Tables'!R10,"0.00")</f>
        <v>Monthly, 24 mths  |  2019: 1.00 2020: 0.99</v>
      </c>
      <c r="M6" s="70"/>
      <c r="N6" s="63"/>
      <c r="O6" s="61"/>
      <c r="P6" s="61"/>
      <c r="Q6" s="61"/>
      <c r="R6" s="24"/>
    </row>
    <row r="7" spans="1:18" ht="15" thickTop="1" x14ac:dyDescent="0.35">
      <c r="A7" s="24"/>
      <c r="B7" s="24"/>
      <c r="C7" s="24"/>
      <c r="D7" s="24"/>
      <c r="E7" s="24"/>
      <c r="F7" s="24"/>
      <c r="G7" s="24"/>
      <c r="H7" s="24"/>
      <c r="I7" s="24"/>
      <c r="J7" s="24"/>
      <c r="K7" s="24"/>
      <c r="L7" s="24"/>
      <c r="M7" s="24"/>
      <c r="N7" s="24"/>
      <c r="O7" s="24"/>
      <c r="P7" s="24"/>
      <c r="Q7" s="24"/>
      <c r="R7" s="24"/>
    </row>
    <row r="8" spans="1:18" ht="16" x14ac:dyDescent="0.4">
      <c r="A8" s="24"/>
      <c r="B8" s="64" t="s">
        <v>1307</v>
      </c>
      <c r="C8" s="64"/>
      <c r="D8" s="64"/>
      <c r="E8" s="64"/>
      <c r="F8" s="64"/>
      <c r="G8" s="64"/>
      <c r="H8" s="24"/>
      <c r="I8" s="64" t="s">
        <v>1308</v>
      </c>
      <c r="J8" s="64"/>
      <c r="K8" s="64"/>
      <c r="L8" s="64"/>
      <c r="M8" s="64"/>
      <c r="N8" s="64"/>
      <c r="O8" s="64"/>
      <c r="P8" s="64"/>
      <c r="Q8" s="64"/>
      <c r="R8" s="24"/>
    </row>
    <row r="9" spans="1:18" ht="18" customHeight="1" x14ac:dyDescent="0.35">
      <c r="A9" s="24"/>
      <c r="B9" s="65" t="s">
        <v>1309</v>
      </c>
      <c r="C9" s="65"/>
      <c r="D9" s="40">
        <v>2019</v>
      </c>
      <c r="E9" s="40">
        <v>2020</v>
      </c>
      <c r="F9" s="40" t="s">
        <v>1310</v>
      </c>
      <c r="G9" s="40" t="s">
        <v>1311</v>
      </c>
      <c r="H9" s="24"/>
      <c r="I9" s="73" t="s">
        <v>1316</v>
      </c>
      <c r="J9" s="47"/>
      <c r="K9" s="47"/>
      <c r="L9" s="47"/>
      <c r="M9" s="47"/>
      <c r="N9" s="47"/>
      <c r="O9" s="47"/>
      <c r="P9" s="47"/>
      <c r="Q9" s="47"/>
      <c r="R9" s="24"/>
    </row>
    <row r="10" spans="1:18" ht="18" customHeight="1" x14ac:dyDescent="0.35">
      <c r="A10" s="24"/>
      <c r="B10" s="66" t="s">
        <v>1244</v>
      </c>
      <c r="C10" s="66"/>
      <c r="D10" s="41">
        <f>'MOMP Tables'!C17</f>
        <v>490</v>
      </c>
      <c r="E10" s="41">
        <f>'MOMP Tables'!G17</f>
        <v>510</v>
      </c>
      <c r="F10" s="41">
        <f t="shared" ref="F10:F19" si="0">E10-D10</f>
        <v>20</v>
      </c>
      <c r="G10" s="42">
        <f>IF(D10=0,"",E10/D10-1)</f>
        <v>4.081632653061229E-2</v>
      </c>
      <c r="H10" s="24"/>
      <c r="I10" s="76" t="str">
        <f>"① Volume up, profit flat: 2020 had "&amp;TEXT('MOMP Tables'!G17-'MOMP Tables'!C17,"#,##0")&amp;" more orders ("&amp;TEXT('MOMP Tables'!G17/'MOMP Tables'!C17-1,"+0.0%")&amp;") yet profit grew just "&amp;TEXT('MOMP Tables'!J17/'MOMP Tables'!F17-1,"+0.0%")&amp;" – revenue per order fell."</f>
        <v>① Volume up, profit flat: 2020 had 20 more orders (+4.1%) yet profit grew just +0.2% – revenue per order fell.</v>
      </c>
      <c r="J10" s="76"/>
      <c r="K10" s="76"/>
      <c r="L10" s="76"/>
      <c r="M10" s="76"/>
      <c r="N10" s="76"/>
      <c r="O10" s="76"/>
      <c r="P10" s="76"/>
      <c r="Q10" s="76"/>
      <c r="R10" s="24"/>
    </row>
    <row r="11" spans="1:18" ht="18" customHeight="1" x14ac:dyDescent="0.35">
      <c r="A11" s="24"/>
      <c r="B11" s="59" t="s">
        <v>1294</v>
      </c>
      <c r="C11" s="59"/>
      <c r="D11" s="36">
        <f>'MOMP Tables'!D17</f>
        <v>56617524.399999999</v>
      </c>
      <c r="E11" s="36">
        <f>'MOMP Tables'!H17</f>
        <v>56744214.310000002</v>
      </c>
      <c r="F11" s="36">
        <f t="shared" si="0"/>
        <v>126689.91000000387</v>
      </c>
      <c r="G11" s="43">
        <f>IF(D11=0,"",E11/D11-1)</f>
        <v>2.237644816557971E-3</v>
      </c>
      <c r="H11" s="24"/>
      <c r="I11" s="76"/>
      <c r="J11" s="76"/>
      <c r="K11" s="76"/>
      <c r="L11" s="76"/>
      <c r="M11" s="76"/>
      <c r="N11" s="76"/>
      <c r="O11" s="76"/>
      <c r="P11" s="76"/>
      <c r="Q11" s="76"/>
      <c r="R11" s="24"/>
    </row>
    <row r="12" spans="1:18" ht="18" customHeight="1" x14ac:dyDescent="0.35">
      <c r="A12" s="24"/>
      <c r="B12" s="59" t="s">
        <v>1295</v>
      </c>
      <c r="C12" s="59"/>
      <c r="D12" s="36">
        <f>'MOMP Tables'!F17</f>
        <v>9487277.8899999913</v>
      </c>
      <c r="E12" s="36">
        <f>'MOMP Tables'!J17</f>
        <v>9505149.8300000001</v>
      </c>
      <c r="F12" s="36">
        <f t="shared" si="0"/>
        <v>17871.940000008792</v>
      </c>
      <c r="G12" s="43">
        <f>IF(D12=0,"",E12/D12-1)</f>
        <v>1.8837795421642323E-3</v>
      </c>
      <c r="H12" s="24"/>
      <c r="I12" s="77" t="str">
        <f>"② Margin is constant: profit margin sits at ~"&amp;TEXT('MOMP Tables'!S51,"0.0%")&amp;" in every month of both years, so profit simply scales with the value of what is sold."</f>
        <v>② Margin is constant: profit margin sits at ~16.8% in every month of both years, so profit simply scales with the value of what is sold.</v>
      </c>
      <c r="J12" s="77"/>
      <c r="K12" s="77"/>
      <c r="L12" s="77"/>
      <c r="M12" s="77"/>
      <c r="N12" s="77"/>
      <c r="O12" s="77"/>
      <c r="P12" s="77"/>
      <c r="Q12" s="77"/>
      <c r="R12" s="24"/>
    </row>
    <row r="13" spans="1:18" ht="18" customHeight="1" x14ac:dyDescent="0.35">
      <c r="A13" s="24"/>
      <c r="B13" s="59" t="s">
        <v>1240</v>
      </c>
      <c r="C13" s="59"/>
      <c r="D13" s="43">
        <f>'MOMP Tables'!Q51</f>
        <v>0.16756786861560483</v>
      </c>
      <c r="E13" s="43">
        <f>'MOMP Tables'!R51</f>
        <v>0.16750870455395342</v>
      </c>
      <c r="F13" s="43">
        <f t="shared" si="0"/>
        <v>-5.9164061651406641E-5</v>
      </c>
      <c r="G13" s="43"/>
      <c r="H13" s="24"/>
      <c r="I13" s="77"/>
      <c r="J13" s="77"/>
      <c r="K13" s="77"/>
      <c r="L13" s="77"/>
      <c r="M13" s="77"/>
      <c r="N13" s="77"/>
      <c r="O13" s="77"/>
      <c r="P13" s="77"/>
      <c r="Q13" s="77"/>
      <c r="R13" s="24"/>
    </row>
    <row r="14" spans="1:18" ht="18" customHeight="1" x14ac:dyDescent="0.35">
      <c r="A14" s="24"/>
      <c r="B14" s="59" t="s">
        <v>1296</v>
      </c>
      <c r="C14" s="59"/>
      <c r="D14" s="36">
        <f>'MOMP Tables'!M33</f>
        <v>115545.96816326531</v>
      </c>
      <c r="E14" s="36">
        <f>'MOMP Tables'!N33</f>
        <v>111263.16531372549</v>
      </c>
      <c r="F14" s="36">
        <f t="shared" si="0"/>
        <v>-4282.8028495398175</v>
      </c>
      <c r="G14" s="43">
        <f>IF(D14=0,"",E14/D14-1)</f>
        <v>-3.7065792235071893E-2</v>
      </c>
      <c r="H14" s="24"/>
      <c r="I14" s="76" t="str">
        <f>"③ Weak volume link: monthly orders vs profit correlation is only "&amp;TEXT(J5,"0.00")&amp;" (24 months), versus "&amp;TEXT(L5,"0.00")&amp;" for average order value vs profit per sale."</f>
        <v>③ Weak volume link: monthly orders vs profit correlation is only 0.37 (24 months), versus 1.00 for average order value vs profit per sale.</v>
      </c>
      <c r="J14" s="76"/>
      <c r="K14" s="76"/>
      <c r="L14" s="76"/>
      <c r="M14" s="76"/>
      <c r="N14" s="76"/>
      <c r="O14" s="76"/>
      <c r="P14" s="76"/>
      <c r="Q14" s="76"/>
      <c r="R14" s="24"/>
    </row>
    <row r="15" spans="1:18" ht="18" customHeight="1" x14ac:dyDescent="0.35">
      <c r="A15" s="24"/>
      <c r="B15" s="59" t="s">
        <v>1297</v>
      </c>
      <c r="C15" s="59"/>
      <c r="D15" s="36">
        <f>'MOMP Tables'!C50</f>
        <v>19361.791612244899</v>
      </c>
      <c r="E15" s="36">
        <f>'MOMP Tables'!D50</f>
        <v>18637.54868627452</v>
      </c>
      <c r="F15" s="36">
        <f t="shared" si="0"/>
        <v>-724.24292597037856</v>
      </c>
      <c r="G15" s="43">
        <f>IF(D15=0,"",E15/D15-1)</f>
        <v>-3.7405780439881853E-2</v>
      </c>
      <c r="H15" s="24"/>
      <c r="I15" s="76"/>
      <c r="J15" s="76"/>
      <c r="K15" s="76"/>
      <c r="L15" s="76"/>
      <c r="M15" s="76"/>
      <c r="N15" s="76"/>
      <c r="O15" s="76"/>
      <c r="P15" s="76"/>
      <c r="Q15" s="76"/>
      <c r="R15" s="24"/>
    </row>
    <row r="16" spans="1:18" ht="18" customHeight="1" x14ac:dyDescent="0.35">
      <c r="A16" s="24"/>
      <c r="B16" s="59" t="s">
        <v>1312</v>
      </c>
      <c r="C16" s="59"/>
      <c r="D16" s="36">
        <f>'MOMP Tables'!Q11</f>
        <v>790606.49083333334</v>
      </c>
      <c r="E16" s="36">
        <f>'MOMP Tables'!R11</f>
        <v>792095.81916666648</v>
      </c>
      <c r="F16" s="36">
        <f t="shared" si="0"/>
        <v>1489.3283333331347</v>
      </c>
      <c r="G16" s="43">
        <f>IF(D16=0,"",E16/D16-1)</f>
        <v>1.883779542163122E-3</v>
      </c>
      <c r="H16" s="24"/>
      <c r="I16" s="77" t="str">
        <f>"④ Peak months are high-value months: Dec ("&amp;TEXT('MOMP Tables'!AD32,"0")&amp;" orders) and Jun ("&amp;TEXT('MOMP Tables'!AD26,"0")&amp;") out-earn Jan ("&amp;TEXT('MOMP Tables'!AD21,"0")&amp;" orders) because Dec AOV is "&amp;TEXT('MOMP Tables'!O32,"£#,##0")&amp;" vs "&amp;TEXT('MOMP Tables'!O33,"£#,##0")&amp;" average."</f>
        <v>④ Peak months are high-value months: Dec (77 orders) and Jun (90) out-earn Jan (95 orders) because Dec AOV is £189,585 vs £113,362 average.</v>
      </c>
      <c r="J16" s="77"/>
      <c r="K16" s="77"/>
      <c r="L16" s="77"/>
      <c r="M16" s="77"/>
      <c r="N16" s="77"/>
      <c r="O16" s="77"/>
      <c r="P16" s="77"/>
      <c r="Q16" s="77"/>
      <c r="R16" s="24"/>
    </row>
    <row r="17" spans="1:18" ht="18" customHeight="1" x14ac:dyDescent="0.35">
      <c r="A17" s="24"/>
      <c r="B17" s="59" t="s">
        <v>1313</v>
      </c>
      <c r="C17" s="59"/>
      <c r="D17" s="44">
        <f>'MOMP Tables'!Q6</f>
        <v>5.2413950645054621</v>
      </c>
      <c r="E17" s="44">
        <f>'MOMP Tables'!R6</f>
        <v>8.2815054992032291</v>
      </c>
      <c r="F17" s="44">
        <f t="shared" si="0"/>
        <v>3.040110434697767</v>
      </c>
      <c r="G17" s="43"/>
      <c r="H17" s="24"/>
      <c r="I17" s="77"/>
      <c r="J17" s="77"/>
      <c r="K17" s="77"/>
      <c r="L17" s="77"/>
      <c r="M17" s="77"/>
      <c r="N17" s="77"/>
      <c r="O17" s="77"/>
      <c r="P17" s="77"/>
      <c r="Q17" s="77"/>
      <c r="R17" s="24"/>
    </row>
    <row r="18" spans="1:18" ht="18" customHeight="1" x14ac:dyDescent="0.35">
      <c r="A18" s="24"/>
      <c r="B18" s="59" t="s">
        <v>1314</v>
      </c>
      <c r="C18" s="59"/>
      <c r="D18" s="45">
        <f>'MOMP Tables'!Q4</f>
        <v>0.45204688381119579</v>
      </c>
      <c r="E18" s="45">
        <f>'MOMP Tables'!R4</f>
        <v>0.37399861183706068</v>
      </c>
      <c r="F18" s="45">
        <f t="shared" si="0"/>
        <v>-7.8048271974135108E-2</v>
      </c>
      <c r="G18" s="43"/>
      <c r="H18" s="24"/>
      <c r="I18" s="76" t="str">
        <f>"⑤ Categories agree: "&amp;INDEX(M61:M70,MATCH(MAX(N61:N70),N61:N70,0))&amp;" has the most sales ("&amp;MAX(N61:N70)&amp;") but "&amp;INDEX(M61:M70,MATCH(MAX(P61:P70),P61:P70,0))&amp;" ("&amp;INDEX(N61:N70,MATCH(MAX(P61:P70),P61:P70,0))&amp;" sales) earns the most per sale ("&amp;TEXT(MAX(P61:P70),"£#,##0")&amp;")."</f>
        <v>⑤ Categories agree: Clothing has the most sales (155) but Accessories (35 sales) earns the most per sale (£22,397).</v>
      </c>
      <c r="J18" s="76"/>
      <c r="K18" s="76"/>
      <c r="L18" s="76"/>
      <c r="M18" s="76"/>
      <c r="N18" s="76"/>
      <c r="O18" s="76"/>
      <c r="P18" s="76"/>
      <c r="Q18" s="76"/>
      <c r="R18" s="24"/>
    </row>
    <row r="19" spans="1:18" ht="18" customHeight="1" x14ac:dyDescent="0.35">
      <c r="A19" s="24"/>
      <c r="B19" s="59" t="s">
        <v>1315</v>
      </c>
      <c r="C19" s="59"/>
      <c r="D19" s="45">
        <f>'MOMP Tables'!Q10</f>
        <v>0.99727848201983116</v>
      </c>
      <c r="E19" s="45">
        <f>'MOMP Tables'!R10</f>
        <v>0.99455161423576599</v>
      </c>
      <c r="F19" s="45">
        <f t="shared" si="0"/>
        <v>-2.7268677840651678E-3</v>
      </c>
      <c r="G19" s="43"/>
      <c r="H19" s="24"/>
      <c r="I19" s="76"/>
      <c r="J19" s="76"/>
      <c r="K19" s="76"/>
      <c r="L19" s="76"/>
      <c r="M19" s="76"/>
      <c r="N19" s="76"/>
      <c r="O19" s="76"/>
      <c r="P19" s="76"/>
      <c r="Q19" s="76"/>
      <c r="R19" s="24"/>
    </row>
    <row r="20" spans="1:18" ht="18" customHeight="1" x14ac:dyDescent="0.35">
      <c r="A20" s="24"/>
      <c r="B20" s="74" t="s">
        <v>1317</v>
      </c>
      <c r="C20" s="75"/>
      <c r="D20" s="75"/>
      <c r="E20" s="75"/>
      <c r="F20" s="75"/>
      <c r="G20" s="75"/>
      <c r="H20" s="24"/>
      <c r="I20" s="71" t="str">
        <f>"CONCLUSION: More sales do not reliably mean more profit – bigger orders do. Growth should prioritise order value (upselling, bundles, premium mix) over raw order count."</f>
        <v>CONCLUSION: More sales do not reliably mean more profit – bigger orders do. Growth should prioritise order value (upselling, bundles, premium mix) over raw order count.</v>
      </c>
      <c r="J20" s="72"/>
      <c r="K20" s="72"/>
      <c r="L20" s="72"/>
      <c r="M20" s="72"/>
      <c r="N20" s="72"/>
      <c r="O20" s="72"/>
      <c r="P20" s="72"/>
      <c r="Q20" s="72"/>
      <c r="R20" s="24"/>
    </row>
    <row r="21" spans="1:18" ht="18" customHeight="1" x14ac:dyDescent="0.35">
      <c r="A21" s="24"/>
      <c r="B21" s="47"/>
      <c r="C21" s="47"/>
      <c r="D21" s="47"/>
      <c r="E21" s="47"/>
      <c r="F21" s="47"/>
      <c r="G21" s="47"/>
      <c r="H21" s="24"/>
      <c r="I21" s="71"/>
      <c r="J21" s="72"/>
      <c r="K21" s="72"/>
      <c r="L21" s="72"/>
      <c r="M21" s="72"/>
      <c r="N21" s="72"/>
      <c r="O21" s="72"/>
      <c r="P21" s="72"/>
      <c r="Q21" s="72"/>
      <c r="R21" s="24"/>
    </row>
    <row r="22" spans="1:18" ht="16" x14ac:dyDescent="0.4">
      <c r="A22" s="24"/>
      <c r="B22" s="64" t="s">
        <v>1318</v>
      </c>
      <c r="C22" s="64"/>
      <c r="D22" s="64"/>
      <c r="E22" s="64"/>
      <c r="F22" s="64"/>
      <c r="G22" s="64"/>
      <c r="H22" s="64"/>
      <c r="I22" s="64"/>
      <c r="J22" s="64"/>
      <c r="K22" s="64"/>
      <c r="L22" s="64"/>
      <c r="M22" s="64"/>
      <c r="N22" s="64"/>
      <c r="O22" s="64"/>
      <c r="P22" s="64"/>
      <c r="Q22" s="64"/>
      <c r="R22" s="24"/>
    </row>
    <row r="23" spans="1:18" x14ac:dyDescent="0.35">
      <c r="A23" s="24"/>
      <c r="B23" s="24"/>
      <c r="C23" s="24"/>
      <c r="D23" s="24"/>
      <c r="E23" s="24"/>
      <c r="F23" s="24"/>
      <c r="G23" s="24"/>
      <c r="H23" s="24"/>
      <c r="I23" s="24"/>
      <c r="J23" s="24"/>
      <c r="K23" s="24"/>
      <c r="L23" s="24"/>
      <c r="M23" s="24"/>
      <c r="N23" s="24"/>
      <c r="O23" s="24"/>
      <c r="P23" s="24"/>
      <c r="Q23" s="24"/>
      <c r="R23" s="24"/>
    </row>
    <row r="24" spans="1:18" x14ac:dyDescent="0.35">
      <c r="A24" s="24"/>
      <c r="B24" s="24"/>
      <c r="C24" s="24"/>
      <c r="D24" s="24"/>
      <c r="E24" s="24"/>
      <c r="F24" s="24"/>
      <c r="G24" s="24"/>
      <c r="H24" s="24"/>
      <c r="I24" s="24"/>
      <c r="J24" s="24"/>
      <c r="K24" s="24"/>
      <c r="L24" s="24"/>
      <c r="M24" s="24"/>
      <c r="N24" s="24"/>
      <c r="O24" s="24"/>
      <c r="P24" s="24"/>
      <c r="Q24" s="24"/>
      <c r="R24" s="24"/>
    </row>
    <row r="25" spans="1:18" x14ac:dyDescent="0.35">
      <c r="A25" s="24"/>
      <c r="B25" s="24"/>
      <c r="C25" s="24"/>
      <c r="D25" s="24"/>
      <c r="E25" s="24"/>
      <c r="F25" s="24"/>
      <c r="G25" s="24"/>
      <c r="H25" s="24"/>
      <c r="I25" s="24"/>
      <c r="J25" s="24"/>
      <c r="K25" s="24"/>
      <c r="L25" s="24"/>
      <c r="M25" s="24"/>
      <c r="N25" s="24"/>
      <c r="O25" s="24"/>
      <c r="P25" s="24"/>
      <c r="Q25" s="24"/>
      <c r="R25" s="24"/>
    </row>
    <row r="26" spans="1:18" x14ac:dyDescent="0.35">
      <c r="A26" s="24"/>
      <c r="B26" s="24"/>
      <c r="C26" s="24"/>
      <c r="D26" s="24"/>
      <c r="E26" s="24"/>
      <c r="F26" s="24"/>
      <c r="G26" s="24"/>
      <c r="H26" s="24"/>
      <c r="I26" s="24"/>
      <c r="J26" s="24"/>
      <c r="K26" s="24"/>
      <c r="L26" s="24"/>
      <c r="M26" s="24"/>
      <c r="N26" s="24"/>
      <c r="O26" s="24"/>
      <c r="P26" s="24"/>
      <c r="Q26" s="24"/>
      <c r="R26" s="24"/>
    </row>
    <row r="27" spans="1:18" x14ac:dyDescent="0.35">
      <c r="A27" s="24"/>
      <c r="B27" s="24"/>
      <c r="C27" s="24"/>
      <c r="D27" s="24"/>
      <c r="E27" s="24"/>
      <c r="F27" s="24"/>
      <c r="G27" s="24"/>
      <c r="H27" s="24"/>
      <c r="I27" s="24"/>
      <c r="J27" s="24"/>
      <c r="K27" s="24"/>
      <c r="L27" s="24"/>
      <c r="M27" s="24"/>
      <c r="N27" s="24"/>
      <c r="O27" s="24"/>
      <c r="P27" s="24"/>
      <c r="Q27" s="24"/>
      <c r="R27" s="24"/>
    </row>
    <row r="28" spans="1:18" x14ac:dyDescent="0.35">
      <c r="A28" s="24"/>
      <c r="B28" s="24"/>
      <c r="C28" s="24"/>
      <c r="D28" s="24"/>
      <c r="E28" s="24"/>
      <c r="F28" s="24"/>
      <c r="G28" s="24"/>
      <c r="H28" s="24"/>
      <c r="I28" s="24"/>
      <c r="J28" s="24"/>
      <c r="K28" s="24"/>
      <c r="L28" s="24"/>
      <c r="M28" s="24"/>
      <c r="N28" s="24"/>
      <c r="O28" s="24"/>
      <c r="P28" s="24"/>
      <c r="Q28" s="24"/>
      <c r="R28" s="24"/>
    </row>
    <row r="29" spans="1:18" x14ac:dyDescent="0.35">
      <c r="A29" s="24"/>
      <c r="B29" s="24"/>
      <c r="C29" s="24"/>
      <c r="D29" s="24"/>
      <c r="E29" s="24"/>
      <c r="F29" s="24"/>
      <c r="G29" s="24"/>
      <c r="H29" s="24"/>
      <c r="I29" s="24"/>
      <c r="J29" s="24"/>
      <c r="K29" s="24"/>
      <c r="L29" s="24"/>
      <c r="M29" s="24"/>
      <c r="N29" s="24"/>
      <c r="O29" s="24"/>
      <c r="P29" s="24"/>
      <c r="Q29" s="24"/>
      <c r="R29" s="24"/>
    </row>
    <row r="30" spans="1:18" x14ac:dyDescent="0.35">
      <c r="A30" s="24"/>
      <c r="B30" s="24"/>
      <c r="C30" s="24"/>
      <c r="D30" s="24"/>
      <c r="E30" s="24"/>
      <c r="F30" s="24"/>
      <c r="G30" s="24"/>
      <c r="H30" s="24"/>
      <c r="I30" s="24"/>
      <c r="J30" s="24"/>
      <c r="K30" s="24"/>
      <c r="L30" s="24"/>
      <c r="M30" s="24"/>
      <c r="N30" s="24"/>
      <c r="O30" s="24"/>
      <c r="P30" s="24"/>
      <c r="Q30" s="24"/>
      <c r="R30" s="24"/>
    </row>
    <row r="31" spans="1:18" x14ac:dyDescent="0.35">
      <c r="A31" s="24"/>
      <c r="B31" s="24"/>
      <c r="C31" s="24"/>
      <c r="D31" s="24"/>
      <c r="E31" s="24"/>
      <c r="F31" s="24"/>
      <c r="G31" s="24"/>
      <c r="H31" s="24"/>
      <c r="I31" s="24"/>
      <c r="J31" s="24"/>
      <c r="K31" s="24"/>
      <c r="L31" s="24"/>
      <c r="M31" s="24"/>
      <c r="N31" s="24"/>
      <c r="O31" s="24"/>
      <c r="P31" s="24"/>
      <c r="Q31" s="24"/>
      <c r="R31" s="24"/>
    </row>
    <row r="32" spans="1:18" x14ac:dyDescent="0.35">
      <c r="A32" s="24"/>
      <c r="B32" s="24"/>
      <c r="C32" s="24"/>
      <c r="D32" s="24"/>
      <c r="E32" s="24"/>
      <c r="F32" s="24"/>
      <c r="G32" s="24"/>
      <c r="H32" s="24"/>
      <c r="I32" s="24"/>
      <c r="J32" s="24"/>
      <c r="K32" s="24"/>
      <c r="L32" s="24"/>
      <c r="M32" s="24"/>
      <c r="N32" s="24"/>
      <c r="O32" s="24"/>
      <c r="P32" s="24"/>
      <c r="Q32" s="24"/>
      <c r="R32" s="24"/>
    </row>
    <row r="33" spans="1:18" x14ac:dyDescent="0.35">
      <c r="A33" s="24"/>
      <c r="B33" s="24"/>
      <c r="C33" s="24"/>
      <c r="D33" s="24"/>
      <c r="E33" s="24"/>
      <c r="F33" s="24"/>
      <c r="G33" s="24"/>
      <c r="H33" s="24"/>
      <c r="I33" s="24"/>
      <c r="J33" s="24"/>
      <c r="K33" s="24"/>
      <c r="L33" s="24"/>
      <c r="M33" s="24"/>
      <c r="N33" s="24"/>
      <c r="O33" s="24"/>
      <c r="P33" s="24"/>
      <c r="Q33" s="24"/>
      <c r="R33" s="24"/>
    </row>
    <row r="34" spans="1:18" x14ac:dyDescent="0.35">
      <c r="A34" s="24"/>
      <c r="B34" s="24"/>
      <c r="C34" s="24"/>
      <c r="D34" s="24"/>
      <c r="E34" s="24"/>
      <c r="F34" s="24"/>
      <c r="G34" s="24"/>
      <c r="H34" s="24"/>
      <c r="I34" s="24"/>
      <c r="J34" s="24"/>
      <c r="K34" s="24"/>
      <c r="L34" s="24"/>
      <c r="M34" s="24"/>
      <c r="N34" s="24"/>
      <c r="O34" s="24"/>
      <c r="P34" s="24"/>
      <c r="Q34" s="24"/>
      <c r="R34" s="24"/>
    </row>
    <row r="35" spans="1:18" x14ac:dyDescent="0.35">
      <c r="A35" s="24"/>
      <c r="B35" s="24"/>
      <c r="C35" s="24"/>
      <c r="D35" s="24"/>
      <c r="E35" s="24"/>
      <c r="F35" s="24"/>
      <c r="G35" s="24"/>
      <c r="H35" s="24"/>
      <c r="I35" s="24"/>
      <c r="J35" s="24"/>
      <c r="K35" s="24"/>
      <c r="L35" s="24"/>
      <c r="M35" s="24"/>
      <c r="N35" s="24"/>
      <c r="O35" s="24"/>
      <c r="P35" s="24"/>
      <c r="Q35" s="24"/>
      <c r="R35" s="24"/>
    </row>
    <row r="36" spans="1:18" x14ac:dyDescent="0.35">
      <c r="A36" s="24"/>
      <c r="B36" s="24"/>
      <c r="C36" s="24"/>
      <c r="D36" s="24"/>
      <c r="E36" s="24"/>
      <c r="F36" s="24"/>
      <c r="G36" s="24"/>
      <c r="H36" s="24"/>
      <c r="I36" s="24"/>
      <c r="J36" s="24"/>
      <c r="K36" s="24"/>
      <c r="L36" s="24"/>
      <c r="M36" s="24"/>
      <c r="N36" s="24"/>
      <c r="O36" s="24"/>
      <c r="P36" s="24"/>
      <c r="Q36" s="24"/>
      <c r="R36" s="24"/>
    </row>
    <row r="37" spans="1:18" x14ac:dyDescent="0.35">
      <c r="A37" s="24"/>
      <c r="B37" s="24"/>
      <c r="C37" s="24"/>
      <c r="D37" s="24"/>
      <c r="E37" s="24"/>
      <c r="F37" s="24"/>
      <c r="G37" s="24"/>
      <c r="H37" s="24"/>
      <c r="I37" s="24"/>
      <c r="J37" s="24"/>
      <c r="K37" s="24"/>
      <c r="L37" s="24"/>
      <c r="M37" s="24"/>
      <c r="N37" s="24"/>
      <c r="O37" s="24"/>
      <c r="P37" s="24"/>
      <c r="Q37" s="24"/>
      <c r="R37" s="24"/>
    </row>
    <row r="38" spans="1:18" x14ac:dyDescent="0.35">
      <c r="A38" s="24"/>
      <c r="B38" s="24"/>
      <c r="C38" s="24"/>
      <c r="D38" s="24"/>
      <c r="E38" s="24"/>
      <c r="F38" s="24"/>
      <c r="G38" s="24"/>
      <c r="H38" s="24"/>
      <c r="I38" s="24"/>
      <c r="J38" s="24"/>
      <c r="K38" s="24"/>
      <c r="L38" s="24"/>
      <c r="M38" s="24"/>
      <c r="N38" s="24"/>
      <c r="O38" s="24"/>
      <c r="P38" s="24"/>
      <c r="Q38" s="24"/>
      <c r="R38" s="24"/>
    </row>
    <row r="39" spans="1:18" x14ac:dyDescent="0.35">
      <c r="A39" s="24"/>
      <c r="B39" s="24"/>
      <c r="C39" s="24"/>
      <c r="D39" s="24"/>
      <c r="E39" s="24"/>
      <c r="F39" s="24"/>
      <c r="G39" s="24"/>
      <c r="H39" s="24"/>
      <c r="I39" s="24"/>
      <c r="J39" s="24"/>
      <c r="K39" s="24"/>
      <c r="L39" s="24"/>
      <c r="M39" s="24"/>
      <c r="N39" s="24"/>
      <c r="O39" s="24"/>
      <c r="P39" s="24"/>
      <c r="Q39" s="24"/>
      <c r="R39" s="24"/>
    </row>
    <row r="40" spans="1:18" x14ac:dyDescent="0.35">
      <c r="A40" s="24"/>
      <c r="B40" s="24"/>
      <c r="C40" s="24"/>
      <c r="D40" s="24"/>
      <c r="E40" s="24"/>
      <c r="F40" s="24"/>
      <c r="G40" s="24"/>
      <c r="H40" s="24"/>
      <c r="I40" s="24"/>
      <c r="J40" s="24"/>
      <c r="K40" s="24"/>
      <c r="L40" s="24"/>
      <c r="M40" s="24"/>
      <c r="N40" s="24"/>
      <c r="O40" s="24"/>
      <c r="P40" s="24"/>
      <c r="Q40" s="24"/>
      <c r="R40" s="24"/>
    </row>
    <row r="41" spans="1:18" x14ac:dyDescent="0.35">
      <c r="A41" s="24"/>
      <c r="B41" s="24"/>
      <c r="C41" s="24"/>
      <c r="D41" s="24"/>
      <c r="E41" s="24"/>
      <c r="F41" s="24"/>
      <c r="G41" s="24"/>
      <c r="H41" s="24"/>
      <c r="I41" s="24"/>
      <c r="J41" s="24"/>
      <c r="K41" s="24"/>
      <c r="L41" s="24"/>
      <c r="M41" s="24"/>
      <c r="N41" s="24"/>
      <c r="O41" s="24"/>
      <c r="P41" s="24"/>
      <c r="Q41" s="24"/>
      <c r="R41" s="24"/>
    </row>
    <row r="42" spans="1:18" x14ac:dyDescent="0.35">
      <c r="A42" s="24"/>
      <c r="B42" s="24"/>
      <c r="C42" s="24"/>
      <c r="D42" s="24"/>
      <c r="E42" s="24"/>
      <c r="F42" s="24"/>
      <c r="G42" s="24"/>
      <c r="H42" s="24"/>
      <c r="I42" s="24"/>
      <c r="J42" s="24"/>
      <c r="K42" s="24"/>
      <c r="L42" s="24"/>
      <c r="M42" s="24"/>
      <c r="N42" s="24"/>
      <c r="O42" s="24"/>
      <c r="P42" s="24"/>
      <c r="Q42" s="24"/>
      <c r="R42" s="24"/>
    </row>
    <row r="43" spans="1:18" x14ac:dyDescent="0.35">
      <c r="A43" s="24"/>
      <c r="B43" s="24"/>
      <c r="C43" s="24"/>
      <c r="D43" s="24"/>
      <c r="E43" s="24"/>
      <c r="F43" s="24"/>
      <c r="G43" s="24"/>
      <c r="H43" s="24"/>
      <c r="I43" s="24"/>
      <c r="J43" s="24"/>
      <c r="K43" s="24"/>
      <c r="L43" s="24"/>
      <c r="M43" s="24"/>
      <c r="N43" s="24"/>
      <c r="O43" s="24"/>
      <c r="P43" s="24"/>
      <c r="Q43" s="24"/>
      <c r="R43" s="24"/>
    </row>
    <row r="44" spans="1:18" x14ac:dyDescent="0.35">
      <c r="A44" s="24"/>
      <c r="B44" s="24"/>
      <c r="C44" s="24"/>
      <c r="D44" s="24"/>
      <c r="E44" s="24"/>
      <c r="F44" s="24"/>
      <c r="G44" s="24"/>
      <c r="H44" s="24"/>
      <c r="I44" s="24"/>
      <c r="J44" s="24"/>
      <c r="K44" s="24"/>
      <c r="L44" s="24"/>
      <c r="M44" s="24"/>
      <c r="N44" s="24"/>
      <c r="O44" s="24"/>
      <c r="P44" s="24"/>
      <c r="Q44" s="24"/>
      <c r="R44" s="24"/>
    </row>
    <row r="45" spans="1:18" x14ac:dyDescent="0.35">
      <c r="A45" s="24"/>
      <c r="B45" s="24"/>
      <c r="C45" s="24"/>
      <c r="D45" s="24"/>
      <c r="E45" s="24"/>
      <c r="F45" s="24"/>
      <c r="G45" s="24"/>
      <c r="H45" s="24"/>
      <c r="I45" s="24"/>
      <c r="J45" s="24"/>
      <c r="K45" s="24"/>
      <c r="L45" s="24"/>
      <c r="M45" s="24"/>
      <c r="N45" s="24"/>
      <c r="O45" s="24"/>
      <c r="P45" s="24"/>
      <c r="Q45" s="24"/>
      <c r="R45" s="24"/>
    </row>
    <row r="46" spans="1:18" x14ac:dyDescent="0.35">
      <c r="A46" s="24"/>
      <c r="B46" s="24"/>
      <c r="C46" s="24"/>
      <c r="D46" s="24"/>
      <c r="E46" s="24"/>
      <c r="F46" s="24"/>
      <c r="G46" s="24"/>
      <c r="H46" s="24"/>
      <c r="I46" s="24"/>
      <c r="J46" s="24"/>
      <c r="K46" s="24"/>
      <c r="L46" s="24"/>
      <c r="M46" s="24"/>
      <c r="N46" s="24"/>
      <c r="O46" s="24"/>
      <c r="P46" s="24"/>
      <c r="Q46" s="24"/>
      <c r="R46" s="24"/>
    </row>
    <row r="47" spans="1:18" x14ac:dyDescent="0.35">
      <c r="A47" s="24"/>
      <c r="B47" s="24"/>
      <c r="C47" s="24"/>
      <c r="D47" s="24"/>
      <c r="E47" s="24"/>
      <c r="F47" s="24"/>
      <c r="G47" s="24"/>
      <c r="H47" s="24"/>
      <c r="I47" s="24"/>
      <c r="J47" s="24"/>
      <c r="K47" s="24"/>
      <c r="L47" s="24"/>
      <c r="M47" s="24"/>
      <c r="N47" s="24"/>
      <c r="O47" s="24"/>
      <c r="P47" s="24"/>
      <c r="Q47" s="24"/>
      <c r="R47" s="24"/>
    </row>
    <row r="48" spans="1:18" x14ac:dyDescent="0.35">
      <c r="A48" s="24"/>
      <c r="B48" s="24"/>
      <c r="C48" s="24"/>
      <c r="D48" s="24"/>
      <c r="E48" s="24"/>
      <c r="F48" s="24"/>
      <c r="G48" s="24"/>
      <c r="H48" s="24"/>
      <c r="I48" s="24"/>
      <c r="J48" s="24"/>
      <c r="K48" s="24"/>
      <c r="L48" s="24"/>
      <c r="M48" s="24"/>
      <c r="N48" s="24"/>
      <c r="O48" s="24"/>
      <c r="P48" s="24"/>
      <c r="Q48" s="24"/>
      <c r="R48" s="24"/>
    </row>
    <row r="49" spans="1:18" x14ac:dyDescent="0.35">
      <c r="A49" s="24"/>
      <c r="B49" s="24"/>
      <c r="C49" s="24"/>
      <c r="D49" s="24"/>
      <c r="E49" s="24"/>
      <c r="F49" s="24"/>
      <c r="G49" s="24"/>
      <c r="H49" s="24"/>
      <c r="I49" s="24"/>
      <c r="J49" s="24"/>
      <c r="K49" s="24"/>
      <c r="L49" s="24"/>
      <c r="M49" s="24"/>
      <c r="N49" s="24"/>
      <c r="O49" s="24"/>
      <c r="P49" s="24"/>
      <c r="Q49" s="24"/>
      <c r="R49" s="24"/>
    </row>
    <row r="50" spans="1:18" x14ac:dyDescent="0.35">
      <c r="A50" s="24"/>
      <c r="B50" s="24"/>
      <c r="C50" s="24"/>
      <c r="D50" s="24"/>
      <c r="E50" s="24"/>
      <c r="F50" s="24"/>
      <c r="G50" s="24"/>
      <c r="H50" s="24"/>
      <c r="I50" s="24"/>
      <c r="J50" s="24"/>
      <c r="K50" s="24"/>
      <c r="L50" s="24"/>
      <c r="M50" s="24"/>
      <c r="N50" s="24"/>
      <c r="O50" s="24"/>
      <c r="P50" s="24"/>
      <c r="Q50" s="24"/>
      <c r="R50" s="24"/>
    </row>
    <row r="51" spans="1:18" x14ac:dyDescent="0.35">
      <c r="A51" s="24"/>
      <c r="B51" s="24"/>
      <c r="C51" s="24"/>
      <c r="D51" s="24"/>
      <c r="E51" s="24"/>
      <c r="F51" s="24"/>
      <c r="G51" s="24"/>
      <c r="H51" s="24"/>
      <c r="I51" s="24"/>
      <c r="J51" s="24"/>
      <c r="K51" s="24"/>
      <c r="L51" s="24"/>
      <c r="M51" s="24"/>
      <c r="N51" s="24"/>
      <c r="O51" s="24"/>
      <c r="P51" s="24"/>
      <c r="Q51" s="24"/>
      <c r="R51" s="24"/>
    </row>
    <row r="52" spans="1:18" x14ac:dyDescent="0.35">
      <c r="A52" s="24"/>
      <c r="B52" s="24"/>
      <c r="C52" s="24"/>
      <c r="D52" s="24"/>
      <c r="E52" s="24"/>
      <c r="F52" s="24"/>
      <c r="G52" s="24"/>
      <c r="H52" s="24"/>
      <c r="I52" s="24"/>
      <c r="J52" s="24"/>
      <c r="K52" s="24"/>
      <c r="L52" s="24"/>
      <c r="M52" s="24"/>
      <c r="N52" s="24"/>
      <c r="O52" s="24"/>
      <c r="P52" s="24"/>
      <c r="Q52" s="24"/>
      <c r="R52" s="24"/>
    </row>
    <row r="53" spans="1:18" x14ac:dyDescent="0.35">
      <c r="A53" s="24"/>
      <c r="B53" s="24"/>
      <c r="C53" s="24"/>
      <c r="D53" s="24"/>
      <c r="E53" s="24"/>
      <c r="F53" s="24"/>
      <c r="G53" s="24"/>
      <c r="H53" s="24"/>
      <c r="I53" s="24"/>
      <c r="J53" s="24"/>
      <c r="K53" s="24"/>
      <c r="L53" s="24"/>
      <c r="M53" s="24"/>
      <c r="N53" s="24"/>
      <c r="O53" s="24"/>
      <c r="P53" s="24"/>
      <c r="Q53" s="24"/>
      <c r="R53" s="24"/>
    </row>
    <row r="54" spans="1:18" x14ac:dyDescent="0.35">
      <c r="A54" s="24"/>
      <c r="B54" s="24"/>
      <c r="C54" s="24"/>
      <c r="D54" s="24"/>
      <c r="E54" s="24"/>
      <c r="F54" s="24"/>
      <c r="G54" s="24"/>
      <c r="H54" s="24"/>
      <c r="I54" s="24"/>
      <c r="J54" s="24"/>
      <c r="K54" s="24"/>
      <c r="L54" s="24"/>
      <c r="M54" s="24"/>
      <c r="N54" s="24"/>
      <c r="O54" s="24"/>
      <c r="P54" s="24"/>
      <c r="Q54" s="24"/>
      <c r="R54" s="24"/>
    </row>
    <row r="55" spans="1:18" x14ac:dyDescent="0.35">
      <c r="A55" s="24"/>
      <c r="B55" s="24"/>
      <c r="C55" s="24"/>
      <c r="D55" s="24"/>
      <c r="E55" s="24"/>
      <c r="F55" s="24"/>
      <c r="G55" s="24"/>
      <c r="H55" s="24"/>
      <c r="I55" s="24"/>
      <c r="J55" s="24"/>
      <c r="K55" s="24"/>
      <c r="L55" s="24"/>
      <c r="M55" s="24"/>
      <c r="N55" s="24"/>
      <c r="O55" s="24"/>
      <c r="P55" s="24"/>
      <c r="Q55" s="24"/>
      <c r="R55" s="24"/>
    </row>
    <row r="56" spans="1:18" x14ac:dyDescent="0.35">
      <c r="A56" s="24"/>
      <c r="B56" s="24"/>
      <c r="C56" s="24"/>
      <c r="D56" s="24"/>
      <c r="E56" s="24"/>
      <c r="F56" s="24"/>
      <c r="G56" s="24"/>
      <c r="H56" s="24"/>
      <c r="I56" s="24"/>
      <c r="J56" s="24"/>
      <c r="K56" s="24"/>
      <c r="L56" s="24"/>
      <c r="M56" s="24"/>
      <c r="N56" s="24"/>
      <c r="O56" s="24"/>
      <c r="P56" s="24"/>
      <c r="Q56" s="24"/>
      <c r="R56" s="24"/>
    </row>
    <row r="57" spans="1:18" x14ac:dyDescent="0.35">
      <c r="A57" s="24"/>
      <c r="B57" s="24"/>
      <c r="C57" s="24"/>
      <c r="D57" s="24"/>
      <c r="E57" s="24"/>
      <c r="F57" s="24"/>
      <c r="G57" s="24"/>
      <c r="H57" s="24"/>
      <c r="I57" s="24"/>
      <c r="J57" s="24"/>
      <c r="K57" s="24"/>
      <c r="L57" s="24"/>
      <c r="M57" s="24"/>
      <c r="N57" s="24"/>
      <c r="O57" s="24"/>
      <c r="P57" s="24"/>
      <c r="Q57" s="24"/>
      <c r="R57" s="24"/>
    </row>
    <row r="58" spans="1:18" ht="16" x14ac:dyDescent="0.4">
      <c r="A58" s="24"/>
      <c r="B58" s="56" t="s">
        <v>1292</v>
      </c>
      <c r="C58" s="56"/>
      <c r="D58" s="56"/>
      <c r="E58" s="56"/>
      <c r="F58" s="56"/>
      <c r="G58" s="56"/>
      <c r="H58" s="56"/>
      <c r="I58" s="56"/>
      <c r="J58" s="56"/>
      <c r="K58" s="56"/>
      <c r="L58" s="24"/>
      <c r="M58" s="56" t="s">
        <v>1300</v>
      </c>
      <c r="N58" s="56"/>
      <c r="O58" s="56"/>
      <c r="P58" s="56"/>
      <c r="Q58" s="56"/>
      <c r="R58" s="24"/>
    </row>
    <row r="59" spans="1:18" x14ac:dyDescent="0.35">
      <c r="A59" s="24"/>
      <c r="B59" s="24"/>
      <c r="C59" s="24"/>
      <c r="D59" s="24"/>
      <c r="E59" s="24"/>
      <c r="F59" s="24"/>
      <c r="G59" s="24"/>
      <c r="H59" s="24"/>
      <c r="I59" s="24"/>
      <c r="J59" s="24"/>
      <c r="K59" s="24"/>
      <c r="L59" s="24"/>
      <c r="M59" s="24"/>
      <c r="N59" s="24"/>
      <c r="O59" s="24"/>
      <c r="P59" s="24"/>
      <c r="Q59" s="24"/>
      <c r="R59" s="24"/>
    </row>
    <row r="60" spans="1:18" ht="30" customHeight="1" x14ac:dyDescent="0.35">
      <c r="A60" s="24"/>
      <c r="B60" s="25" t="s">
        <v>1293</v>
      </c>
      <c r="C60" s="25" t="s">
        <v>1217</v>
      </c>
      <c r="D60" s="25" t="s">
        <v>1218</v>
      </c>
      <c r="E60" s="25" t="s">
        <v>1244</v>
      </c>
      <c r="F60" s="25" t="s">
        <v>1294</v>
      </c>
      <c r="G60" s="25" t="s">
        <v>1295</v>
      </c>
      <c r="H60" s="25" t="s">
        <v>1240</v>
      </c>
      <c r="I60" s="25" t="s">
        <v>1296</v>
      </c>
      <c r="J60" s="25" t="s">
        <v>1297</v>
      </c>
      <c r="K60" s="25" t="s">
        <v>1298</v>
      </c>
      <c r="L60" s="24"/>
      <c r="M60" s="25" t="s">
        <v>1267</v>
      </c>
      <c r="N60" s="25" t="s">
        <v>1301</v>
      </c>
      <c r="O60" s="25" t="s">
        <v>1296</v>
      </c>
      <c r="P60" s="25" t="s">
        <v>1297</v>
      </c>
      <c r="Q60" s="25" t="s">
        <v>1302</v>
      </c>
      <c r="R60" s="24"/>
    </row>
    <row r="61" spans="1:18" x14ac:dyDescent="0.35">
      <c r="A61" s="24"/>
      <c r="B61" s="30" t="str">
        <f t="shared" ref="B61:B84" si="1">D61&amp;" "&amp;RIGHT(C61,2)</f>
        <v>Jan 19</v>
      </c>
      <c r="C61" s="38" t="str">
        <f>'MOMP Tables'!$C$3</f>
        <v>2019</v>
      </c>
      <c r="D61" s="38" t="str">
        <f>'MOMP Tables'!B5</f>
        <v>Jan</v>
      </c>
      <c r="E61" s="31">
        <f>'MOMP Tables'!C5</f>
        <v>44</v>
      </c>
      <c r="F61" s="32">
        <f>'MOMP Tables'!D5</f>
        <v>4516614.82</v>
      </c>
      <c r="G61" s="32">
        <f>'MOMP Tables'!F5</f>
        <v>724231.31000000017</v>
      </c>
      <c r="H61" s="33">
        <f>'MOMP Tables'!Q39</f>
        <v>0.160348256130462</v>
      </c>
      <c r="I61" s="32">
        <f>'MOMP Tables'!M21</f>
        <v>102650.33681818182</v>
      </c>
      <c r="J61" s="32">
        <f>'MOMP Tables'!C38</f>
        <v>16459.802500000013</v>
      </c>
      <c r="K61" s="38" t="str">
        <f>'MOMP Tables'!W3</f>
        <v>Average</v>
      </c>
      <c r="L61" s="24"/>
      <c r="M61" s="30" t="str">
        <f>'MOMP Tables'!AE5</f>
        <v>Accessories</v>
      </c>
      <c r="N61" s="31">
        <f>'MOMP Tables'!AN5</f>
        <v>35</v>
      </c>
      <c r="O61" s="32">
        <f>'MOMP Tables'!AP5</f>
        <v>134398.02000000002</v>
      </c>
      <c r="P61" s="32">
        <f>'MOMP Tables'!AQ5</f>
        <v>22397.038</v>
      </c>
      <c r="Q61" s="32">
        <f t="shared" ref="Q61:Q70" si="2">N61*P61</f>
        <v>783896.33000000007</v>
      </c>
      <c r="R61" s="24"/>
    </row>
    <row r="62" spans="1:18" x14ac:dyDescent="0.35">
      <c r="A62" s="24"/>
      <c r="B62" s="34" t="str">
        <f t="shared" si="1"/>
        <v>Feb 19</v>
      </c>
      <c r="C62" s="39" t="str">
        <f>'MOMP Tables'!$C$3</f>
        <v>2019</v>
      </c>
      <c r="D62" s="39" t="str">
        <f>'MOMP Tables'!B6</f>
        <v>Feb</v>
      </c>
      <c r="E62" s="35">
        <f>'MOMP Tables'!C6</f>
        <v>44</v>
      </c>
      <c r="F62" s="36">
        <f>'MOMP Tables'!D6</f>
        <v>2895563.9</v>
      </c>
      <c r="G62" s="36">
        <f>'MOMP Tables'!F6</f>
        <v>493204.89999999997</v>
      </c>
      <c r="H62" s="37">
        <f>'MOMP Tables'!Q40</f>
        <v>0.17033120906086718</v>
      </c>
      <c r="I62" s="36">
        <f>'MOMP Tables'!M22</f>
        <v>65808.270454545447</v>
      </c>
      <c r="J62" s="36">
        <f>'MOMP Tables'!C39</f>
        <v>11209.202272727271</v>
      </c>
      <c r="K62" s="39" t="str">
        <f>'MOMP Tables'!W4</f>
        <v>Average</v>
      </c>
      <c r="L62" s="24"/>
      <c r="M62" s="34" t="str">
        <f>'MOMP Tables'!AE6</f>
        <v>Appliances</v>
      </c>
      <c r="N62" s="35">
        <f>'MOMP Tables'!AN6</f>
        <v>131</v>
      </c>
      <c r="O62" s="36">
        <f>'MOMP Tables'!AP6</f>
        <v>115569.99030534351</v>
      </c>
      <c r="P62" s="36">
        <f>'MOMP Tables'!AQ6</f>
        <v>19350.223969465645</v>
      </c>
      <c r="Q62" s="36">
        <f t="shared" si="2"/>
        <v>2534879.3399999994</v>
      </c>
      <c r="R62" s="24"/>
    </row>
    <row r="63" spans="1:18" x14ac:dyDescent="0.35">
      <c r="A63" s="24"/>
      <c r="B63" s="34" t="str">
        <f t="shared" si="1"/>
        <v>Mar 19</v>
      </c>
      <c r="C63" s="39" t="str">
        <f>'MOMP Tables'!$C$3</f>
        <v>2019</v>
      </c>
      <c r="D63" s="39" t="str">
        <f>'MOMP Tables'!B7</f>
        <v>Mar</v>
      </c>
      <c r="E63" s="35">
        <f>'MOMP Tables'!C7</f>
        <v>41</v>
      </c>
      <c r="F63" s="36">
        <f>'MOMP Tables'!D7</f>
        <v>2521827.9900000002</v>
      </c>
      <c r="G63" s="36">
        <f>'MOMP Tables'!F7</f>
        <v>429420.62000000011</v>
      </c>
      <c r="H63" s="37">
        <f>'MOMP Tables'!Q41</f>
        <v>0.17028148696216194</v>
      </c>
      <c r="I63" s="36">
        <f>'MOMP Tables'!M23</f>
        <v>61507.999756097568</v>
      </c>
      <c r="J63" s="36">
        <f>'MOMP Tables'!C40</f>
        <v>10473.673658536589</v>
      </c>
      <c r="K63" s="39" t="str">
        <f>'MOMP Tables'!W5</f>
        <v>Below Average</v>
      </c>
      <c r="L63" s="24"/>
      <c r="M63" s="34" t="str">
        <f>'MOMP Tables'!AE7</f>
        <v>Beauty</v>
      </c>
      <c r="N63" s="35">
        <f>'MOMP Tables'!AN7</f>
        <v>115</v>
      </c>
      <c r="O63" s="36">
        <f>'MOMP Tables'!AP7</f>
        <v>109296.20765217392</v>
      </c>
      <c r="P63" s="36">
        <f>'MOMP Tables'!AQ7</f>
        <v>18421.108086956516</v>
      </c>
      <c r="Q63" s="36">
        <f t="shared" si="2"/>
        <v>2118427.4299999992</v>
      </c>
      <c r="R63" s="24"/>
    </row>
    <row r="64" spans="1:18" x14ac:dyDescent="0.35">
      <c r="A64" s="24"/>
      <c r="B64" s="34" t="str">
        <f t="shared" si="1"/>
        <v>Apr 19</v>
      </c>
      <c r="C64" s="39" t="str">
        <f>'MOMP Tables'!$C$3</f>
        <v>2019</v>
      </c>
      <c r="D64" s="39" t="str">
        <f>'MOMP Tables'!B8</f>
        <v>Apr</v>
      </c>
      <c r="E64" s="35">
        <f>'MOMP Tables'!C8</f>
        <v>36</v>
      </c>
      <c r="F64" s="36">
        <f>'MOMP Tables'!D8</f>
        <v>4172236.77</v>
      </c>
      <c r="G64" s="36">
        <f>'MOMP Tables'!F8</f>
        <v>692753.62000000011</v>
      </c>
      <c r="H64" s="37">
        <f>'MOMP Tables'!Q42</f>
        <v>0.16603890387553438</v>
      </c>
      <c r="I64" s="36">
        <f>'MOMP Tables'!M24</f>
        <v>115895.46583333334</v>
      </c>
      <c r="J64" s="36">
        <f>'MOMP Tables'!C41</f>
        <v>19243.156111111115</v>
      </c>
      <c r="K64" s="39" t="str">
        <f>'MOMP Tables'!W6</f>
        <v>Average</v>
      </c>
      <c r="L64" s="24"/>
      <c r="M64" s="34" t="str">
        <f>'MOMP Tables'!AE8</f>
        <v>Books</v>
      </c>
      <c r="N64" s="35">
        <f>'MOMP Tables'!AN8</f>
        <v>117</v>
      </c>
      <c r="O64" s="36">
        <f>'MOMP Tables'!AP8</f>
        <v>112649.39230769231</v>
      </c>
      <c r="P64" s="36">
        <f>'MOMP Tables'!AQ8</f>
        <v>19024.904957264953</v>
      </c>
      <c r="Q64" s="36">
        <f t="shared" si="2"/>
        <v>2225913.8799999994</v>
      </c>
      <c r="R64" s="24"/>
    </row>
    <row r="65" spans="1:18" x14ac:dyDescent="0.35">
      <c r="A65" s="24"/>
      <c r="B65" s="34" t="str">
        <f t="shared" si="1"/>
        <v>May 19</v>
      </c>
      <c r="C65" s="39" t="str">
        <f>'MOMP Tables'!$C$3</f>
        <v>2019</v>
      </c>
      <c r="D65" s="39" t="str">
        <f>'MOMP Tables'!B9</f>
        <v>May</v>
      </c>
      <c r="E65" s="35">
        <f>'MOMP Tables'!C9</f>
        <v>38</v>
      </c>
      <c r="F65" s="36">
        <f>'MOMP Tables'!D9</f>
        <v>3825681.97</v>
      </c>
      <c r="G65" s="36">
        <f>'MOMP Tables'!F9</f>
        <v>648258.29999999993</v>
      </c>
      <c r="H65" s="37">
        <f>'MOMP Tables'!Q43</f>
        <v>0.16944908256448726</v>
      </c>
      <c r="I65" s="36">
        <f>'MOMP Tables'!M25</f>
        <v>100675.84131578948</v>
      </c>
      <c r="J65" s="36">
        <f>'MOMP Tables'!C42</f>
        <v>17059.428947368429</v>
      </c>
      <c r="K65" s="39" t="str">
        <f>'MOMP Tables'!W7</f>
        <v>Average</v>
      </c>
      <c r="L65" s="24"/>
      <c r="M65" s="34" t="str">
        <f>'MOMP Tables'!AE9</f>
        <v>Clothing</v>
      </c>
      <c r="N65" s="35">
        <f>'MOMP Tables'!AN9</f>
        <v>155</v>
      </c>
      <c r="O65" s="36">
        <f>'MOMP Tables'!AP9</f>
        <v>113946.33632258064</v>
      </c>
      <c r="P65" s="36">
        <f>'MOMP Tables'!AQ9</f>
        <v>18980.245741935491</v>
      </c>
      <c r="Q65" s="36">
        <f t="shared" si="2"/>
        <v>2941938.0900000012</v>
      </c>
      <c r="R65" s="24"/>
    </row>
    <row r="66" spans="1:18" x14ac:dyDescent="0.35">
      <c r="A66" s="24"/>
      <c r="B66" s="34" t="str">
        <f t="shared" si="1"/>
        <v>Jun 19</v>
      </c>
      <c r="C66" s="39" t="str">
        <f>'MOMP Tables'!$C$3</f>
        <v>2019</v>
      </c>
      <c r="D66" s="39" t="str">
        <f>'MOMP Tables'!B10</f>
        <v>Jun</v>
      </c>
      <c r="E66" s="35">
        <f>'MOMP Tables'!C10</f>
        <v>47</v>
      </c>
      <c r="F66" s="36">
        <f>'MOMP Tables'!D10</f>
        <v>7692234.9000000004</v>
      </c>
      <c r="G66" s="36">
        <f>'MOMP Tables'!F10</f>
        <v>1305278.3700000003</v>
      </c>
      <c r="H66" s="37">
        <f>'MOMP Tables'!Q44</f>
        <v>0.16968779385559327</v>
      </c>
      <c r="I66" s="36">
        <f>'MOMP Tables'!M26</f>
        <v>163664.57234042554</v>
      </c>
      <c r="J66" s="36">
        <f>'MOMP Tables'!C43</f>
        <v>27771.880212765958</v>
      </c>
      <c r="K66" s="39" t="str">
        <f>'MOMP Tables'!W8</f>
        <v>Above Average</v>
      </c>
      <c r="L66" s="24"/>
      <c r="M66" s="34" t="str">
        <f>'MOMP Tables'!AE10</f>
        <v>Electronics</v>
      </c>
      <c r="N66" s="35">
        <f>'MOMP Tables'!AN10</f>
        <v>134</v>
      </c>
      <c r="O66" s="36">
        <f>'MOMP Tables'!AP10</f>
        <v>108075.20611940298</v>
      </c>
      <c r="P66" s="36">
        <f>'MOMP Tables'!AQ10</f>
        <v>17918.902985074623</v>
      </c>
      <c r="Q66" s="36">
        <f t="shared" si="2"/>
        <v>2401132.9999999995</v>
      </c>
      <c r="R66" s="24"/>
    </row>
    <row r="67" spans="1:18" x14ac:dyDescent="0.35">
      <c r="A67" s="24"/>
      <c r="B67" s="34" t="str">
        <f t="shared" si="1"/>
        <v>Jul 19</v>
      </c>
      <c r="C67" s="39" t="str">
        <f>'MOMP Tables'!$C$3</f>
        <v>2019</v>
      </c>
      <c r="D67" s="39" t="str">
        <f>'MOMP Tables'!B11</f>
        <v>Jul</v>
      </c>
      <c r="E67" s="35">
        <f>'MOMP Tables'!C11</f>
        <v>40</v>
      </c>
      <c r="F67" s="36">
        <f>'MOMP Tables'!D11</f>
        <v>6638609.21</v>
      </c>
      <c r="G67" s="36">
        <f>'MOMP Tables'!F11</f>
        <v>1084227.4100000001</v>
      </c>
      <c r="H67" s="37">
        <f>'MOMP Tables'!Q45</f>
        <v>0.16332146925696206</v>
      </c>
      <c r="I67" s="36">
        <f>'MOMP Tables'!M27</f>
        <v>165965.23024999999</v>
      </c>
      <c r="J67" s="36">
        <f>'MOMP Tables'!C44</f>
        <v>27105.685250000002</v>
      </c>
      <c r="K67" s="39" t="str">
        <f>'MOMP Tables'!W9</f>
        <v>Average</v>
      </c>
      <c r="L67" s="24"/>
      <c r="M67" s="34" t="str">
        <f>'MOMP Tables'!AE11</f>
        <v>Games</v>
      </c>
      <c r="N67" s="35">
        <f>'MOMP Tables'!AN11</f>
        <v>139</v>
      </c>
      <c r="O67" s="36">
        <f>'MOMP Tables'!AP11</f>
        <v>110227.50683453237</v>
      </c>
      <c r="P67" s="36">
        <f>'MOMP Tables'!AQ11</f>
        <v>18415.796906474825</v>
      </c>
      <c r="Q67" s="36">
        <f t="shared" si="2"/>
        <v>2559795.7700000005</v>
      </c>
      <c r="R67" s="24"/>
    </row>
    <row r="68" spans="1:18" x14ac:dyDescent="0.35">
      <c r="A68" s="24"/>
      <c r="B68" s="34" t="str">
        <f t="shared" si="1"/>
        <v>Aug 19</v>
      </c>
      <c r="C68" s="39" t="str">
        <f>'MOMP Tables'!$C$3</f>
        <v>2019</v>
      </c>
      <c r="D68" s="39" t="str">
        <f>'MOMP Tables'!B12</f>
        <v>Aug</v>
      </c>
      <c r="E68" s="35">
        <f>'MOMP Tables'!C12</f>
        <v>31</v>
      </c>
      <c r="F68" s="36">
        <f>'MOMP Tables'!D12</f>
        <v>3437450.14</v>
      </c>
      <c r="G68" s="36">
        <f>'MOMP Tables'!F12</f>
        <v>580316.11999999976</v>
      </c>
      <c r="H68" s="37">
        <f>'MOMP Tables'!Q46</f>
        <v>0.1688216836215696</v>
      </c>
      <c r="I68" s="36">
        <f>'MOMP Tables'!M28</f>
        <v>110885.48838709678</v>
      </c>
      <c r="J68" s="36">
        <f>'MOMP Tables'!C45</f>
        <v>18719.874838709682</v>
      </c>
      <c r="K68" s="39" t="str">
        <f>'MOMP Tables'!W10</f>
        <v>Average</v>
      </c>
      <c r="L68" s="24"/>
      <c r="M68" s="34" t="str">
        <f>'MOMP Tables'!AE12</f>
        <v>Other</v>
      </c>
      <c r="N68" s="35">
        <f>'MOMP Tables'!AN12</f>
        <v>29</v>
      </c>
      <c r="O68" s="36">
        <f>'MOMP Tables'!AP12</f>
        <v>112516.66206896552</v>
      </c>
      <c r="P68" s="36">
        <f>'MOMP Tables'!AQ12</f>
        <v>18932.196896551723</v>
      </c>
      <c r="Q68" s="36">
        <f t="shared" si="2"/>
        <v>549033.71</v>
      </c>
      <c r="R68" s="24"/>
    </row>
    <row r="69" spans="1:18" x14ac:dyDescent="0.35">
      <c r="A69" s="24"/>
      <c r="B69" s="34" t="str">
        <f t="shared" si="1"/>
        <v>Sep 19</v>
      </c>
      <c r="C69" s="39" t="str">
        <f>'MOMP Tables'!$C$3</f>
        <v>2019</v>
      </c>
      <c r="D69" s="39" t="str">
        <f>'MOMP Tables'!B13</f>
        <v>Sep</v>
      </c>
      <c r="E69" s="35">
        <f>'MOMP Tables'!C13</f>
        <v>49</v>
      </c>
      <c r="F69" s="36">
        <f>'MOMP Tables'!D13</f>
        <v>4870060.55</v>
      </c>
      <c r="G69" s="36">
        <f>'MOMP Tables'!F13</f>
        <v>788191.58000000007</v>
      </c>
      <c r="H69" s="37">
        <f>'MOMP Tables'!Q47</f>
        <v>0.16184430807538924</v>
      </c>
      <c r="I69" s="36">
        <f>'MOMP Tables'!M29</f>
        <v>99388.990816326521</v>
      </c>
      <c r="J69" s="36">
        <f>'MOMP Tables'!C46</f>
        <v>16085.542448979584</v>
      </c>
      <c r="K69" s="39" t="str">
        <f>'MOMP Tables'!W11</f>
        <v>Average</v>
      </c>
      <c r="L69" s="24"/>
      <c r="M69" s="34" t="str">
        <f>'MOMP Tables'!AE13</f>
        <v>Outdoors</v>
      </c>
      <c r="N69" s="35">
        <f>'MOMP Tables'!AN13</f>
        <v>50</v>
      </c>
      <c r="O69" s="36">
        <f>'MOMP Tables'!AP13</f>
        <v>118781.50880000001</v>
      </c>
      <c r="P69" s="36">
        <f>'MOMP Tables'!AQ13</f>
        <v>21135.250199999995</v>
      </c>
      <c r="Q69" s="36">
        <f t="shared" si="2"/>
        <v>1056762.5099999998</v>
      </c>
      <c r="R69" s="24"/>
    </row>
    <row r="70" spans="1:18" x14ac:dyDescent="0.35">
      <c r="A70" s="24"/>
      <c r="B70" s="34" t="str">
        <f t="shared" si="1"/>
        <v>Oct 19</v>
      </c>
      <c r="C70" s="39" t="str">
        <f>'MOMP Tables'!$C$3</f>
        <v>2019</v>
      </c>
      <c r="D70" s="39" t="str">
        <f>'MOMP Tables'!B14</f>
        <v>Oct</v>
      </c>
      <c r="E70" s="35">
        <f>'MOMP Tables'!C14</f>
        <v>43</v>
      </c>
      <c r="F70" s="36">
        <f>'MOMP Tables'!D14</f>
        <v>4372149.55</v>
      </c>
      <c r="G70" s="36">
        <f>'MOMP Tables'!F14</f>
        <v>744434.48</v>
      </c>
      <c r="H70" s="37">
        <f>'MOMP Tables'!Q48</f>
        <v>0.17026738712540151</v>
      </c>
      <c r="I70" s="36">
        <f>'MOMP Tables'!M30</f>
        <v>101677.8965116279</v>
      </c>
      <c r="J70" s="36">
        <f>'MOMP Tables'!C47</f>
        <v>17312.429767441859</v>
      </c>
      <c r="K70" s="39" t="str">
        <f>'MOMP Tables'!W12</f>
        <v>Average</v>
      </c>
      <c r="L70" s="24"/>
      <c r="M70" s="34" t="str">
        <f>'MOMP Tables'!AE14</f>
        <v>Smartphones</v>
      </c>
      <c r="N70" s="35">
        <f>'MOMP Tables'!AN14</f>
        <v>95</v>
      </c>
      <c r="O70" s="36">
        <f>'MOMP Tables'!AP14</f>
        <v>116859.5227368421</v>
      </c>
      <c r="P70" s="36">
        <f>'MOMP Tables'!AQ14</f>
        <v>19164.712210526308</v>
      </c>
      <c r="Q70" s="36">
        <f t="shared" si="2"/>
        <v>1820647.6599999992</v>
      </c>
      <c r="R70" s="24"/>
    </row>
    <row r="71" spans="1:18" ht="15" thickBot="1" x14ac:dyDescent="0.4">
      <c r="A71" s="24"/>
      <c r="B71" s="34" t="str">
        <f t="shared" si="1"/>
        <v>Nov 19</v>
      </c>
      <c r="C71" s="39" t="str">
        <f>'MOMP Tables'!$C$3</f>
        <v>2019</v>
      </c>
      <c r="D71" s="39" t="str">
        <f>'MOMP Tables'!B15</f>
        <v>Nov</v>
      </c>
      <c r="E71" s="35">
        <f>'MOMP Tables'!C15</f>
        <v>33</v>
      </c>
      <c r="F71" s="36">
        <f>'MOMP Tables'!D15</f>
        <v>2961318.57</v>
      </c>
      <c r="G71" s="36">
        <f>'MOMP Tables'!F15</f>
        <v>482287.62000000011</v>
      </c>
      <c r="H71" s="37">
        <f>'MOMP Tables'!Q49</f>
        <v>0.16286245758422394</v>
      </c>
      <c r="I71" s="36">
        <f>'MOMP Tables'!M31</f>
        <v>89736.926363636361</v>
      </c>
      <c r="J71" s="36">
        <f>'MOMP Tables'!C48</f>
        <v>14614.776363636352</v>
      </c>
      <c r="K71" s="39" t="str">
        <f>'MOMP Tables'!W13</f>
        <v>Average</v>
      </c>
      <c r="L71" s="24"/>
      <c r="M71" s="26" t="s">
        <v>1257</v>
      </c>
      <c r="N71" s="27">
        <f>SUM(N61:N70)</f>
        <v>1000</v>
      </c>
      <c r="O71" s="28">
        <f>'MOMP Tables'!AP15</f>
        <v>113361.73870999999</v>
      </c>
      <c r="P71" s="28">
        <f>'MOMP Tables'!AQ15</f>
        <v>18992.427720000003</v>
      </c>
      <c r="Q71" s="28">
        <f>SUM(Q61:Q70)</f>
        <v>18992427.720000003</v>
      </c>
      <c r="R71" s="24"/>
    </row>
    <row r="72" spans="1:18" ht="15" thickTop="1" x14ac:dyDescent="0.35">
      <c r="A72" s="24"/>
      <c r="B72" s="34" t="str">
        <f t="shared" si="1"/>
        <v>Dec 19</v>
      </c>
      <c r="C72" s="39" t="str">
        <f>'MOMP Tables'!$C$3</f>
        <v>2019</v>
      </c>
      <c r="D72" s="39" t="str">
        <f>'MOMP Tables'!B16</f>
        <v>Dec</v>
      </c>
      <c r="E72" s="35">
        <f>'MOMP Tables'!C16</f>
        <v>44</v>
      </c>
      <c r="F72" s="36">
        <f>'MOMP Tables'!D16</f>
        <v>8713776.0299999993</v>
      </c>
      <c r="G72" s="36">
        <f>'MOMP Tables'!F16</f>
        <v>1514673.56</v>
      </c>
      <c r="H72" s="37">
        <f>'MOMP Tables'!Q50</f>
        <v>0.17382516543749171</v>
      </c>
      <c r="I72" s="36">
        <f>'MOMP Tables'!M32</f>
        <v>198040.36431818179</v>
      </c>
      <c r="J72" s="36">
        <f>'MOMP Tables'!C49</f>
        <v>34424.399090909079</v>
      </c>
      <c r="K72" s="39" t="str">
        <f>'MOMP Tables'!W14</f>
        <v>Above Average</v>
      </c>
      <c r="L72" s="24"/>
      <c r="M72" s="24"/>
      <c r="N72" s="24"/>
      <c r="O72" s="24"/>
      <c r="P72" s="24"/>
      <c r="Q72" s="24"/>
      <c r="R72" s="24"/>
    </row>
    <row r="73" spans="1:18" x14ac:dyDescent="0.35">
      <c r="A73" s="24"/>
      <c r="B73" s="34" t="str">
        <f t="shared" si="1"/>
        <v>Jan 20</v>
      </c>
      <c r="C73" s="39" t="str">
        <f>'MOMP Tables'!$G$3</f>
        <v>2020</v>
      </c>
      <c r="D73" s="39" t="str">
        <f>'MOMP Tables'!B5</f>
        <v>Jan</v>
      </c>
      <c r="E73" s="35">
        <f>'MOMP Tables'!G5</f>
        <v>51</v>
      </c>
      <c r="F73" s="36">
        <f>'MOMP Tables'!H5</f>
        <v>5215699.83</v>
      </c>
      <c r="G73" s="36">
        <f>'MOMP Tables'!J5</f>
        <v>924639.02</v>
      </c>
      <c r="H73" s="37">
        <f>'MOMP Tables'!R39</f>
        <v>0.17727995286109102</v>
      </c>
      <c r="I73" s="36">
        <f>'MOMP Tables'!N21</f>
        <v>102268.62411764706</v>
      </c>
      <c r="J73" s="36">
        <f>'MOMP Tables'!D38</f>
        <v>18130.176862745109</v>
      </c>
      <c r="K73" s="39" t="str">
        <f>'MOMP Tables'!X3</f>
        <v>Average</v>
      </c>
      <c r="L73" s="24"/>
      <c r="M73" s="46" t="str">
        <f>"Correlation – category sales count vs avg profit/sale: "&amp;TEXT(CORREL(N61:N70,P61:P70),"0.00")</f>
        <v>Correlation – category sales count vs avg profit/sale: -0.68</v>
      </c>
      <c r="N73" s="47"/>
      <c r="O73" s="47"/>
      <c r="P73" s="47"/>
      <c r="Q73" s="47"/>
      <c r="R73" s="24"/>
    </row>
    <row r="74" spans="1:18" x14ac:dyDescent="0.35">
      <c r="A74" s="24"/>
      <c r="B74" s="34" t="str">
        <f t="shared" si="1"/>
        <v>Feb 20</v>
      </c>
      <c r="C74" s="39" t="str">
        <f>'MOMP Tables'!$G$3</f>
        <v>2020</v>
      </c>
      <c r="D74" s="39" t="str">
        <f>'MOMP Tables'!B6</f>
        <v>Feb</v>
      </c>
      <c r="E74" s="35">
        <f>'MOMP Tables'!G6</f>
        <v>28</v>
      </c>
      <c r="F74" s="36">
        <f>'MOMP Tables'!H6</f>
        <v>1959413</v>
      </c>
      <c r="G74" s="36">
        <f>'MOMP Tables'!J6</f>
        <v>315750.50999999995</v>
      </c>
      <c r="H74" s="37">
        <f>'MOMP Tables'!R40</f>
        <v>0.1611454604006404</v>
      </c>
      <c r="I74" s="36">
        <f>'MOMP Tables'!N22</f>
        <v>69979.03571428571</v>
      </c>
      <c r="J74" s="36">
        <f>'MOMP Tables'!D39</f>
        <v>11276.803928571429</v>
      </c>
      <c r="K74" s="39" t="str">
        <f>'MOMP Tables'!X4</f>
        <v>Below Average</v>
      </c>
      <c r="L74" s="24"/>
      <c r="M74" s="46" t="str">
        <f>"Correlation – category AOV vs avg profit/sale: "&amp;TEXT(CORREL(O61:O70,P61:P70),"0.00")</f>
        <v>Correlation – category AOV vs avg profit/sale: 0.95</v>
      </c>
      <c r="N74" s="47"/>
      <c r="O74" s="47"/>
      <c r="P74" s="47"/>
      <c r="Q74" s="47"/>
      <c r="R74" s="24"/>
    </row>
    <row r="75" spans="1:18" x14ac:dyDescent="0.35">
      <c r="A75" s="24"/>
      <c r="B75" s="34" t="str">
        <f t="shared" si="1"/>
        <v>Mar 20</v>
      </c>
      <c r="C75" s="39" t="str">
        <f>'MOMP Tables'!$G$3</f>
        <v>2020</v>
      </c>
      <c r="D75" s="39" t="str">
        <f>'MOMP Tables'!B7</f>
        <v>Mar</v>
      </c>
      <c r="E75" s="35">
        <f>'MOMP Tables'!G7</f>
        <v>52</v>
      </c>
      <c r="F75" s="36">
        <f>'MOMP Tables'!H7</f>
        <v>3579943.84</v>
      </c>
      <c r="G75" s="36">
        <f>'MOMP Tables'!J7</f>
        <v>596343.76999999979</v>
      </c>
      <c r="H75" s="37">
        <f>'MOMP Tables'!R41</f>
        <v>0.16657908521827539</v>
      </c>
      <c r="I75" s="36">
        <f>'MOMP Tables'!N23</f>
        <v>68845.073846153842</v>
      </c>
      <c r="J75" s="36">
        <f>'MOMP Tables'!D40</f>
        <v>11468.149423076924</v>
      </c>
      <c r="K75" s="39" t="str">
        <f>'MOMP Tables'!X5</f>
        <v>Average</v>
      </c>
      <c r="L75" s="24"/>
      <c r="M75" s="24"/>
      <c r="N75" s="24"/>
      <c r="O75" s="24"/>
      <c r="P75" s="24"/>
      <c r="Q75" s="24"/>
      <c r="R75" s="24"/>
    </row>
    <row r="76" spans="1:18" x14ac:dyDescent="0.35">
      <c r="A76" s="24"/>
      <c r="B76" s="34" t="str">
        <f t="shared" si="1"/>
        <v>Apr 20</v>
      </c>
      <c r="C76" s="39" t="str">
        <f>'MOMP Tables'!$G$3</f>
        <v>2020</v>
      </c>
      <c r="D76" s="39" t="str">
        <f>'MOMP Tables'!B8</f>
        <v>Apr</v>
      </c>
      <c r="E76" s="35">
        <f>'MOMP Tables'!G8</f>
        <v>38</v>
      </c>
      <c r="F76" s="36">
        <f>'MOMP Tables'!H8</f>
        <v>4069097.78</v>
      </c>
      <c r="G76" s="36">
        <f>'MOMP Tables'!J8</f>
        <v>696219.45999999985</v>
      </c>
      <c r="H76" s="37">
        <f>'MOMP Tables'!R42</f>
        <v>0.17109922091869711</v>
      </c>
      <c r="I76" s="36">
        <f>'MOMP Tables'!N24</f>
        <v>107081.52052631578</v>
      </c>
      <c r="J76" s="36">
        <f>'MOMP Tables'!D41</f>
        <v>18321.564736842105</v>
      </c>
      <c r="K76" s="39" t="str">
        <f>'MOMP Tables'!X6</f>
        <v>Average</v>
      </c>
      <c r="L76" s="24"/>
      <c r="M76" s="24"/>
      <c r="N76" s="24"/>
      <c r="O76" s="24"/>
      <c r="P76" s="24"/>
      <c r="Q76" s="24"/>
      <c r="R76" s="24"/>
    </row>
    <row r="77" spans="1:18" x14ac:dyDescent="0.35">
      <c r="A77" s="24"/>
      <c r="B77" s="34" t="str">
        <f t="shared" si="1"/>
        <v>May 20</v>
      </c>
      <c r="C77" s="39" t="str">
        <f>'MOMP Tables'!$G$3</f>
        <v>2020</v>
      </c>
      <c r="D77" s="39" t="str">
        <f>'MOMP Tables'!B9</f>
        <v>May</v>
      </c>
      <c r="E77" s="35">
        <f>'MOMP Tables'!G9</f>
        <v>55</v>
      </c>
      <c r="F77" s="36">
        <f>'MOMP Tables'!H9</f>
        <v>5537943.7699999996</v>
      </c>
      <c r="G77" s="36">
        <f>'MOMP Tables'!J9</f>
        <v>914851.65000000026</v>
      </c>
      <c r="H77" s="37">
        <f>'MOMP Tables'!R43</f>
        <v>0.16519699151802683</v>
      </c>
      <c r="I77" s="36">
        <f>'MOMP Tables'!N25</f>
        <v>100689.88672727272</v>
      </c>
      <c r="J77" s="36">
        <f>'MOMP Tables'!D42</f>
        <v>16633.666363636352</v>
      </c>
      <c r="K77" s="39" t="str">
        <f>'MOMP Tables'!X7</f>
        <v>Average</v>
      </c>
      <c r="L77" s="24"/>
      <c r="M77" s="24"/>
      <c r="N77" s="24"/>
      <c r="O77" s="24"/>
      <c r="P77" s="24"/>
      <c r="Q77" s="24"/>
      <c r="R77" s="24"/>
    </row>
    <row r="78" spans="1:18" x14ac:dyDescent="0.35">
      <c r="A78" s="24"/>
      <c r="B78" s="34" t="str">
        <f t="shared" si="1"/>
        <v>Jun 20</v>
      </c>
      <c r="C78" s="39" t="str">
        <f>'MOMP Tables'!$G$3</f>
        <v>2020</v>
      </c>
      <c r="D78" s="39" t="str">
        <f>'MOMP Tables'!B10</f>
        <v>Jun</v>
      </c>
      <c r="E78" s="35">
        <f>'MOMP Tables'!G10</f>
        <v>43</v>
      </c>
      <c r="F78" s="36">
        <f>'MOMP Tables'!H10</f>
        <v>7158137.8600000003</v>
      </c>
      <c r="G78" s="36">
        <f>'MOMP Tables'!J10</f>
        <v>1187044.47</v>
      </c>
      <c r="H78" s="37">
        <f>'MOMP Tables'!R44</f>
        <v>0.16583146248597128</v>
      </c>
      <c r="I78" s="36">
        <f>'MOMP Tables'!N26</f>
        <v>166468.32232558139</v>
      </c>
      <c r="J78" s="36">
        <f>'MOMP Tables'!D43</f>
        <v>27605.685348837225</v>
      </c>
      <c r="K78" s="39" t="str">
        <f>'MOMP Tables'!X8</f>
        <v>Above Average</v>
      </c>
      <c r="L78" s="24"/>
      <c r="M78" s="24"/>
      <c r="N78" s="24"/>
      <c r="O78" s="24"/>
      <c r="P78" s="24"/>
      <c r="Q78" s="24"/>
      <c r="R78" s="24"/>
    </row>
    <row r="79" spans="1:18" x14ac:dyDescent="0.35">
      <c r="A79" s="24"/>
      <c r="B79" s="34" t="str">
        <f t="shared" si="1"/>
        <v>Jul 20</v>
      </c>
      <c r="C79" s="39" t="str">
        <f>'MOMP Tables'!$G$3</f>
        <v>2020</v>
      </c>
      <c r="D79" s="39" t="str">
        <f>'MOMP Tables'!B11</f>
        <v>Jul</v>
      </c>
      <c r="E79" s="35">
        <f>'MOMP Tables'!G11</f>
        <v>36</v>
      </c>
      <c r="F79" s="36">
        <f>'MOMP Tables'!H11</f>
        <v>5242556.46</v>
      </c>
      <c r="G79" s="36">
        <f>'MOMP Tables'!J11</f>
        <v>839989.3899999999</v>
      </c>
      <c r="H79" s="37">
        <f>'MOMP Tables'!R45</f>
        <v>0.16022514901060306</v>
      </c>
      <c r="I79" s="36">
        <f>'MOMP Tables'!N27</f>
        <v>145626.56833333333</v>
      </c>
      <c r="J79" s="36">
        <f>'MOMP Tables'!D44</f>
        <v>23333.0386111111</v>
      </c>
      <c r="K79" s="39" t="str">
        <f>'MOMP Tables'!X9</f>
        <v>Average</v>
      </c>
      <c r="L79" s="24"/>
      <c r="M79" s="24"/>
      <c r="N79" s="24"/>
      <c r="O79" s="24"/>
      <c r="P79" s="24"/>
      <c r="Q79" s="24"/>
      <c r="R79" s="24"/>
    </row>
    <row r="80" spans="1:18" x14ac:dyDescent="0.35">
      <c r="A80" s="24"/>
      <c r="B80" s="34" t="str">
        <f t="shared" si="1"/>
        <v>Aug 20</v>
      </c>
      <c r="C80" s="39" t="str">
        <f>'MOMP Tables'!$G$3</f>
        <v>2020</v>
      </c>
      <c r="D80" s="39" t="str">
        <f>'MOMP Tables'!B12</f>
        <v>Aug</v>
      </c>
      <c r="E80" s="35">
        <f>'MOMP Tables'!G12</f>
        <v>45</v>
      </c>
      <c r="F80" s="36">
        <f>'MOMP Tables'!H12</f>
        <v>4714525.21</v>
      </c>
      <c r="G80" s="36">
        <f>'MOMP Tables'!J12</f>
        <v>768976.3600000001</v>
      </c>
      <c r="H80" s="37">
        <f>'MOMP Tables'!R46</f>
        <v>0.16310791134787461</v>
      </c>
      <c r="I80" s="36">
        <f>'MOMP Tables'!N28</f>
        <v>104767.22688888889</v>
      </c>
      <c r="J80" s="36">
        <f>'MOMP Tables'!D45</f>
        <v>17088.363555555552</v>
      </c>
      <c r="K80" s="39" t="str">
        <f>'MOMP Tables'!X10</f>
        <v>Average</v>
      </c>
      <c r="L80" s="24"/>
      <c r="M80" s="24"/>
      <c r="N80" s="24"/>
      <c r="O80" s="24"/>
      <c r="P80" s="24"/>
      <c r="Q80" s="24"/>
      <c r="R80" s="24"/>
    </row>
    <row r="81" spans="1:18" x14ac:dyDescent="0.35">
      <c r="A81" s="24"/>
      <c r="B81" s="34" t="str">
        <f t="shared" si="1"/>
        <v>Sep 20</v>
      </c>
      <c r="C81" s="39" t="str">
        <f>'MOMP Tables'!$G$3</f>
        <v>2020</v>
      </c>
      <c r="D81" s="39" t="str">
        <f>'MOMP Tables'!B13</f>
        <v>Sep</v>
      </c>
      <c r="E81" s="35">
        <f>'MOMP Tables'!G13</f>
        <v>34</v>
      </c>
      <c r="F81" s="36">
        <f>'MOMP Tables'!H13</f>
        <v>3778141.37</v>
      </c>
      <c r="G81" s="36">
        <f>'MOMP Tables'!J13</f>
        <v>663167.65</v>
      </c>
      <c r="H81" s="37">
        <f>'MOMP Tables'!R47</f>
        <v>0.17552748429845014</v>
      </c>
      <c r="I81" s="36">
        <f>'MOMP Tables'!N29</f>
        <v>111121.80500000001</v>
      </c>
      <c r="J81" s="36">
        <f>'MOMP Tables'!D46</f>
        <v>19504.930882352939</v>
      </c>
      <c r="K81" s="39" t="str">
        <f>'MOMP Tables'!X11</f>
        <v>Average</v>
      </c>
      <c r="L81" s="24"/>
      <c r="M81" s="24"/>
      <c r="N81" s="24"/>
      <c r="O81" s="24"/>
      <c r="P81" s="24"/>
      <c r="Q81" s="24"/>
      <c r="R81" s="24"/>
    </row>
    <row r="82" spans="1:18" x14ac:dyDescent="0.35">
      <c r="A82" s="24"/>
      <c r="B82" s="34" t="str">
        <f t="shared" si="1"/>
        <v>Oct 20</v>
      </c>
      <c r="C82" s="39" t="str">
        <f>'MOMP Tables'!$G$3</f>
        <v>2020</v>
      </c>
      <c r="D82" s="39" t="str">
        <f>'MOMP Tables'!B14</f>
        <v>Oct</v>
      </c>
      <c r="E82" s="35">
        <f>'MOMP Tables'!G14</f>
        <v>50</v>
      </c>
      <c r="F82" s="36">
        <f>'MOMP Tables'!H14</f>
        <v>4869726.8499999996</v>
      </c>
      <c r="G82" s="36">
        <f>'MOMP Tables'!J14</f>
        <v>839700.96000000008</v>
      </c>
      <c r="H82" s="37">
        <f>'MOMP Tables'!R48</f>
        <v>0.17243286653747317</v>
      </c>
      <c r="I82" s="36">
        <f>'MOMP Tables'!N30</f>
        <v>97394.536999999997</v>
      </c>
      <c r="J82" s="36">
        <f>'MOMP Tables'!D47</f>
        <v>16794.019199999992</v>
      </c>
      <c r="K82" s="39" t="str">
        <f>'MOMP Tables'!X12</f>
        <v>Average</v>
      </c>
      <c r="L82" s="24"/>
      <c r="M82" s="24"/>
      <c r="N82" s="24"/>
      <c r="O82" s="24"/>
      <c r="P82" s="24"/>
      <c r="Q82" s="24"/>
      <c r="R82" s="24"/>
    </row>
    <row r="83" spans="1:18" x14ac:dyDescent="0.35">
      <c r="A83" s="24"/>
      <c r="B83" s="34" t="str">
        <f t="shared" si="1"/>
        <v>Nov 20</v>
      </c>
      <c r="C83" s="39" t="str">
        <f>'MOMP Tables'!$G$3</f>
        <v>2020</v>
      </c>
      <c r="D83" s="39" t="str">
        <f>'MOMP Tables'!B15</f>
        <v>Nov</v>
      </c>
      <c r="E83" s="35">
        <f>'MOMP Tables'!G15</f>
        <v>45</v>
      </c>
      <c r="F83" s="36">
        <f>'MOMP Tables'!H15</f>
        <v>4734730.08</v>
      </c>
      <c r="G83" s="36">
        <f>'MOMP Tables'!J15</f>
        <v>787670.37000000011</v>
      </c>
      <c r="H83" s="37">
        <f>'MOMP Tables'!R49</f>
        <v>0.16636014232938071</v>
      </c>
      <c r="I83" s="36">
        <f>'MOMP Tables'!N31</f>
        <v>105216.224</v>
      </c>
      <c r="J83" s="36">
        <f>'MOMP Tables'!D48</f>
        <v>17503.786000000004</v>
      </c>
      <c r="K83" s="39" t="str">
        <f>'MOMP Tables'!X13</f>
        <v>Average</v>
      </c>
      <c r="L83" s="24"/>
      <c r="M83" s="24"/>
      <c r="N83" s="24"/>
      <c r="O83" s="24"/>
      <c r="P83" s="24"/>
      <c r="Q83" s="24"/>
      <c r="R83" s="24"/>
    </row>
    <row r="84" spans="1:18" x14ac:dyDescent="0.35">
      <c r="A84" s="24"/>
      <c r="B84" s="34" t="str">
        <f t="shared" si="1"/>
        <v>Dec 20</v>
      </c>
      <c r="C84" s="39" t="str">
        <f>'MOMP Tables'!$G$3</f>
        <v>2020</v>
      </c>
      <c r="D84" s="39" t="str">
        <f>'MOMP Tables'!B16</f>
        <v>Dec</v>
      </c>
      <c r="E84" s="35">
        <f>'MOMP Tables'!G16</f>
        <v>33</v>
      </c>
      <c r="F84" s="36">
        <f>'MOMP Tables'!H16</f>
        <v>5884298.2599999998</v>
      </c>
      <c r="G84" s="36">
        <f>'MOMP Tables'!J16</f>
        <v>970796.21999999974</v>
      </c>
      <c r="H84" s="37">
        <f>'MOMP Tables'!R50</f>
        <v>0.16498079755732839</v>
      </c>
      <c r="I84" s="36">
        <f>'MOMP Tables'!N32</f>
        <v>178312.06848484848</v>
      </c>
      <c r="J84" s="36">
        <f>'MOMP Tables'!D49</f>
        <v>29418.067272727265</v>
      </c>
      <c r="K84" s="39" t="str">
        <f>'MOMP Tables'!X14</f>
        <v>Average</v>
      </c>
      <c r="L84" s="24"/>
      <c r="M84" s="24"/>
      <c r="N84" s="24"/>
      <c r="O84" s="24"/>
      <c r="P84" s="24"/>
      <c r="Q84" s="24"/>
      <c r="R84" s="24"/>
    </row>
    <row r="85" spans="1:18" ht="15" thickBot="1" x14ac:dyDescent="0.4">
      <c r="A85" s="24"/>
      <c r="B85" s="26" t="s">
        <v>1299</v>
      </c>
      <c r="C85" s="26"/>
      <c r="D85" s="26"/>
      <c r="E85" s="27">
        <f>SUM(E61:E84)</f>
        <v>1000</v>
      </c>
      <c r="F85" s="28">
        <f>SUM(F61:F84)</f>
        <v>113361738.70999998</v>
      </c>
      <c r="G85" s="28">
        <f>SUM(G61:G84)</f>
        <v>18992427.719999999</v>
      </c>
      <c r="H85" s="29">
        <f>G85/F85</f>
        <v>0.16753825352472845</v>
      </c>
      <c r="I85" s="28">
        <f>F85/E85</f>
        <v>113361.73870999998</v>
      </c>
      <c r="J85" s="28">
        <f>G85/E85</f>
        <v>18992.42772</v>
      </c>
      <c r="K85" s="26"/>
      <c r="L85" s="24"/>
      <c r="M85" s="24"/>
      <c r="N85" s="24"/>
      <c r="O85" s="24"/>
      <c r="P85" s="24"/>
      <c r="Q85" s="24"/>
      <c r="R85" s="24"/>
    </row>
    <row r="86" spans="1:18" ht="15" thickTop="1" x14ac:dyDescent="0.35">
      <c r="A86" s="24"/>
      <c r="B86" s="24"/>
      <c r="C86" s="24"/>
      <c r="D86" s="24"/>
      <c r="E86" s="24"/>
      <c r="F86" s="24"/>
      <c r="G86" s="24"/>
      <c r="H86" s="24"/>
      <c r="I86" s="24"/>
      <c r="J86" s="24"/>
      <c r="K86" s="24"/>
      <c r="L86" s="24"/>
      <c r="M86" s="24"/>
      <c r="N86" s="24"/>
      <c r="O86" s="24"/>
      <c r="P86" s="24"/>
      <c r="Q86" s="24"/>
      <c r="R86" s="24"/>
    </row>
    <row r="87" spans="1:18" x14ac:dyDescent="0.35">
      <c r="A87" s="24"/>
      <c r="B87" s="24"/>
      <c r="C87" s="24"/>
      <c r="D87" s="24"/>
      <c r="E87" s="24"/>
      <c r="F87" s="24"/>
      <c r="G87" s="24"/>
      <c r="H87" s="24"/>
      <c r="I87" s="24"/>
      <c r="J87" s="24"/>
      <c r="K87" s="24"/>
      <c r="L87" s="24"/>
      <c r="M87" s="24"/>
      <c r="N87" s="24"/>
      <c r="O87" s="24"/>
      <c r="P87" s="24"/>
      <c r="Q87" s="24"/>
      <c r="R87" s="24"/>
    </row>
    <row r="88" spans="1:18" x14ac:dyDescent="0.35">
      <c r="A88" s="24"/>
      <c r="B88" s="24"/>
      <c r="C88" s="24"/>
      <c r="D88" s="24"/>
      <c r="E88" s="24"/>
      <c r="F88" s="24"/>
      <c r="G88" s="24"/>
      <c r="H88" s="24"/>
      <c r="I88" s="24"/>
      <c r="J88" s="24"/>
      <c r="K88" s="24"/>
      <c r="L88" s="24"/>
      <c r="M88" s="24"/>
      <c r="N88" s="24"/>
      <c r="O88" s="24"/>
      <c r="P88" s="24"/>
      <c r="Q88" s="24"/>
      <c r="R88" s="24"/>
    </row>
    <row r="89" spans="1:18" x14ac:dyDescent="0.35">
      <c r="A89" s="24"/>
      <c r="B89" s="24"/>
      <c r="C89" s="24"/>
      <c r="D89" s="24"/>
      <c r="E89" s="24"/>
      <c r="F89" s="24"/>
      <c r="G89" s="24"/>
      <c r="H89" s="24"/>
      <c r="I89" s="24"/>
      <c r="J89" s="24"/>
      <c r="K89" s="24"/>
      <c r="L89" s="24"/>
      <c r="M89" s="24"/>
      <c r="N89" s="24"/>
      <c r="O89" s="24"/>
      <c r="P89" s="24"/>
      <c r="Q89" s="24"/>
      <c r="R89" s="24"/>
    </row>
    <row r="90" spans="1:18" x14ac:dyDescent="0.35">
      <c r="A90" s="24"/>
      <c r="B90" s="24"/>
      <c r="C90" s="24"/>
      <c r="D90" s="24"/>
      <c r="E90" s="24"/>
      <c r="F90" s="24"/>
      <c r="G90" s="24"/>
      <c r="H90" s="24"/>
      <c r="I90" s="24"/>
      <c r="J90" s="24"/>
      <c r="K90" s="24"/>
      <c r="L90" s="24"/>
      <c r="M90" s="24"/>
      <c r="N90" s="24"/>
      <c r="O90" s="24"/>
      <c r="P90" s="24"/>
      <c r="Q90" s="24"/>
      <c r="R90" s="24"/>
    </row>
    <row r="91" spans="1:18" x14ac:dyDescent="0.35">
      <c r="A91" s="24"/>
      <c r="B91" s="24"/>
      <c r="C91" s="24"/>
      <c r="D91" s="24"/>
      <c r="E91" s="24"/>
      <c r="F91" s="24"/>
      <c r="G91" s="24"/>
      <c r="H91" s="24"/>
      <c r="I91" s="24"/>
      <c r="J91" s="24"/>
      <c r="K91" s="24"/>
      <c r="L91" s="24"/>
      <c r="M91" s="24"/>
      <c r="N91" s="24"/>
      <c r="O91" s="24"/>
      <c r="P91" s="24"/>
      <c r="Q91" s="24"/>
      <c r="R91" s="24"/>
    </row>
    <row r="92" spans="1:18" x14ac:dyDescent="0.35">
      <c r="A92" s="24"/>
      <c r="B92" s="24"/>
      <c r="C92" s="24"/>
      <c r="D92" s="24"/>
      <c r="E92" s="24"/>
      <c r="F92" s="24"/>
      <c r="G92" s="24"/>
      <c r="H92" s="24"/>
      <c r="I92" s="24"/>
      <c r="J92" s="24"/>
      <c r="K92" s="24"/>
      <c r="L92" s="24"/>
      <c r="M92" s="24"/>
      <c r="N92" s="24"/>
      <c r="O92" s="24"/>
      <c r="P92" s="24"/>
      <c r="Q92" s="24"/>
      <c r="R92" s="24"/>
    </row>
    <row r="93" spans="1:18" x14ac:dyDescent="0.35">
      <c r="A93" s="24"/>
      <c r="B93" s="24"/>
      <c r="C93" s="24"/>
      <c r="D93" s="24"/>
      <c r="E93" s="24"/>
      <c r="F93" s="24"/>
      <c r="G93" s="24"/>
      <c r="H93" s="24"/>
      <c r="I93" s="24"/>
      <c r="J93" s="24"/>
      <c r="K93" s="24"/>
      <c r="L93" s="24"/>
      <c r="M93" s="24"/>
      <c r="N93" s="24"/>
      <c r="O93" s="24"/>
      <c r="P93" s="24"/>
      <c r="Q93" s="24"/>
      <c r="R93" s="24"/>
    </row>
    <row r="94" spans="1:18" x14ac:dyDescent="0.35">
      <c r="A94" s="24"/>
      <c r="B94" s="24"/>
      <c r="C94" s="24"/>
      <c r="D94" s="24"/>
      <c r="E94" s="24"/>
      <c r="F94" s="24"/>
      <c r="G94" s="24"/>
      <c r="H94" s="24"/>
      <c r="I94" s="24"/>
      <c r="J94" s="24"/>
      <c r="K94" s="24"/>
      <c r="L94" s="24"/>
      <c r="M94" s="24"/>
      <c r="N94" s="24"/>
      <c r="O94" s="24"/>
      <c r="P94" s="24"/>
      <c r="Q94" s="24"/>
      <c r="R94" s="24"/>
    </row>
    <row r="95" spans="1:18" x14ac:dyDescent="0.35">
      <c r="A95" s="24"/>
      <c r="B95" s="24"/>
      <c r="C95" s="24"/>
      <c r="D95" s="24"/>
      <c r="E95" s="24"/>
      <c r="F95" s="24"/>
      <c r="G95" s="24"/>
      <c r="H95" s="24"/>
      <c r="I95" s="24"/>
      <c r="J95" s="24"/>
      <c r="K95" s="24"/>
      <c r="L95" s="24"/>
      <c r="M95" s="24"/>
      <c r="N95" s="24"/>
      <c r="O95" s="24"/>
      <c r="P95" s="24"/>
      <c r="Q95" s="24"/>
      <c r="R95" s="24"/>
    </row>
    <row r="96" spans="1:18" x14ac:dyDescent="0.35">
      <c r="A96" s="24"/>
      <c r="B96" s="24"/>
      <c r="C96" s="24"/>
      <c r="D96" s="24"/>
      <c r="E96" s="24"/>
      <c r="F96" s="24"/>
      <c r="G96" s="24"/>
      <c r="H96" s="24"/>
      <c r="I96" s="24"/>
      <c r="J96" s="24"/>
      <c r="K96" s="24"/>
      <c r="L96" s="24"/>
      <c r="M96" s="24"/>
      <c r="N96" s="24"/>
      <c r="O96" s="24"/>
      <c r="P96" s="24"/>
      <c r="Q96" s="24"/>
      <c r="R96" s="24"/>
    </row>
    <row r="97" spans="1:18" x14ac:dyDescent="0.35">
      <c r="A97" s="24"/>
      <c r="B97" s="24"/>
      <c r="C97" s="24"/>
      <c r="D97" s="24"/>
      <c r="E97" s="24"/>
      <c r="F97" s="24"/>
      <c r="G97" s="24"/>
      <c r="H97" s="24"/>
      <c r="I97" s="24"/>
      <c r="J97" s="24"/>
      <c r="K97" s="24"/>
      <c r="L97" s="24"/>
      <c r="M97" s="24"/>
      <c r="N97" s="24"/>
      <c r="O97" s="24"/>
      <c r="P97" s="24"/>
      <c r="Q97" s="24"/>
      <c r="R97" s="24"/>
    </row>
    <row r="98" spans="1:18" x14ac:dyDescent="0.35">
      <c r="A98" s="24"/>
      <c r="B98" s="24"/>
      <c r="C98" s="24"/>
      <c r="D98" s="24"/>
      <c r="E98" s="24"/>
      <c r="F98" s="24"/>
      <c r="G98" s="24"/>
      <c r="H98" s="24"/>
      <c r="I98" s="24"/>
      <c r="J98" s="24"/>
      <c r="K98" s="24"/>
      <c r="L98" s="24"/>
      <c r="M98" s="24"/>
      <c r="N98" s="24"/>
      <c r="O98" s="24"/>
      <c r="P98" s="24"/>
      <c r="Q98" s="24"/>
      <c r="R98" s="24"/>
    </row>
    <row r="99" spans="1:18" x14ac:dyDescent="0.35">
      <c r="A99" s="24"/>
      <c r="B99" s="24"/>
      <c r="C99" s="24"/>
      <c r="D99" s="24"/>
      <c r="E99" s="24"/>
      <c r="F99" s="24"/>
      <c r="G99" s="24"/>
      <c r="H99" s="24"/>
      <c r="I99" s="24"/>
      <c r="J99" s="24"/>
      <c r="K99" s="24"/>
      <c r="L99" s="24"/>
      <c r="M99" s="24"/>
      <c r="N99" s="24"/>
      <c r="O99" s="24"/>
      <c r="P99" s="24"/>
      <c r="Q99" s="24"/>
      <c r="R99" s="24"/>
    </row>
    <row r="100" spans="1:18" x14ac:dyDescent="0.35">
      <c r="A100" s="24"/>
      <c r="B100" s="24"/>
      <c r="C100" s="24"/>
      <c r="D100" s="24"/>
      <c r="E100" s="24"/>
      <c r="F100" s="24"/>
      <c r="G100" s="24"/>
      <c r="H100" s="24"/>
      <c r="I100" s="24"/>
      <c r="J100" s="24"/>
      <c r="K100" s="24"/>
      <c r="L100" s="24"/>
      <c r="M100" s="24"/>
      <c r="N100" s="24"/>
      <c r="O100" s="24"/>
      <c r="P100" s="24"/>
      <c r="Q100" s="24"/>
      <c r="R100" s="24"/>
    </row>
  </sheetData>
  <mergeCells count="48">
    <mergeCell ref="I20:Q21"/>
    <mergeCell ref="I9:Q9"/>
    <mergeCell ref="B20:G21"/>
    <mergeCell ref="B22:Q22"/>
    <mergeCell ref="B17:C17"/>
    <mergeCell ref="B18:C18"/>
    <mergeCell ref="B19:C19"/>
    <mergeCell ref="I10:Q11"/>
    <mergeCell ref="I12:Q13"/>
    <mergeCell ref="I14:Q15"/>
    <mergeCell ref="I16:Q17"/>
    <mergeCell ref="I18:Q19"/>
    <mergeCell ref="B11:C11"/>
    <mergeCell ref="B12:C12"/>
    <mergeCell ref="B13:C13"/>
    <mergeCell ref="B14:C14"/>
    <mergeCell ref="B1:Q1"/>
    <mergeCell ref="B2:Q2"/>
    <mergeCell ref="B58:K58"/>
    <mergeCell ref="M58:Q58"/>
    <mergeCell ref="M73:Q73"/>
    <mergeCell ref="F4:G4"/>
    <mergeCell ref="F5:G5"/>
    <mergeCell ref="F6:G6"/>
    <mergeCell ref="H4:I4"/>
    <mergeCell ref="H5:I5"/>
    <mergeCell ref="H6:I6"/>
    <mergeCell ref="B15:C15"/>
    <mergeCell ref="B16:C16"/>
    <mergeCell ref="N4:Q4"/>
    <mergeCell ref="N5:Q6"/>
    <mergeCell ref="B8:G8"/>
    <mergeCell ref="M74:Q74"/>
    <mergeCell ref="B4:C4"/>
    <mergeCell ref="B5:C5"/>
    <mergeCell ref="B6:C6"/>
    <mergeCell ref="D4:E4"/>
    <mergeCell ref="I8:Q8"/>
    <mergeCell ref="B9:C9"/>
    <mergeCell ref="B10:C10"/>
    <mergeCell ref="J4:K4"/>
    <mergeCell ref="J5:K5"/>
    <mergeCell ref="J6:K6"/>
    <mergeCell ref="L4:M4"/>
    <mergeCell ref="L5:M5"/>
    <mergeCell ref="L6:M6"/>
    <mergeCell ref="D5:E5"/>
    <mergeCell ref="D6:E6"/>
  </mergeCells>
  <conditionalFormatting sqref="K61:K84">
    <cfRule type="beginsWith" dxfId="4" priority="3" operator="beginsWith" text="Above">
      <formula>LEFT(K61,LEN("Above"))="Above"</formula>
    </cfRule>
    <cfRule type="beginsWith" dxfId="3" priority="4" operator="beginsWith" text="Below">
      <formula>LEFT(K61,LEN("Below"))="Below"</formula>
    </cfRule>
  </conditionalFormatting>
  <conditionalFormatting sqref="N61:N70">
    <cfRule type="dataBar" priority="1">
      <dataBar>
        <cfvo type="min"/>
        <cfvo type="max"/>
        <color rgb="FF8EA9DB"/>
      </dataBar>
      <extLst>
        <ext xmlns:x14="http://schemas.microsoft.com/office/spreadsheetml/2009/9/main" uri="{B025F937-C7B1-47D3-B67F-A62EFF666E3E}">
          <x14:id>{AF2727C7-F0EB-41D3-9975-F09906274D04}</x14:id>
        </ext>
      </extLst>
    </cfRule>
  </conditionalFormatting>
  <conditionalFormatting sqref="P61:P70">
    <cfRule type="dataBar" priority="2">
      <dataBar>
        <cfvo type="min"/>
        <cfvo type="max"/>
        <color rgb="FFA9D08E"/>
      </dataBar>
      <extLst>
        <ext xmlns:x14="http://schemas.microsoft.com/office/spreadsheetml/2009/9/main" uri="{B025F937-C7B1-47D3-B67F-A62EFF666E3E}">
          <x14:id>{11E7A9E1-2961-40E0-8762-9A30FBF347F5}</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F2727C7-F0EB-41D3-9975-F09906274D04}">
            <x14:dataBar minLength="0" maxLength="100" direction="leftToRight" negativeBarColorSameAsPositive="1" axisPosition="none">
              <x14:cfvo type="min"/>
              <x14:cfvo type="max"/>
            </x14:dataBar>
          </x14:cfRule>
          <xm:sqref>N61:N70</xm:sqref>
        </x14:conditionalFormatting>
        <x14:conditionalFormatting xmlns:xm="http://schemas.microsoft.com/office/excel/2006/main">
          <x14:cfRule type="dataBar" id="{11E7A9E1-2961-40E0-8762-9A30FBF347F5}">
            <x14:dataBar minLength="0" maxLength="100" negativeBarColorSameAsPositive="1" axisPosition="none">
              <x14:cfvo type="min"/>
              <x14:cfvo type="max"/>
            </x14:dataBar>
          </x14:cfRule>
          <xm:sqref>P61:P70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Props1.xml><?xml version="1.0" encoding="utf-8"?>
<ds:datastoreItem xmlns:ds="http://schemas.openxmlformats.org/officeDocument/2006/customXml" ds:itemID="{1A8A3BB5-F5B3-44ED-B210-59AAE15EE53C}">
  <ds:schemaRefs/>
</ds:datastoreItem>
</file>

<file path=customXml/itemProps2.xml><?xml version="1.0" encoding="utf-8"?>
<ds:datastoreItem xmlns:ds="http://schemas.openxmlformats.org/officeDocument/2006/customXml" ds:itemID="{9E2C08FB-D44F-428E-8C29-8B0743E7E0F3}">
  <ds:schemaRefs/>
</ds:datastoreItem>
</file>

<file path=customXml/itemProps3.xml><?xml version="1.0" encoding="utf-8"?>
<ds:datastoreItem xmlns:ds="http://schemas.openxmlformats.org/officeDocument/2006/customXml" ds:itemID="{C7724658-D833-4DAB-A24C-E6E6FBBD5679}">
  <ds:schemaRefs/>
</ds:datastoreItem>
</file>

<file path=customXml/itemProps4.xml><?xml version="1.0" encoding="utf-8"?>
<ds:datastoreItem xmlns:ds="http://schemas.openxmlformats.org/officeDocument/2006/customXml" ds:itemID="{88B4485E-AB6B-410A-BE0A-7FAB449C8D36}">
  <ds:schemaRefs/>
</ds:datastoreItem>
</file>

<file path=customXml/itemProps5.xml><?xml version="1.0" encoding="utf-8"?>
<ds:datastoreItem xmlns:ds="http://schemas.openxmlformats.org/officeDocument/2006/customXml" ds:itemID="{B31B84E6-1124-43C6-84BD-BEF1E3FAE766}">
  <ds:schemaRefs/>
</ds:datastoreItem>
</file>

<file path=customXml/itemProps6.xml><?xml version="1.0" encoding="utf-8"?>
<ds:datastoreItem xmlns:ds="http://schemas.openxmlformats.org/officeDocument/2006/customXml" ds:itemID="{9DFC5DFC-2752-4146-9C6F-D58D9DE73E64}">
  <ds:schemaRefs/>
</ds:datastoreItem>
</file>

<file path=customXml/itemProps7.xml><?xml version="1.0" encoding="utf-8"?>
<ds:datastoreItem xmlns:ds="http://schemas.openxmlformats.org/officeDocument/2006/customXml" ds:itemID="{60157390-6D74-4565-A239-69B6A0206EC0}">
  <ds:schemaRefs/>
</ds:datastoreItem>
</file>

<file path=customXml/itemProps8.xml><?xml version="1.0" encoding="utf-8"?>
<ds:datastoreItem xmlns:ds="http://schemas.openxmlformats.org/officeDocument/2006/customXml" ds:itemID="{BA879F6A-6AC2-4D54-BADB-DBACC4DCD4EE}">
  <ds:schemaRefs/>
</ds:datastoreItem>
</file>

<file path=customXml/itemProps9.xml><?xml version="1.0" encoding="utf-8"?>
<ds:datastoreItem xmlns:ds="http://schemas.openxmlformats.org/officeDocument/2006/customXml" ds:itemID="{48A24E8B-3779-4AB7-9421-93417B23A62F}">
  <ds:schemaRefs/>
</ds:datastoreItem>
</file>

<file path=customXml/itemProps10.xml><?xml version="1.0" encoding="utf-8"?>
<ds:datastoreItem xmlns:ds="http://schemas.openxmlformats.org/officeDocument/2006/customXml" ds:itemID="{89B04D84-FB2F-4B02-977B-1A103565E31B}">
  <ds:schemaRefs/>
</ds:datastoreItem>
</file>

<file path=customXml/itemProps11.xml><?xml version="1.0" encoding="utf-8"?>
<ds:datastoreItem xmlns:ds="http://schemas.openxmlformats.org/officeDocument/2006/customXml" ds:itemID="{7EB5A4E9-BBF0-4798-AE43-C2EA8E1238D5}">
  <ds:schemaRefs/>
</ds:datastoreItem>
</file>

<file path=customXml/itemProps12.xml><?xml version="1.0" encoding="utf-8"?>
<ds:datastoreItem xmlns:ds="http://schemas.openxmlformats.org/officeDocument/2006/customXml" ds:itemID="{D1E8F06E-1A42-4C50-BF44-2ECE60724CF7}">
  <ds:schemaRefs/>
</ds:datastoreItem>
</file>

<file path=customXml/itemProps13.xml><?xml version="1.0" encoding="utf-8"?>
<ds:datastoreItem xmlns:ds="http://schemas.openxmlformats.org/officeDocument/2006/customXml" ds:itemID="{A11A02FC-13F7-487D-BCDB-3F032C647B05}">
  <ds:schemaRefs/>
</ds:datastoreItem>
</file>

<file path=customXml/itemProps14.xml><?xml version="1.0" encoding="utf-8"?>
<ds:datastoreItem xmlns:ds="http://schemas.openxmlformats.org/officeDocument/2006/customXml" ds:itemID="{3E208329-E8BF-42FD-ACFB-B04F6ECC3624}">
  <ds:schemaRefs/>
</ds:datastoreItem>
</file>

<file path=customXml/itemProps15.xml><?xml version="1.0" encoding="utf-8"?>
<ds:datastoreItem xmlns:ds="http://schemas.openxmlformats.org/officeDocument/2006/customXml" ds:itemID="{D7216DFD-4696-4E4F-A8FD-CB63196E16DF}">
  <ds:schemaRefs/>
</ds:datastoreItem>
</file>

<file path=customXml/itemProps16.xml><?xml version="1.0" encoding="utf-8"?>
<ds:datastoreItem xmlns:ds="http://schemas.openxmlformats.org/officeDocument/2006/customXml" ds:itemID="{7971EA22-3BAF-4FAB-BE50-C9BCD91BB980}">
  <ds:schemaRefs/>
</ds:datastoreItem>
</file>

<file path=customXml/itemProps17.xml><?xml version="1.0" encoding="utf-8"?>
<ds:datastoreItem xmlns:ds="http://schemas.openxmlformats.org/officeDocument/2006/customXml" ds:itemID="{EC678FA1-D729-48A1-B8A4-73DD7677A2A0}">
  <ds:schemaRefs/>
</ds:datastoreItem>
</file>

<file path=customXml/itemProps18.xml><?xml version="1.0" encoding="utf-8"?>
<ds:datastoreItem xmlns:ds="http://schemas.openxmlformats.org/officeDocument/2006/customXml" ds:itemID="{EDAD65A6-8AE1-4850-93EA-2AA35A8E185C}">
  <ds:schemaRefs/>
</ds:datastoreItem>
</file>

<file path=customXml/itemProps19.xml><?xml version="1.0" encoding="utf-8"?>
<ds:datastoreItem xmlns:ds="http://schemas.openxmlformats.org/officeDocument/2006/customXml" ds:itemID="{7D8E9914-60C4-49B1-97F7-87D39BD01CB0}">
  <ds:schemaRefs/>
</ds:datastoreItem>
</file>

<file path=customXml/itemProps20.xml><?xml version="1.0" encoding="utf-8"?>
<ds:datastoreItem xmlns:ds="http://schemas.openxmlformats.org/officeDocument/2006/customXml" ds:itemID="{1127DB03-EECB-40B3-B81A-C008ADEB8A14}">
  <ds:schemaRefs/>
</ds:datastoreItem>
</file>

<file path=customXml/itemProps21.xml><?xml version="1.0" encoding="utf-8"?>
<ds:datastoreItem xmlns:ds="http://schemas.openxmlformats.org/officeDocument/2006/customXml" ds:itemID="{F4741B67-3885-4390-8A55-1A57FA02530F}">
  <ds:schemaRefs/>
</ds:datastoreItem>
</file>

<file path=customXml/itemProps22.xml><?xml version="1.0" encoding="utf-8"?>
<ds:datastoreItem xmlns:ds="http://schemas.openxmlformats.org/officeDocument/2006/customXml" ds:itemID="{3A46B681-D6C4-4A00-8E20-88CB6796ADF9}">
  <ds:schemaRefs/>
</ds:datastoreItem>
</file>

<file path=customXml/itemProps23.xml><?xml version="1.0" encoding="utf-8"?>
<ds:datastoreItem xmlns:ds="http://schemas.openxmlformats.org/officeDocument/2006/customXml" ds:itemID="{ED44AB5E-1128-4AF4-82A1-95A215E3BFC1}">
  <ds:schemaRefs/>
</ds:datastoreItem>
</file>

<file path=customXml/itemProps24.xml><?xml version="1.0" encoding="utf-8"?>
<ds:datastoreItem xmlns:ds="http://schemas.openxmlformats.org/officeDocument/2006/customXml" ds:itemID="{84980619-12E0-494F-9BA2-BC6F857F00FC}">
  <ds:schemaRefs/>
</ds:datastoreItem>
</file>

<file path=customXml/itemProps25.xml><?xml version="1.0" encoding="utf-8"?>
<ds:datastoreItem xmlns:ds="http://schemas.openxmlformats.org/officeDocument/2006/customXml" ds:itemID="{B796A3E6-E6AD-41A9-9827-52559FE423AA}">
  <ds:schemaRefs/>
</ds:datastoreItem>
</file>

<file path=customXml/itemProps26.xml><?xml version="1.0" encoding="utf-8"?>
<ds:datastoreItem xmlns:ds="http://schemas.openxmlformats.org/officeDocument/2006/customXml" ds:itemID="{EC7FF380-FEF1-4E5B-A186-E0A3E16703FF}">
  <ds:schemaRefs/>
</ds:datastoreItem>
</file>

<file path=customXml/itemProps27.xml><?xml version="1.0" encoding="utf-8"?>
<ds:datastoreItem xmlns:ds="http://schemas.openxmlformats.org/officeDocument/2006/customXml" ds:itemID="{A33C07E7-ABD2-49BB-89FC-3F488A465FD5}">
  <ds:schemaRefs>
    <ds:schemaRef ds:uri="http://www.w3.org/2001/XMLSchema"/>
    <ds:schemaRef ds:uri="http://microsoft.data.visualization.engine.tours/1.0"/>
  </ds:schemaRefs>
</ds:datastoreItem>
</file>

<file path=customXml/itemProps28.xml><?xml version="1.0" encoding="utf-8"?>
<ds:datastoreItem xmlns:ds="http://schemas.openxmlformats.org/officeDocument/2006/customXml" ds:itemID="{879CC8FE-5192-43BB-A2BF-E0574C7878D3}">
  <ds:schemaRefs/>
</ds:datastoreItem>
</file>

<file path=customXml/itemProps29.xml><?xml version="1.0" encoding="utf-8"?>
<ds:datastoreItem xmlns:ds="http://schemas.openxmlformats.org/officeDocument/2006/customXml" ds:itemID="{E3B61B5B-C7A9-447F-BA02-5500BE8C04E5}">
  <ds:schemaRefs/>
</ds:datastoreItem>
</file>

<file path=customXml/itemProps30.xml><?xml version="1.0" encoding="utf-8"?>
<ds:datastoreItem xmlns:ds="http://schemas.openxmlformats.org/officeDocument/2006/customXml" ds:itemID="{DA866481-FD04-4950-9141-391DB1253C0B}">
  <ds:schemaRefs/>
</ds:datastoreItem>
</file>

<file path=customXml/itemProps31.xml><?xml version="1.0" encoding="utf-8"?>
<ds:datastoreItem xmlns:ds="http://schemas.openxmlformats.org/officeDocument/2006/customXml" ds:itemID="{530D3534-66C6-4004-AC84-2B5907DDEB7E}">
  <ds:schemaRefs/>
</ds:datastoreItem>
</file>

<file path=customXml/itemProps32.xml><?xml version="1.0" encoding="utf-8"?>
<ds:datastoreItem xmlns:ds="http://schemas.openxmlformats.org/officeDocument/2006/customXml" ds:itemID="{EAFD3A97-8338-4018-9A37-279D3630806E}">
  <ds:schemaRefs/>
</ds:datastoreItem>
</file>

<file path=customXml/itemProps33.xml><?xml version="1.0" encoding="utf-8"?>
<ds:datastoreItem xmlns:ds="http://schemas.openxmlformats.org/officeDocument/2006/customXml" ds:itemID="{BEEE19C7-B0FE-4F56-8D77-412FAF32C4E5}">
  <ds:schemaRefs/>
</ds:datastoreItem>
</file>

<file path=customXml/itemProps34.xml><?xml version="1.0" encoding="utf-8"?>
<ds:datastoreItem xmlns:ds="http://schemas.openxmlformats.org/officeDocument/2006/customXml" ds:itemID="{3C42DC25-309B-47F2-AFC1-8731A77931BF}">
  <ds:schemaRefs/>
</ds:datastoreItem>
</file>

<file path=customXml/itemProps35.xml><?xml version="1.0" encoding="utf-8"?>
<ds:datastoreItem xmlns:ds="http://schemas.openxmlformats.org/officeDocument/2006/customXml" ds:itemID="{3C4EE605-82ED-4EA7-A62F-FDE3A0C7B467}">
  <ds:schemaRefs/>
</ds:datastoreItem>
</file>

<file path=customXml/itemProps36.xml><?xml version="1.0" encoding="utf-8"?>
<ds:datastoreItem xmlns:ds="http://schemas.openxmlformats.org/officeDocument/2006/customXml" ds:itemID="{597DD949-B278-469D-9FC6-B0BDEE44942F}">
  <ds:schemaRefs/>
</ds:datastoreItem>
</file>

<file path=customXml/itemProps37.xml><?xml version="1.0" encoding="utf-8"?>
<ds:datastoreItem xmlns:ds="http://schemas.openxmlformats.org/officeDocument/2006/customXml" ds:itemID="{8361BBD9-1001-439C-B458-D94C76B8E437}">
  <ds:schemaRefs/>
</ds:datastoreItem>
</file>

<file path=customXml/itemProps38.xml><?xml version="1.0" encoding="utf-8"?>
<ds:datastoreItem xmlns:ds="http://schemas.openxmlformats.org/officeDocument/2006/customXml" ds:itemID="{38B127A5-6D1F-4157-AE0B-4A461FF4B25E}">
  <ds:schemaRefs/>
</ds:datastoreItem>
</file>

<file path=customXml/itemProps39.xml><?xml version="1.0" encoding="utf-8"?>
<ds:datastoreItem xmlns:ds="http://schemas.openxmlformats.org/officeDocument/2006/customXml" ds:itemID="{1DFC5FC6-170C-4164-9270-7A7DF3C3A201}">
  <ds:schemaRefs/>
</ds:datastoreItem>
</file>

<file path=customXml/itemProps40.xml><?xml version="1.0" encoding="utf-8"?>
<ds:datastoreItem xmlns:ds="http://schemas.openxmlformats.org/officeDocument/2006/customXml" ds:itemID="{918A6BD4-3B7D-44A0-8DA7-5DE8C9C0FB56}">
  <ds:schemaRefs>
    <ds:schemaRef ds:uri="http://www.w3.org/2001/XMLSchema"/>
    <ds:schemaRef ds:uri="http://microsoft.data.visualization.Client.Excel/1.0"/>
  </ds:schemaRefs>
</ds:datastoreItem>
</file>

<file path=customXml/itemProps41.xml><?xml version="1.0" encoding="utf-8"?>
<ds:datastoreItem xmlns:ds="http://schemas.openxmlformats.org/officeDocument/2006/customXml" ds:itemID="{18E1A260-5B67-4150-B7A6-46992BFB3A86}">
  <ds:schemaRefs/>
</ds:datastoreItem>
</file>

<file path=customXml/itemProps42.xml><?xml version="1.0" encoding="utf-8"?>
<ds:datastoreItem xmlns:ds="http://schemas.openxmlformats.org/officeDocument/2006/customXml" ds:itemID="{E8DA7270-1ED1-486F-8313-34FD9EE82081}">
  <ds:schemaRefs/>
</ds:datastoreItem>
</file>

<file path=customXml/itemProps43.xml><?xml version="1.0" encoding="utf-8"?>
<ds:datastoreItem xmlns:ds="http://schemas.openxmlformats.org/officeDocument/2006/customXml" ds:itemID="{EBF8784A-EACA-49C2-869C-30AB582B40EC}">
  <ds:schemaRefs/>
</ds:datastoreItem>
</file>

<file path=customXml/itemProps44.xml><?xml version="1.0" encoding="utf-8"?>
<ds:datastoreItem xmlns:ds="http://schemas.openxmlformats.org/officeDocument/2006/customXml" ds:itemID="{21B9FC95-1696-4382-8CD4-309A8EB9BCC1}">
  <ds:schemaRefs/>
</ds:datastoreItem>
</file>

<file path=customXml/itemProps45.xml><?xml version="1.0" encoding="utf-8"?>
<ds:datastoreItem xmlns:ds="http://schemas.openxmlformats.org/officeDocument/2006/customXml" ds:itemID="{65132343-466C-4285-B945-52DC1B07CF33}">
  <ds:schemaRefs/>
</ds:datastoreItem>
</file>

<file path=customXml/itemProps46.xml><?xml version="1.0" encoding="utf-8"?>
<ds:datastoreItem xmlns:ds="http://schemas.openxmlformats.org/officeDocument/2006/customXml" ds:itemID="{45287415-5CB7-4938-8AF1-3F52561B8F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vt:lpstr>
      <vt:lpstr>Summary</vt:lpstr>
      <vt:lpstr>MOMP Tables</vt:lpstr>
      <vt:lpstr>MOMP</vt:lpstr>
      <vt:lpstr>Sales Rep Tables</vt:lpstr>
      <vt:lpstr>Sales Rep Analysis</vt:lpstr>
      <vt:lpstr>AI Dash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Cohen</dc:creator>
  <cp:lastModifiedBy>Josh Cohen</cp:lastModifiedBy>
  <dcterms:created xsi:type="dcterms:W3CDTF">2026-10-02T17:55:13Z</dcterms:created>
  <dcterms:modified xsi:type="dcterms:W3CDTF">2026-10-14T13:05:59Z</dcterms:modified>
</cp:coreProperties>
</file>