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hu\Documents\"/>
    </mc:Choice>
  </mc:AlternateContent>
  <xr:revisionPtr revIDLastSave="0" documentId="8_{D5119BA2-C7F5-4950-8520-1CA52455094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CF Valuation" sheetId="1" r:id="rId1"/>
    <sheet name="Financial Statements" sheetId="2" r:id="rId2"/>
    <sheet name="Cost of Capital" sheetId="3" r:id="rId3"/>
    <sheet name="Employee Options" sheetId="4" r:id="rId4"/>
    <sheet name="Synthetic Credit Rating" sheetId="5" r:id="rId5"/>
    <sheet name="Industry Averages (US)" sheetId="6" r:id="rId6"/>
    <sheet name="Industry Averages (Global)" sheetId="7" r:id="rId7"/>
    <sheet name="Helper 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D4" i="5"/>
  <c r="D3" i="5"/>
  <c r="B3" i="5" s="1"/>
  <c r="B4" i="5" s="1"/>
  <c r="D2" i="5"/>
  <c r="B2" i="5"/>
  <c r="B5" i="5" s="1"/>
  <c r="B13" i="3" s="1"/>
  <c r="B14" i="3" s="1"/>
  <c r="B16" i="3" s="1"/>
  <c r="B8" i="4"/>
  <c r="B7" i="4"/>
  <c r="B6" i="4"/>
  <c r="F18" i="3"/>
  <c r="F16" i="3"/>
  <c r="B15" i="3"/>
  <c r="A16" i="3" s="1"/>
  <c r="B11" i="3"/>
  <c r="B10" i="3"/>
  <c r="B4" i="3"/>
  <c r="B3" i="3"/>
  <c r="B61" i="1"/>
  <c r="B60" i="1"/>
  <c r="B59" i="1"/>
  <c r="B57" i="1"/>
  <c r="B56" i="1"/>
  <c r="B51" i="1"/>
  <c r="B47" i="1"/>
  <c r="C47" i="1" s="1"/>
  <c r="J46" i="1"/>
  <c r="K46" i="1" s="1"/>
  <c r="L46" i="1" s="1"/>
  <c r="I46" i="1"/>
  <c r="G46" i="1"/>
  <c r="F46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B36" i="1"/>
  <c r="C35" i="1"/>
  <c r="C40" i="1" s="1"/>
  <c r="B35" i="1"/>
  <c r="B37" i="1" s="1"/>
  <c r="B48" i="1" s="1"/>
  <c r="L34" i="1"/>
  <c r="M34" i="1" s="1"/>
  <c r="K34" i="1"/>
  <c r="J34" i="1"/>
  <c r="I34" i="1"/>
  <c r="H34" i="1"/>
  <c r="G34" i="1"/>
  <c r="F34" i="1"/>
  <c r="E34" i="1"/>
  <c r="B34" i="1"/>
  <c r="D34" i="1" s="1"/>
  <c r="D35" i="1" s="1"/>
  <c r="D33" i="1"/>
  <c r="D38" i="1" s="1"/>
  <c r="B33" i="1"/>
  <c r="C38" i="1" s="1"/>
  <c r="W29" i="1"/>
  <c r="V29" i="1"/>
  <c r="U29" i="1"/>
  <c r="O29" i="1"/>
  <c r="N29" i="1"/>
  <c r="M29" i="1"/>
  <c r="G29" i="1"/>
  <c r="F29" i="1"/>
  <c r="Z28" i="1"/>
  <c r="Z29" i="1" s="1"/>
  <c r="Y28" i="1"/>
  <c r="Y29" i="1" s="1"/>
  <c r="X28" i="1"/>
  <c r="X29" i="1" s="1"/>
  <c r="W28" i="1"/>
  <c r="V28" i="1"/>
  <c r="U28" i="1"/>
  <c r="T28" i="1"/>
  <c r="T29" i="1" s="1"/>
  <c r="S28" i="1"/>
  <c r="S29" i="1" s="1"/>
  <c r="R28" i="1"/>
  <c r="R29" i="1" s="1"/>
  <c r="Q28" i="1"/>
  <c r="Q29" i="1" s="1"/>
  <c r="P28" i="1"/>
  <c r="P29" i="1" s="1"/>
  <c r="O28" i="1"/>
  <c r="N28" i="1"/>
  <c r="M28" i="1"/>
  <c r="L28" i="1"/>
  <c r="L29" i="1" s="1"/>
  <c r="K28" i="1"/>
  <c r="K29" i="1" s="1"/>
  <c r="J28" i="1"/>
  <c r="J29" i="1" s="1"/>
  <c r="I28" i="1"/>
  <c r="I29" i="1" s="1"/>
  <c r="H28" i="1"/>
  <c r="H29" i="1" s="1"/>
  <c r="G28" i="1"/>
  <c r="F28" i="1"/>
  <c r="B15" i="1"/>
  <c r="D47" i="1" l="1"/>
  <c r="E18" i="3"/>
  <c r="D12" i="3"/>
  <c r="D13" i="3" s="1"/>
  <c r="D16" i="3" s="1"/>
  <c r="D37" i="1"/>
  <c r="D40" i="1"/>
  <c r="D11" i="3"/>
  <c r="E33" i="1"/>
  <c r="B10" i="4"/>
  <c r="C37" i="1"/>
  <c r="D39" i="1" l="1"/>
  <c r="D48" i="1"/>
  <c r="E38" i="1"/>
  <c r="F33" i="1"/>
  <c r="E35" i="1"/>
  <c r="E47" i="1"/>
  <c r="B13" i="4"/>
  <c r="B14" i="4" s="1"/>
  <c r="B11" i="4"/>
  <c r="B16" i="4" s="1"/>
  <c r="B17" i="4" s="1"/>
  <c r="B64" i="1" s="1"/>
  <c r="C39" i="1"/>
  <c r="C48" i="1"/>
  <c r="E16" i="3"/>
  <c r="F47" i="1" l="1"/>
  <c r="E40" i="1"/>
  <c r="E37" i="1"/>
  <c r="F38" i="1"/>
  <c r="G33" i="1"/>
  <c r="F35" i="1"/>
  <c r="D14" i="3"/>
  <c r="D18" i="3" s="1"/>
  <c r="G16" i="3"/>
  <c r="E17" i="3" s="1"/>
  <c r="F40" i="1" l="1"/>
  <c r="F37" i="1"/>
  <c r="G38" i="1"/>
  <c r="G47" i="1" s="1"/>
  <c r="H33" i="1"/>
  <c r="G35" i="1"/>
  <c r="F17" i="3"/>
  <c r="D17" i="3"/>
  <c r="E39" i="1"/>
  <c r="E48" i="1"/>
  <c r="H35" i="1" l="1"/>
  <c r="H38" i="1"/>
  <c r="H47" i="1" s="1"/>
  <c r="I33" i="1"/>
  <c r="F39" i="1"/>
  <c r="F48" i="1"/>
  <c r="G18" i="3"/>
  <c r="C42" i="1" s="1"/>
  <c r="G17" i="3"/>
  <c r="G40" i="1"/>
  <c r="G37" i="1"/>
  <c r="I38" i="1" l="1"/>
  <c r="I47" i="1" s="1"/>
  <c r="J33" i="1"/>
  <c r="I35" i="1"/>
  <c r="G48" i="1"/>
  <c r="G39" i="1"/>
  <c r="H40" i="1"/>
  <c r="H37" i="1"/>
  <c r="C43" i="1"/>
  <c r="D42" i="1"/>
  <c r="E42" i="1" s="1"/>
  <c r="F42" i="1" s="1"/>
  <c r="G42" i="1" s="1"/>
  <c r="H42" i="1" s="1"/>
  <c r="I42" i="1" s="1"/>
  <c r="J42" i="1" s="1"/>
  <c r="K42" i="1" s="1"/>
  <c r="L42" i="1" s="1"/>
  <c r="M48" i="1" s="1"/>
  <c r="I37" i="1" l="1"/>
  <c r="I40" i="1"/>
  <c r="J38" i="1"/>
  <c r="J47" i="1" s="1"/>
  <c r="K33" i="1"/>
  <c r="J35" i="1"/>
  <c r="D43" i="1"/>
  <c r="C44" i="1"/>
  <c r="H48" i="1"/>
  <c r="H39" i="1"/>
  <c r="E43" i="1" l="1"/>
  <c r="D44" i="1"/>
  <c r="K38" i="1"/>
  <c r="K47" i="1" s="1"/>
  <c r="L33" i="1"/>
  <c r="K35" i="1"/>
  <c r="J40" i="1"/>
  <c r="J37" i="1"/>
  <c r="I39" i="1"/>
  <c r="I48" i="1"/>
  <c r="K40" i="1" l="1"/>
  <c r="K37" i="1"/>
  <c r="J48" i="1"/>
  <c r="J39" i="1"/>
  <c r="F43" i="1"/>
  <c r="E44" i="1"/>
  <c r="L38" i="1"/>
  <c r="L47" i="1" s="1"/>
  <c r="M33" i="1"/>
  <c r="M35" i="1" s="1"/>
  <c r="L35" i="1"/>
  <c r="G43" i="1" l="1"/>
  <c r="F44" i="1"/>
  <c r="K39" i="1"/>
  <c r="K48" i="1"/>
  <c r="L37" i="1"/>
  <c r="L40" i="1"/>
  <c r="M40" i="1" s="1"/>
  <c r="M37" i="1"/>
  <c r="L39" i="1" l="1"/>
  <c r="L48" i="1"/>
  <c r="M38" i="1"/>
  <c r="M39" i="1" s="1"/>
  <c r="B50" i="1" s="1"/>
  <c r="B52" i="1" s="1"/>
  <c r="H43" i="1"/>
  <c r="G44" i="1"/>
  <c r="I43" i="1" l="1"/>
  <c r="H44" i="1"/>
  <c r="J43" i="1" l="1"/>
  <c r="I44" i="1"/>
  <c r="K43" i="1" l="1"/>
  <c r="J44" i="1"/>
  <c r="L43" i="1" l="1"/>
  <c r="K44" i="1"/>
  <c r="B53" i="1" l="1"/>
  <c r="L44" i="1"/>
  <c r="B54" i="1" s="1"/>
  <c r="B55" i="1" l="1"/>
  <c r="B58" i="1" s="1"/>
  <c r="B63" i="1" s="1"/>
  <c r="B65" i="1" s="1"/>
  <c r="B67" i="1" s="1"/>
  <c r="B68" i="1" s="1"/>
</calcChain>
</file>

<file path=xl/sharedStrings.xml><?xml version="1.0" encoding="utf-8"?>
<sst xmlns="http://schemas.openxmlformats.org/spreadsheetml/2006/main" count="1045" uniqueCount="542">
  <si>
    <t>Fill out the green input cells to build your DCF</t>
  </si>
  <si>
    <t>Non-per share inputs are in millions</t>
  </si>
  <si>
    <t>Required Inputs</t>
  </si>
  <si>
    <t>Stock Ticker To Value</t>
  </si>
  <si>
    <t>THO.US</t>
  </si>
  <si>
    <t>CAGR in Years 1-5</t>
  </si>
  <si>
    <t>Year of Convergence</t>
  </si>
  <si>
    <t>Operating Target Margin in Year 10</t>
  </si>
  <si>
    <t>Sales to Capital Ratio</t>
  </si>
  <si>
    <t>Optional Inputs</t>
  </si>
  <si>
    <t>Normal Debt</t>
  </si>
  <si>
    <t>Convertible Debt</t>
  </si>
  <si>
    <t>Preferred Stock</t>
  </si>
  <si>
    <t>Employee Options</t>
  </si>
  <si>
    <t>Other</t>
  </si>
  <si>
    <t>Pre-tax Cost of Debt</t>
  </si>
  <si>
    <t>Book Value of Convertible Debt</t>
  </si>
  <si>
    <t>Number of Preferred Shares</t>
  </si>
  <si>
    <t>Employee Options Outstanding</t>
  </si>
  <si>
    <t>Net Operating Loss</t>
  </si>
  <si>
    <t>Average Maturity of Debt</t>
  </si>
  <si>
    <t>Interest Expense on Convertible Debt</t>
  </si>
  <si>
    <t>Market Price per Share</t>
  </si>
  <si>
    <t>Average Strike Price</t>
  </si>
  <si>
    <t>Non-operating Assets</t>
  </si>
  <si>
    <t>Maturity of Convertible Debt</t>
  </si>
  <si>
    <t>Annual Dividend per Share</t>
  </si>
  <si>
    <t>Average Maturity</t>
  </si>
  <si>
    <t>Probability of Failure</t>
  </si>
  <si>
    <t>Market Value of Convertible Debt</t>
  </si>
  <si>
    <t>Proceeds as a Percentage of Book Value</t>
  </si>
  <si>
    <t>Thor Industries Inc</t>
  </si>
  <si>
    <t>THO.NYSE</t>
  </si>
  <si>
    <t>Business Description</t>
  </si>
  <si>
    <t>Thor Industries, Inc. designs, manufactures, and sells recreational vehicles (RVs), and related parts and accessories in the United States, Canada, and Europe. The company offers travel trailers; gasoline and diesel Class A, Class B, and Class C motorhomes; conventional travel trailers and fifth wheels; luxury fifth wheels; and motorcaravans, caravans, campervans, and urban vehicles. It also provides aluminum extrusion and specialized component products to RV and other manufacturers; and digital products and services for RVs. The company provides its products through independent and non-franchise dealers. The company was founded in 1980 and is based in Elkhart, Indiana.</t>
  </si>
  <si>
    <t>Shares Outstanding</t>
  </si>
  <si>
    <t>Industry Averages Overview</t>
  </si>
  <si>
    <t>Category</t>
  </si>
  <si>
    <t>Auto Manufacturers,Auto Manufacturers - Major,Recreational Vehicles</t>
  </si>
  <si>
    <t>CAGR Past Five Years</t>
  </si>
  <si>
    <t>Financials Overview</t>
  </si>
  <si>
    <t>Pre-tax Operating Margin (TTM)</t>
  </si>
  <si>
    <t>TTM</t>
  </si>
  <si>
    <t>2021-07-31</t>
  </si>
  <si>
    <t>2020-07-31</t>
  </si>
  <si>
    <t>2019-07-31</t>
  </si>
  <si>
    <t>2018-07-31</t>
  </si>
  <si>
    <t>2017-07-31</t>
  </si>
  <si>
    <t>2016-07-31</t>
  </si>
  <si>
    <t>2015-07-31</t>
  </si>
  <si>
    <t>2014-07-31</t>
  </si>
  <si>
    <t>2013-07-31</t>
  </si>
  <si>
    <t>2012-07-31</t>
  </si>
  <si>
    <t>2011-07-31</t>
  </si>
  <si>
    <t>2010-07-31</t>
  </si>
  <si>
    <t>2009-07-31</t>
  </si>
  <si>
    <t>2008-07-31</t>
  </si>
  <si>
    <t>2007-07-31</t>
  </si>
  <si>
    <t>2006-07-31</t>
  </si>
  <si>
    <t>2005-07-31</t>
  </si>
  <si>
    <t>2004-07-31</t>
  </si>
  <si>
    <t>2003-07-31</t>
  </si>
  <si>
    <t>2002-07-31</t>
  </si>
  <si>
    <t>2001-07-31</t>
  </si>
  <si>
    <t>2000-07-31</t>
  </si>
  <si>
    <t>ROIC (TTM)</t>
  </si>
  <si>
    <t>Revenue</t>
  </si>
  <si>
    <t>Operating Income</t>
  </si>
  <si>
    <t>WACC</t>
  </si>
  <si>
    <t>Operating Margin</t>
  </si>
  <si>
    <t>Unlevered Beta</t>
  </si>
  <si>
    <t>Effective Tax Rate</t>
  </si>
  <si>
    <t>Levered Beta</t>
  </si>
  <si>
    <t>Book Value of Equity</t>
  </si>
  <si>
    <t>Book Value of Debt</t>
  </si>
  <si>
    <t>Cash &amp; Short Term Investments</t>
  </si>
  <si>
    <t>Invested Capital</t>
  </si>
  <si>
    <t>DCF Valuaton</t>
  </si>
  <si>
    <t>Base Year</t>
  </si>
  <si>
    <t>Terminal Year</t>
  </si>
  <si>
    <t>Revenues</t>
  </si>
  <si>
    <t>Tax Rate</t>
  </si>
  <si>
    <t>NOPAT</t>
  </si>
  <si>
    <t>- Reinvestment</t>
  </si>
  <si>
    <t>FCFF</t>
  </si>
  <si>
    <t>NOL</t>
  </si>
  <si>
    <t>Cost of Capital</t>
  </si>
  <si>
    <t>Cumulated Discount Factor</t>
  </si>
  <si>
    <t>PV (FCFF)</t>
  </si>
  <si>
    <t>ROIC</t>
  </si>
  <si>
    <t>Terminal Cash Flow</t>
  </si>
  <si>
    <t>Sensitivity Analysis</t>
  </si>
  <si>
    <t>Terminal Cost of Capital</t>
  </si>
  <si>
    <t>xMin</t>
  </si>
  <si>
    <t>Terminal Value</t>
  </si>
  <si>
    <t>xMax</t>
  </si>
  <si>
    <t>PV (Terminal Value)</t>
  </si>
  <si>
    <t>yMin</t>
  </si>
  <si>
    <t>PV (CF Over Next 10 Years</t>
  </si>
  <si>
    <t>yMax</t>
  </si>
  <si>
    <t>Sum of PV</t>
  </si>
  <si>
    <t>CAGR (X)</t>
  </si>
  <si>
    <t/>
  </si>
  <si>
    <t>Proceeds if the Firm Fails</t>
  </si>
  <si>
    <t>Operating Assets</t>
  </si>
  <si>
    <t>Operating Target Margin (y)</t>
  </si>
  <si>
    <t>- Debt</t>
  </si>
  <si>
    <t>- Minority Interests</t>
  </si>
  <si>
    <t>+ Cash</t>
  </si>
  <si>
    <t>+ Non-Operating Assets</t>
  </si>
  <si>
    <t>Equity</t>
  </si>
  <si>
    <t>- Options</t>
  </si>
  <si>
    <t>Monte Carlo Simulation</t>
  </si>
  <si>
    <t>Distributions</t>
  </si>
  <si>
    <t>Common Stock Equity</t>
  </si>
  <si>
    <t>CAGR Standard Deviation</t>
  </si>
  <si>
    <t>Current Price</t>
  </si>
  <si>
    <t>Operating Margin Min/Max</t>
  </si>
  <si>
    <t>Estimated Value Per Share</t>
  </si>
  <si>
    <t>Sales to Capital Ratio Min/Max</t>
  </si>
  <si>
    <t>Margin of Safety</t>
  </si>
  <si>
    <t>Output Info</t>
  </si>
  <si>
    <t>Percentile</t>
  </si>
  <si>
    <t>Forecasted values</t>
  </si>
  <si>
    <t>Trials</t>
  </si>
  <si>
    <t>Mean</t>
  </si>
  <si>
    <t>Median</t>
  </si>
  <si>
    <t>Minimum</t>
  </si>
  <si>
    <t>Maximum</t>
  </si>
  <si>
    <t>Standard Deviation</t>
  </si>
  <si>
    <t>Variance</t>
  </si>
  <si>
    <t>Skewness</t>
  </si>
  <si>
    <t>Kurtosis</t>
  </si>
  <si>
    <t>Coeff. of Variation</t>
  </si>
  <si>
    <t>Mean Standard Error</t>
  </si>
  <si>
    <t>@95% Upper Limit</t>
  </si>
  <si>
    <t>@95% Lower Limit</t>
  </si>
  <si>
    <t>Income Statement</t>
  </si>
  <si>
    <t>Date</t>
  </si>
  <si>
    <t>Cost of revenue</t>
  </si>
  <si>
    <t>Gross profit</t>
  </si>
  <si>
    <t>Gross margin</t>
  </si>
  <si>
    <t>Selling general administrative</t>
  </si>
  <si>
    <t>Selling and marketing expenses</t>
  </si>
  <si>
    <t>Research development</t>
  </si>
  <si>
    <t>Effect of accounting charges</t>
  </si>
  <si>
    <t>Operating expenses</t>
  </si>
  <si>
    <t>Operating income</t>
  </si>
  <si>
    <t>Operating margin</t>
  </si>
  <si>
    <t>Interest income</t>
  </si>
  <si>
    <t>Interest expense</t>
  </si>
  <si>
    <t>Net interest income</t>
  </si>
  <si>
    <t>Other income expense</t>
  </si>
  <si>
    <t>Income before tax</t>
  </si>
  <si>
    <t>Income tax expense</t>
  </si>
  <si>
    <t>Effective tax rate</t>
  </si>
  <si>
    <t>Discontinued operations</t>
  </si>
  <si>
    <t>Minority interest</t>
  </si>
  <si>
    <t>Net income from continuing ops</t>
  </si>
  <si>
    <t>Net income</t>
  </si>
  <si>
    <t>Preferred stock and other adjustments</t>
  </si>
  <si>
    <t>Net income applicable to common shares</t>
  </si>
  <si>
    <t>Net margin</t>
  </si>
  <si>
    <t>Ebit</t>
  </si>
  <si>
    <t>Non recurring</t>
  </si>
  <si>
    <t>Reconciled depreciation</t>
  </si>
  <si>
    <t>Other items</t>
  </si>
  <si>
    <t>Ebitda</t>
  </si>
  <si>
    <t>Currency code</t>
  </si>
  <si>
    <t>USD</t>
  </si>
  <si>
    <t>Filing date</t>
  </si>
  <si>
    <t>2021-12-08</t>
  </si>
  <si>
    <t>2021-09-28</t>
  </si>
  <si>
    <t>2020-09-28</t>
  </si>
  <si>
    <t>2019-09-30</t>
  </si>
  <si>
    <t>2018-09-20</t>
  </si>
  <si>
    <t>2017-09-27</t>
  </si>
  <si>
    <t>2016-09-26</t>
  </si>
  <si>
    <t>2015-09-21</t>
  </si>
  <si>
    <t>2014-09-25</t>
  </si>
  <si>
    <t>2013-09-26</t>
  </si>
  <si>
    <t>2012-09-26</t>
  </si>
  <si>
    <t>2011-09-28</t>
  </si>
  <si>
    <t>2010-09-29</t>
  </si>
  <si>
    <t>2009-09-29</t>
  </si>
  <si>
    <t>2008-09-29</t>
  </si>
  <si>
    <t>2007-10-01</t>
  </si>
  <si>
    <t>2006-09-28</t>
  </si>
  <si>
    <t>2005-10-14</t>
  </si>
  <si>
    <t>2004-10-12</t>
  </si>
  <si>
    <t>Balance Sheet</t>
  </si>
  <si>
    <t>Cash</t>
  </si>
  <si>
    <t>Short term investments</t>
  </si>
  <si>
    <t>Cash and short term investments</t>
  </si>
  <si>
    <t>Net receivables</t>
  </si>
  <si>
    <t>Inventory</t>
  </si>
  <si>
    <t>Other current assets</t>
  </si>
  <si>
    <t>Total current assets</t>
  </si>
  <si>
    <t>Long term investments</t>
  </si>
  <si>
    <t>Property plant equipment</t>
  </si>
  <si>
    <t>Intangible assets</t>
  </si>
  <si>
    <t>Good will</t>
  </si>
  <si>
    <t>Other assets</t>
  </si>
  <si>
    <t>Non current assets total</t>
  </si>
  <si>
    <t>Total assets</t>
  </si>
  <si>
    <t>Accounts payable</t>
  </si>
  <si>
    <t>Short long term debt</t>
  </si>
  <si>
    <t>Other current liab</t>
  </si>
  <si>
    <t>Total current liabilities</t>
  </si>
  <si>
    <t>Long term debt</t>
  </si>
  <si>
    <t>Capital lease obligations</t>
  </si>
  <si>
    <t>Long term debt and capital leases</t>
  </si>
  <si>
    <t>Total debt</t>
  </si>
  <si>
    <t>Deferred long term liab</t>
  </si>
  <si>
    <t>Non current liabilities other</t>
  </si>
  <si>
    <t>Non current liabilities total</t>
  </si>
  <si>
    <t>Total liab</t>
  </si>
  <si>
    <t>Common stock</t>
  </si>
  <si>
    <t>Preferred stock total equity</t>
  </si>
  <si>
    <t>Retained earnings</t>
  </si>
  <si>
    <t>Accumulated other comprehensive income</t>
  </si>
  <si>
    <t>Additional paid in capital</t>
  </si>
  <si>
    <t>Treasury stock</t>
  </si>
  <si>
    <t>Capital surpluse</t>
  </si>
  <si>
    <t>Other stockholder equity</t>
  </si>
  <si>
    <t>Total stockholder equity</t>
  </si>
  <si>
    <t>Noncontrolling interest in consolidated entity</t>
  </si>
  <si>
    <t>Total equity</t>
  </si>
  <si>
    <t>Cash Flow Statement</t>
  </si>
  <si>
    <t>Depreciation</t>
  </si>
  <si>
    <t>Change to account receivables</t>
  </si>
  <si>
    <t>Change receivables</t>
  </si>
  <si>
    <t>Change to inventory</t>
  </si>
  <si>
    <t>Change to liabilities</t>
  </si>
  <si>
    <t>Change in working capital</t>
  </si>
  <si>
    <t>Total cash from operating activities</t>
  </si>
  <si>
    <t>Investments</t>
  </si>
  <si>
    <t>Other cashflows from investing activities</t>
  </si>
  <si>
    <t>Total cashflows from investing activities</t>
  </si>
  <si>
    <t>Sale purchase of stock</t>
  </si>
  <si>
    <t>Net borrowings</t>
  </si>
  <si>
    <t>Dividends paid</t>
  </si>
  <si>
    <t>Other cashflows from financing activities</t>
  </si>
  <si>
    <t>Total cash from financing activities</t>
  </si>
  <si>
    <t>Begin period cash flow</t>
  </si>
  <si>
    <t>End period cash flow</t>
  </si>
  <si>
    <t>Change in cash</t>
  </si>
  <si>
    <t>Capital expenditures</t>
  </si>
  <si>
    <t>Free cash flow</t>
  </si>
  <si>
    <t>Estimated Cost of Capital</t>
  </si>
  <si>
    <t>Number of Shares Outstanding</t>
  </si>
  <si>
    <t>Country ISO</t>
  </si>
  <si>
    <t>US</t>
  </si>
  <si>
    <t>10 yr gov. bond yield</t>
  </si>
  <si>
    <t>Country Adjusted Default Spread</t>
  </si>
  <si>
    <t>Riskfree Rate</t>
  </si>
  <si>
    <t>Equity Risk Premium</t>
  </si>
  <si>
    <t>Book Value</t>
  </si>
  <si>
    <t>Output</t>
  </si>
  <si>
    <t>Interest Expense</t>
  </si>
  <si>
    <t>Estimated Market Value of Normal Debt</t>
  </si>
  <si>
    <t>Estimated Value of Normal Debt in Convertible</t>
  </si>
  <si>
    <t>Interest Spread</t>
  </si>
  <si>
    <t>Estimated Value of Equity in Convertible</t>
  </si>
  <si>
    <t>Estimated Cost of Debt</t>
  </si>
  <si>
    <t>Levered Beta for Equity</t>
  </si>
  <si>
    <t>Method of Calculating Pre-tax Cost of Debt</t>
  </si>
  <si>
    <t>Debt</t>
  </si>
  <si>
    <t>Capital</t>
  </si>
  <si>
    <t>Market Value</t>
  </si>
  <si>
    <t>Marginal Tax Rate</t>
  </si>
  <si>
    <t>Weight in Cost of Capital</t>
  </si>
  <si>
    <t>Cost of Component</t>
  </si>
  <si>
    <t>Black Scholes Employee Options Results</t>
  </si>
  <si>
    <t>Standard deviation in stock price (volatility)</t>
  </si>
  <si>
    <t>Risk free rate</t>
  </si>
  <si>
    <t>Shares outstanding</t>
  </si>
  <si>
    <t>Share price</t>
  </si>
  <si>
    <t>d1</t>
  </si>
  <si>
    <t>N (d1)</t>
  </si>
  <si>
    <t>d2</t>
  </si>
  <si>
    <t>N (d2)</t>
  </si>
  <si>
    <t>Value per option</t>
  </si>
  <si>
    <t>Value of all options (in millions)</t>
  </si>
  <si>
    <t>Synthetic Credit Rating</t>
  </si>
  <si>
    <t>Company Size</t>
  </si>
  <si>
    <t>Interest Coverage</t>
  </si>
  <si>
    <t>Estimated Bond Rating</t>
  </si>
  <si>
    <t>Market Capitalization</t>
  </si>
  <si>
    <t>Estimated Company Default Spread</t>
  </si>
  <si>
    <t>Financials/USD Exchange Rate</t>
  </si>
  <si>
    <t>Large Companies (&gt; $5,000m Market Cap)</t>
  </si>
  <si>
    <t>Smaller &amp; Riskier Companies (&lt; $5,000m Market Cap)</t>
  </si>
  <si>
    <t>Interest Coverage From</t>
  </si>
  <si>
    <t>Interest Coverage To</t>
  </si>
  <si>
    <t>Rating</t>
  </si>
  <si>
    <t>Spread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</si>
  <si>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</si>
  <si>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</si>
  <si>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</si>
  <si>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</si>
  <si>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</si>
  <si>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</si>
  <si>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</si>
  <si>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</si>
  <si>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</si>
  <si>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</si>
  <si>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</si>
  <si>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</si>
  <si>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</si>
  <si>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</si>
  <si>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</si>
  <si>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Industry</t>
  </si>
  <si>
    <t>Gic sub industry</t>
  </si>
  <si>
    <t>Number of firms</t>
  </si>
  <si>
    <t>Annual average cagr last five years</t>
  </si>
  <si>
    <t>Pre tax operating margin unadjusted</t>
  </si>
  <si>
    <t>After tax roic</t>
  </si>
  <si>
    <t>Average effective tax rate</t>
  </si>
  <si>
    <t>Unlevered beta</t>
  </si>
  <si>
    <t>Equity levered beta</t>
  </si>
  <si>
    <t>Cost of equity</t>
  </si>
  <si>
    <t>Standard deviation in stock prices</t>
  </si>
  <si>
    <t>Pre tax cost of debt</t>
  </si>
  <si>
    <t>Market debt capital</t>
  </si>
  <si>
    <t>Cost of capital</t>
  </si>
  <si>
    <t>Sales capital</t>
  </si>
  <si>
    <t>Ev sales</t>
  </si>
  <si>
    <t>Ev ebitda</t>
  </si>
  <si>
    <t>Ev ebit</t>
  </si>
  <si>
    <t>Price book</t>
  </si>
  <si>
    <t>Trailing pe</t>
  </si>
  <si>
    <t>Non cash wc as percentage of revenues</t>
  </si>
  <si>
    <t>Capex as a percentage of revenues</t>
  </si>
  <si>
    <t>Net capex as a percentage of revenues</t>
  </si>
  <si>
    <t>Reinvestment rate</t>
  </si>
  <si>
    <t>Roe</t>
  </si>
  <si>
    <t>Dividend payout ratio</t>
  </si>
  <si>
    <t>Equity reinvestment rate</t>
  </si>
  <si>
    <t>Pre tax operating margin lease and r d adjusted</t>
  </si>
  <si>
    <t>Accident &amp; Health Insurance,Insurance - Life,Insurance-Life,Life Insurance</t>
  </si>
  <si>
    <t>Life &amp; Health Insurance</t>
  </si>
  <si>
    <t>Advertising Agencies,Marketing Services</t>
  </si>
  <si>
    <t>Advertising</t>
  </si>
  <si>
    <t>Aerospace &amp; Defense,Aerospace/Defense - Major Diversified,Aerospace/Defense Products &amp; Services</t>
  </si>
  <si>
    <t>Aerospace &amp; Defense</t>
  </si>
  <si>
    <t>Agricultural Chemicals,Scientific &amp; Technical Instruments,Specialty Chemicals,Synthetics,Textile Industrial,Textile Manufacturing</t>
  </si>
  <si>
    <t>Specialty Chemicals</t>
  </si>
  <si>
    <t>Agricultural Inputs,Farm Products</t>
  </si>
  <si>
    <t>Agricultural Products</t>
  </si>
  <si>
    <t>Air Delivery &amp; Freight Services,Integrated Freight &amp; Logistics,Integrated Shipping &amp; Logistics,Shipping,Shipping &amp; Ports,Transportation</t>
  </si>
  <si>
    <t>Airport Services</t>
  </si>
  <si>
    <t>Air Services, Other,Airlines,Airports &amp; Air Services,Major Airlines,Regional Airlines,Travel Services</t>
  </si>
  <si>
    <t>Air Freight &amp; Logistics,Airlines</t>
  </si>
  <si>
    <t>NA</t>
  </si>
  <si>
    <t>Aluminum,Chemicals</t>
  </si>
  <si>
    <t>Commodity Chemicals,Fertilizers &amp; Agricultural Chemicals,Industrial Gases</t>
  </si>
  <si>
    <t>Apparel Manufacturing,Apparel Retail,Apparel Stores,Consumer Durables &amp; Apparel,Footwear &amp; Accessories,Textile - Apparel Clothing</t>
  </si>
  <si>
    <t>Leisure Products,Apparel, Accessories &amp; Luxury Goods,Textiles</t>
  </si>
  <si>
    <t>Appliances,Cleaning Products,Household &amp; Personal Products,Personal Products</t>
  </si>
  <si>
    <t>Household Appliances,Housewares &amp; Specialties,Household Products,Personal Products</t>
  </si>
  <si>
    <t>Application Software,Data Storage,Multimedia &amp; Graphics Software,Security Software &amp; Services,Software &amp; Services,Software - Application,Software - Infrastructure,Software-Application,Software-Infrastructure,Technical &amp; System Software</t>
  </si>
  <si>
    <t>Data Processing &amp; Outsourced Services,Application Software,Systems Software</t>
  </si>
  <si>
    <t>Asset Management,Diversified Investments,Mortgage Investment</t>
  </si>
  <si>
    <t>Asset Management &amp; Custody Banks</t>
  </si>
  <si>
    <t>Automobiles &amp; Components,Auto &amp; Truck Dealerships,Auto Dealerships</t>
  </si>
  <si>
    <t>Automotive Retail</t>
  </si>
  <si>
    <t>Automobile Manufacturers,Motorcycle Manufacturers</t>
  </si>
  <si>
    <t>Auto Parts,Auto Parts Stores,Auto Parts Wholesale</t>
  </si>
  <si>
    <t>Auto Parts &amp; Equipment</t>
  </si>
  <si>
    <t>Banks,Banks - Global,Banks - Diversified,Foreign Money Center Banks,Money Center Banks,Savings &amp; Cooperative Banks,Savings &amp; Loans</t>
  </si>
  <si>
    <t>Diversified Banks</t>
  </si>
  <si>
    <t>Banks - Regional - Africa,Banks - Regional - Asia,Banks - Regional - Australia,Banks - Regional - Canada,Banks - Regional - Europe,Banks - Regional - Latin America,Banks - Regional - US,Banks - Regional,Banks-Regional,Foreign Regional Banks,Regional - Mid-Atlantic Banks,Regional - Midwest Banks,Regional - Northeast Banks,Regional - Pacific Banks,Regional - Southeast Banks,Regional - Southwest  Banks</t>
  </si>
  <si>
    <t>Regional Banks</t>
  </si>
  <si>
    <t>Banks-Diversified,Conglomerates,Diversified Industrials,Media - Diversified,Other,Shell Companies</t>
  </si>
  <si>
    <t>Other Diversified Financial Services,Multi-Sector Holdings</t>
  </si>
  <si>
    <t>Basic Materials Wholesale,Industrial Metals &amp; Minerals,Infrastructure Operations,Nonmetallic Mineral Mining,Other Industrial Metals &amp; Mining</t>
  </si>
  <si>
    <t>Diversified Metals &amp; Mining</t>
  </si>
  <si>
    <t>Beverages - Brewers,Beverages - Wineries &amp; Distilleries,Beverages - Wineries &amp; Distillers,Beverages-Brewers,Beverages-Wineries &amp; Distilleries</t>
  </si>
  <si>
    <t>Brewers,Distillers &amp; Vintners</t>
  </si>
  <si>
    <t>Beverages - Soft Drinks,Beverages-Non-Alcoholic,Beverages - Non-Alcoholic</t>
  </si>
  <si>
    <t>Soft Drinks</t>
  </si>
  <si>
    <t>Biotechnology,Diagnostics &amp; Research</t>
  </si>
  <si>
    <t>Health Care Technology</t>
  </si>
  <si>
    <t>Broadcasting,Broadcasting - Radio,Broadcasting - TV</t>
  </si>
  <si>
    <t>Broadcasting</t>
  </si>
  <si>
    <t>Building Materials,Building Materials Wholesale,Building Products &amp; Equipment,General Building Materials,Materials</t>
  </si>
  <si>
    <t>Building Products</t>
  </si>
  <si>
    <t>Business Equipment,Business Equipment &amp; Supplies,Business Services,Business Software &amp; Services,Commercial &amp; Professional Services,Consulting Services,Consumer Services,General Contractors,Management Services,Personal Services,Rental &amp; Leasing Services,Research Services,Security &amp; Protection Services,Specialty Business Services,Staffing &amp; Employment Services,Staffing &amp; Outsourcing Services,Technical Services</t>
  </si>
  <si>
    <t>Commercial Printing,Diversified Support Services,Security &amp; Alarm Services,Human Resource &amp; Employment Services,Research &amp; Consulting Services,Specialized Consumer Services</t>
  </si>
  <si>
    <t>Capital Goods,Capital Markets,Closed-End Fund - Debt,Closed-End Fund - Equity,Closed-End Fund - Foreign,Credit Services,Diversified Financials,Financial Conglomerates,Financial Data &amp; Stock Exchanges,Mortgage Finance,Specialty Finance</t>
  </si>
  <si>
    <t>Thrifts &amp; Mortgage Finance,Specialized Finance,Consumer Finance,Diversified Capital Markets,Financial Exchanges &amp; Data</t>
  </si>
  <si>
    <t>Catalog &amp; Mail Order Houses,Manufactured Housing,Residential Construction</t>
  </si>
  <si>
    <t>Homebuilding</t>
  </si>
  <si>
    <t>CATV Systems,Pay TV</t>
  </si>
  <si>
    <t>Cable &amp; Satellite</t>
  </si>
  <si>
    <t>Cement</t>
  </si>
  <si>
    <t>Construction Materials</t>
  </si>
  <si>
    <t>Chemicals - Major Diversified</t>
  </si>
  <si>
    <t>Diversified Chemicals</t>
  </si>
  <si>
    <t>Cigarettes,Confectioners,Drug Stores,Drugs Wholesale,Electronics Stores,Home Furnishing Stores,Home Improvement Retail,Home Improvement Stores,Jewelry Stores,Luxury Goods,Music &amp; Video Stores,Pharmaceutical Retailers,Specialty Retail,Specialty Retail, Other,Sporting Goods Stores,Toy &amp; Hobby Stores,Toys &amp; Games</t>
  </si>
  <si>
    <t>Apparel Retail,Computer &amp; Electronics Retail,Specialty Stores,Homefurnishing Retail</t>
  </si>
  <si>
    <t>Coal,Coking Coal,Energy,Thermal Coal</t>
  </si>
  <si>
    <t>Coal &amp; Consumable Fuels</t>
  </si>
  <si>
    <t>Communication Equipment,Long Distance Carriers,Networking &amp; Communication Devices</t>
  </si>
  <si>
    <t>Communications Equipment</t>
  </si>
  <si>
    <t>Computer Based Systems,Computer Hardware,Computer Systems,Personal Computers,Printed Circuit Boards</t>
  </si>
  <si>
    <t>Technology Hardware, Storage &amp; Peripherals</t>
  </si>
  <si>
    <t>Computer Distribution,Computers Wholesale,Electronics Wholesale,Medical Distribution</t>
  </si>
  <si>
    <t>Trading Companies &amp; Distributors,Distributors</t>
  </si>
  <si>
    <t>Consumer Electronics</t>
  </si>
  <si>
    <t>Contract Manufacturers,Diversified Computer Systems</t>
  </si>
  <si>
    <t>IT Consulting &amp; Other Services</t>
  </si>
  <si>
    <t>Copper,Gold,Other Precious Metals &amp; Mining,Silver</t>
  </si>
  <si>
    <t>Aluminum,Copper,Gold,Precious Metals &amp; Minerals,Silver</t>
  </si>
  <si>
    <t>Dairy Products,Food - Major Diversified,Food Distribution,Food Beverage &amp; Tobacco,Processed &amp; Packaged Goods,Processing Systems &amp; Products</t>
  </si>
  <si>
    <t>Packaged Foods &amp; Meats</t>
  </si>
  <si>
    <t>Data Storage Devices,Electrical Equipment &amp; Parts,Electronic Equipment,Industrial Electrical Equipment,Technology Hardware &amp; Equipment</t>
  </si>
  <si>
    <t>Electrical Components &amp; Equipment,Heavy Electrical Equipment,Technology Distributors</t>
  </si>
  <si>
    <t>Department Stores,Discount Stores,Discount, Variety Stores,Retailing</t>
  </si>
  <si>
    <t>Department Stores,General Merchandise Stores</t>
  </si>
  <si>
    <t>Diagnostic Substances,Drugs - Generic,Health Care Plans,Healthcare Plans,Medical Appliances &amp; Equipment,Medical Devices,Medical Equipment Wholesale,Medical Instruments &amp; Supplies</t>
  </si>
  <si>
    <t>Health Care Equipment,Health Care Supplies</t>
  </si>
  <si>
    <t>Diversified Communication Services,Internet Information Providers,Internet Service Providers,Telecom Services,Telecom Services - Domestic,Telecom Services - Foreign,Telecommunication Services</t>
  </si>
  <si>
    <t>Alternative Carriers,Integrated Telecommunication Services</t>
  </si>
  <si>
    <t>Diversified Electronics,Electronic Components,Electronics &amp; Computer Distribution,Electronics Distribution,Photographic Equipment &amp; Supplies</t>
  </si>
  <si>
    <t>Electronic Equipment &amp; Instruments,Electronic Components,Electronic Manufacturing Services</t>
  </si>
  <si>
    <t>Diversified Machinery,Farm &amp; Heavy Construction Machinery,Farm &amp; Construction Equipment,Farm &amp; Construction Machinery,Machine Tools &amp; Accessories,Metal Fabrication,Specialty Industrial Machinery</t>
  </si>
  <si>
    <t>Industrial Conglomerates,Construction Machinery &amp; Heavy Trucks,Agricultural &amp; Farm Machinery,Industrial Machinery</t>
  </si>
  <si>
    <t>Diversified Utilities,Electric Utilities,Foreign Utilities,Gas Utilities,Utilities,Utilities - Diversified,Utilities - Independent Power Producers,Utilities - Regulated Electric,Utilities - Regulated Gas,Utilities-Diversified,Utilities-Independent Power Producers,Utilities-Regulated Electric,Utilities-Regulated Gas</t>
  </si>
  <si>
    <t>Electric Utilities,Gas Utilities,Multi-Utilities</t>
  </si>
  <si>
    <t>Drug Delivery,Drug Manufacturers - Other,Drug Manufacturers - General,Drug Manufacturers-General,Drug Related Products,Pharmaceuticals, Biotechnology &amp; Life Sciences</t>
  </si>
  <si>
    <t>Pharmaceuticals,Life Sciences Tools &amp; Services</t>
  </si>
  <si>
    <t>Drug Manufacturers - Major,Drug Manufacturers - Specialty &amp; Generic,Drug Manufacturers-Specialty &amp; Generic</t>
  </si>
  <si>
    <t>Drug Retail,Biotechnology</t>
  </si>
  <si>
    <t>Education &amp; Training Services</t>
  </si>
  <si>
    <t>Education Services</t>
  </si>
  <si>
    <t>Electronic Gaming &amp; Multimedia</t>
  </si>
  <si>
    <t>Interactive Home Entertainment</t>
  </si>
  <si>
    <t>Engineering &amp; Construction,Heavy Construction</t>
  </si>
  <si>
    <t>Construction &amp; Engineering</t>
  </si>
  <si>
    <t>Entertainment,Entertainment - Diversified,Gaming Activities,General Entertainment,Movie Production, Theaters</t>
  </si>
  <si>
    <t>Movies &amp; Entertainment</t>
  </si>
  <si>
    <t>Food &amp; Staples Retailing,Grocery Stores,Meat Products,Packaged Foods,Specialty Eateries</t>
  </si>
  <si>
    <t>Hypermarkets &amp; Super Centers</t>
  </si>
  <si>
    <t>Food Wholesale,Wholesale, Other</t>
  </si>
  <si>
    <t>Food Distributors</t>
  </si>
  <si>
    <t>Furnishings, Fixtures &amp; Appliances,Home Furnishings &amp; Fixtures,Housewares &amp; Accessories</t>
  </si>
  <si>
    <t>Home Furnishings</t>
  </si>
  <si>
    <t>Gambling,Lodging,Resorts &amp; Casinos</t>
  </si>
  <si>
    <t>Casinos &amp; Gaming,Hotels, Resorts &amp; Cruise Lines</t>
  </si>
  <si>
    <t>Health Information Services,Healthcare Information Services,Information &amp; Delivery Services,Information Technology Services</t>
  </si>
  <si>
    <t>Internet Services &amp; Infrastructure</t>
  </si>
  <si>
    <t>Home Health Care,Long-Term Care Facilities,Medical Care,Medical Care Facilities,Specialized Health Services</t>
  </si>
  <si>
    <t>Health Care Services</t>
  </si>
  <si>
    <t>Hospitals,Medical Laboratories &amp; Research,Medical Practitioners</t>
  </si>
  <si>
    <t>Health Care Distributors,Health Care Facilities,Managed Health Care</t>
  </si>
  <si>
    <t>Independent Oil &amp; Gas,Oil &amp; Gas Drilling,Oil &amp; Gas Drilling &amp; Exploration,Oil &amp; Gas E&amp;P,Oil &amp; Gas Pipelines,Oil &amp; Gas Refining &amp; Marketing</t>
  </si>
  <si>
    <t>Oil &amp; Gas Drilling,Oil &amp; Gas Exploration &amp; Production,Oil &amp; Gas Refining &amp; Marketing</t>
  </si>
  <si>
    <t>Industrial Distribution,Oil &amp; Gas Midstream</t>
  </si>
  <si>
    <t>Oil &amp; Gas Storage &amp; Transportation</t>
  </si>
  <si>
    <t>Industrial Equipment &amp; Components,Industrial Equipment Wholesale,Oil &amp; Gas Equipment &amp; Services</t>
  </si>
  <si>
    <t>Oil &amp; Gas Equipment &amp; Services</t>
  </si>
  <si>
    <t>Insurance,Insurance - Diversified,Insurance - Specialty,Insurance Brokers,Insurance-Diversified,Insurance-Specialty,Surety &amp; Title Insurance</t>
  </si>
  <si>
    <t>Insurance Brokers,Multi-line Insurance</t>
  </si>
  <si>
    <t>Insurance - Property &amp; Casualty,Insurance-Property &amp; Casualty,Property &amp; Casualty Insurance</t>
  </si>
  <si>
    <t>Property &amp; Casualty Insurance</t>
  </si>
  <si>
    <t>Insurance (General),Insurance - Reinsurance,Insurance-Reinsurance</t>
  </si>
  <si>
    <t>Reinsurance</t>
  </si>
  <si>
    <t>Internet Content &amp; Information,Internet Software &amp; Services</t>
  </si>
  <si>
    <t>Interactive Media &amp; Services</t>
  </si>
  <si>
    <t>Internet Retail</t>
  </si>
  <si>
    <t>Internet &amp; Direct Marketing Retail</t>
  </si>
  <si>
    <t>Investment Brokerage - National,Investment Brokerage - Regional</t>
  </si>
  <si>
    <t>Investment Banking &amp; Brokerage</t>
  </si>
  <si>
    <t>Leisure,Recreational Goods, Other,Sporting Activities,Sporting Goods</t>
  </si>
  <si>
    <t>Leisure Facilities</t>
  </si>
  <si>
    <t>Lumber, Wood Production,Lumber &amp; Wood Production,Paper &amp; Paper Products</t>
  </si>
  <si>
    <t>Forest Products,Paper Products</t>
  </si>
  <si>
    <t>Major Integrated Oil &amp; Gas,Oil &amp; Gas Integrated</t>
  </si>
  <si>
    <t>Integrated Oil &amp; Gas</t>
  </si>
  <si>
    <t>Marine Shipping</t>
  </si>
  <si>
    <t>Marine,Marine Ports &amp; Services</t>
  </si>
  <si>
    <t>Media,Wireless Communications</t>
  </si>
  <si>
    <t>Wireless Telecommunication Services</t>
  </si>
  <si>
    <t>Office Supplies</t>
  </si>
  <si>
    <t>Office Services &amp; Supplies</t>
  </si>
  <si>
    <t>Packaging &amp; Containers</t>
  </si>
  <si>
    <t>Metal &amp; Glass Containers,Paper Packaging</t>
  </si>
  <si>
    <t>Pollution &amp; Treatment Controls,Waste Management</t>
  </si>
  <si>
    <t>Environmental &amp; Facilities Services</t>
  </si>
  <si>
    <t>Property Management,Real Estate Services</t>
  </si>
  <si>
    <t>Real Estate Operating Companies,Real Estate Services</t>
  </si>
  <si>
    <t>Publishing,Publishing - Books,Publishing - Newspapers,Publishing - Periodicals</t>
  </si>
  <si>
    <t>Publishing</t>
  </si>
  <si>
    <t>Railroads</t>
  </si>
  <si>
    <t>Railroads,Highways &amp; Railtracks</t>
  </si>
  <si>
    <t>Real Estate,Real Estate - General,Real Estate-Diversified,Real Estate - Diversified</t>
  </si>
  <si>
    <t>Diversified Real Estate Activities</t>
  </si>
  <si>
    <t>Real Estate Development,Real Estate-Development,Real Estate - Development</t>
  </si>
  <si>
    <t>Real Estate Development</t>
  </si>
  <si>
    <t>REIT - Diversified,REIT - Healthcare Facilities,REIT - Hotel &amp; Motel,REIT - Hotel/Motel,REIT - Industrial,REIT - Office,REIT - Residential,REIT - Retail,REIT-Diversified,REIT-Healthcare Facilities,REIT-Hotel &amp; Motel,REIT-Industrial,REIT-Mortgage,REIT-Office,REIT-Residential,REIT-Retail,REIT-Specialty,REIT - Specialty,REIT - Mortgage</t>
  </si>
  <si>
    <t>Mortgage REITs,Diversified REITs,Industrial REITs,Hotel &amp; Resort REITs,Office REITs,Health Care REITs,Residential REITs,Retail REITs</t>
  </si>
  <si>
    <t>Restaurants</t>
  </si>
  <si>
    <t>Rubber &amp; Plastics</t>
  </si>
  <si>
    <t>Tires &amp; Rubber</t>
  </si>
  <si>
    <t>Semiconductor - Broad Line,Semiconductor - Integrated Circuits,Semiconductor - Specialized,Semiconductor Memory,Semiconductor- Memory Chips,Semiconductors</t>
  </si>
  <si>
    <t>Semiconductors</t>
  </si>
  <si>
    <t>Semiconductor Equipment &amp; Materials</t>
  </si>
  <si>
    <t>Semiconductor Equipment</t>
  </si>
  <si>
    <t>Small Tools &amp; Accessories,Tools &amp; Accessories</t>
  </si>
  <si>
    <t>Home Improvement Retail</t>
  </si>
  <si>
    <t>Solar,Utilities - Renewable,Utilities-Renewable</t>
  </si>
  <si>
    <t>Renewable Electricity</t>
  </si>
  <si>
    <t>Steel,Steel &amp; Iron</t>
  </si>
  <si>
    <t>Steel</t>
  </si>
  <si>
    <t>Textile - Apparel Footwear &amp; Accessories</t>
  </si>
  <si>
    <t>Footwear</t>
  </si>
  <si>
    <t>Tobacco,Tobacco Products, Other</t>
  </si>
  <si>
    <t>Tobacco</t>
  </si>
  <si>
    <t>Truck Manufacturing,Trucking,Trucks &amp; Other Vehicles</t>
  </si>
  <si>
    <t>Trucking</t>
  </si>
  <si>
    <t>Uranium</t>
  </si>
  <si>
    <t>Independent Power Producers &amp; Energy Traders</t>
  </si>
  <si>
    <t>Utilities - Regulated Water,Utilities-Regulated Water,Water Utilities</t>
  </si>
  <si>
    <t>Water Utilities</t>
  </si>
  <si>
    <t>Total Market</t>
  </si>
  <si>
    <t>Total Market (without financials)</t>
  </si>
  <si>
    <t>Million Modifier</t>
  </si>
  <si>
    <t>Minority Interest</t>
  </si>
  <si>
    <t>Capital Lease Obligations</t>
  </si>
  <si>
    <t>Converted Market Capitalization</t>
  </si>
  <si>
    <t>Converted Share Price</t>
  </si>
  <si>
    <t>Market Listed Currency Code</t>
  </si>
  <si>
    <t>Market Listed Currency Symbol</t>
  </si>
  <si>
    <t>$</t>
  </si>
  <si>
    <t>Financials Currency Code</t>
  </si>
  <si>
    <t>Financials Currency Symbol</t>
  </si>
  <si>
    <t>Financials Quote Exchange Rate</t>
  </si>
  <si>
    <t>Market Quote Exchange Rate</t>
  </si>
  <si>
    <t>Creation Date</t>
  </si>
  <si>
    <t>2022-02-13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</si>
</sst>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#,##0.##"/>
    <numFmt numFmtId="166" formatCode="&quot;$&quot;#,###.##,,"/>
    <numFmt numFmtId="167" formatCode="&quot;$&quot;#,##0.##"/>
    <numFmt numFmtId="168" formatCode="#,###.##,,"/>
    <numFmt numFmtId="169" formatCode="\$#,##0.##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4"/>
  <sheetViews>
    <sheetView tabSelected="1" workbookViewId="0">
      <selection sqref="A1:B1"/>
    </sheetView>
  </sheetViews>
  <sheetFormatPr defaultRowHeight="15" x14ac:dyDescent="0.25"/>
  <cols>
    <col min="1" max="1" width="32.625" customWidth="1"/>
    <col min="4" max="4" width="21.875" customWidth="1"/>
    <col min="8" max="8" width="12.625" customWidth="1"/>
  </cols>
  <sheetData>
    <row r="1" spans="1:24" ht="15.75" x14ac:dyDescent="0.25">
      <c r="A1" s="8" t="s">
        <v>0</v>
      </c>
      <c r="B1" s="8"/>
      <c r="D1" s="8" t="s">
        <v>1</v>
      </c>
      <c r="E1" s="8"/>
      <c r="F1" s="8"/>
    </row>
    <row r="2" spans="1:24" ht="15.75" x14ac:dyDescent="0.25">
      <c r="A2" s="8" t="s">
        <v>2</v>
      </c>
      <c r="B2" s="8"/>
    </row>
    <row r="3" spans="1:24" ht="15.75" x14ac:dyDescent="0.25">
      <c r="A3" t="s">
        <v>3</v>
      </c>
      <c r="B3" t="s">
        <v>4</v>
      </c>
      <c r="C3" s="8" t="s">
        <v>5</v>
      </c>
      <c r="D3" s="8"/>
      <c r="E3" s="1">
        <v>0.1</v>
      </c>
      <c r="F3" s="8" t="s">
        <v>6</v>
      </c>
      <c r="G3" s="8"/>
      <c r="H3">
        <v>2</v>
      </c>
    </row>
    <row r="4" spans="1:24" ht="15.75" x14ac:dyDescent="0.25">
      <c r="C4" s="8" t="s">
        <v>7</v>
      </c>
      <c r="D4" s="8"/>
      <c r="E4" s="1">
        <v>6.1800000000000001E-2</v>
      </c>
      <c r="F4" s="8" t="s">
        <v>8</v>
      </c>
      <c r="G4" s="8"/>
      <c r="H4" s="2">
        <v>2.6</v>
      </c>
    </row>
    <row r="6" spans="1:24" ht="15.75" x14ac:dyDescent="0.25">
      <c r="A6" s="8" t="s">
        <v>9</v>
      </c>
      <c r="B6" s="8"/>
    </row>
    <row r="7" spans="1:24" ht="15.75" x14ac:dyDescent="0.25">
      <c r="A7" s="8" t="s">
        <v>10</v>
      </c>
      <c r="B7" s="8"/>
      <c r="D7" s="8" t="s">
        <v>11</v>
      </c>
      <c r="E7" s="8"/>
      <c r="H7" s="8" t="s">
        <v>12</v>
      </c>
      <c r="I7" s="8"/>
      <c r="K7" s="8" t="s">
        <v>13</v>
      </c>
      <c r="L7" s="8"/>
      <c r="N7" s="8" t="s">
        <v>14</v>
      </c>
      <c r="O7" s="8"/>
    </row>
    <row r="8" spans="1:24" ht="15.75" x14ac:dyDescent="0.25">
      <c r="A8" s="8" t="s">
        <v>15</v>
      </c>
      <c r="B8" s="8"/>
      <c r="D8" s="8" t="s">
        <v>16</v>
      </c>
      <c r="E8" s="8"/>
      <c r="F8" s="8"/>
      <c r="H8" s="8" t="s">
        <v>17</v>
      </c>
      <c r="I8" s="8"/>
      <c r="K8" s="8" t="s">
        <v>18</v>
      </c>
      <c r="L8" s="8"/>
      <c r="N8" s="8" t="s">
        <v>19</v>
      </c>
      <c r="O8" s="8"/>
      <c r="P8" s="8"/>
    </row>
    <row r="9" spans="1:24" ht="15.75" x14ac:dyDescent="0.25">
      <c r="A9" s="8" t="s">
        <v>20</v>
      </c>
      <c r="B9" s="8"/>
      <c r="D9" s="8" t="s">
        <v>21</v>
      </c>
      <c r="E9" s="8"/>
      <c r="F9" s="8"/>
      <c r="H9" s="8" t="s">
        <v>22</v>
      </c>
      <c r="I9" s="8"/>
      <c r="K9" s="8" t="s">
        <v>23</v>
      </c>
      <c r="L9" s="8"/>
      <c r="N9" s="8" t="s">
        <v>24</v>
      </c>
      <c r="O9" s="8"/>
      <c r="P9" s="8"/>
    </row>
    <row r="10" spans="1:24" ht="15.75" x14ac:dyDescent="0.25">
      <c r="D10" s="8" t="s">
        <v>25</v>
      </c>
      <c r="E10" s="8"/>
      <c r="F10" s="8"/>
      <c r="H10" s="8" t="s">
        <v>26</v>
      </c>
      <c r="I10" s="8"/>
      <c r="K10" s="8" t="s">
        <v>27</v>
      </c>
      <c r="L10" s="8"/>
      <c r="N10" s="8" t="s">
        <v>28</v>
      </c>
      <c r="O10" s="8"/>
      <c r="P10" s="8"/>
      <c r="Q10" s="1">
        <v>0.02</v>
      </c>
    </row>
    <row r="11" spans="1:24" ht="15.75" x14ac:dyDescent="0.25">
      <c r="D11" s="8" t="s">
        <v>29</v>
      </c>
      <c r="E11" s="8"/>
      <c r="F11" s="8"/>
      <c r="N11" s="8" t="s">
        <v>30</v>
      </c>
      <c r="O11" s="8"/>
      <c r="P11" s="8"/>
    </row>
    <row r="12" spans="1:24" ht="15.75" x14ac:dyDescent="0.25">
      <c r="A12" s="8" t="s">
        <v>31</v>
      </c>
      <c r="B12" s="8"/>
    </row>
    <row r="13" spans="1:24" ht="15.75" x14ac:dyDescent="0.25">
      <c r="A13" s="8" t="s">
        <v>32</v>
      </c>
      <c r="B13" s="8"/>
      <c r="D13" s="8" t="s">
        <v>33</v>
      </c>
      <c r="E13" s="8"/>
    </row>
    <row r="14" spans="1:24" ht="15.75" x14ac:dyDescent="0.25">
      <c r="A14" s="8">
        <v>94.83</v>
      </c>
      <c r="B14" s="8"/>
      <c r="D14" s="8" t="s">
        <v>34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x14ac:dyDescent="0.25">
      <c r="A15" t="s">
        <v>35</v>
      </c>
      <c r="B15" s="2">
        <f>'Helper Data'!$B$6</f>
        <v>55.790700000000001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8" ht="15.75" x14ac:dyDescent="0.25">
      <c r="A17" s="8" t="s">
        <v>36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8" ht="15.75" x14ac:dyDescent="0.25">
      <c r="A18" t="s">
        <v>37</v>
      </c>
      <c r="B18" t="s">
        <v>38</v>
      </c>
    </row>
    <row r="19" spans="1:28" ht="15.75" x14ac:dyDescent="0.25">
      <c r="A19" t="s">
        <v>39</v>
      </c>
      <c r="B19" s="1">
        <v>0.12189999999999999</v>
      </c>
      <c r="D19" s="8" t="s">
        <v>40</v>
      </c>
      <c r="E19" s="8"/>
    </row>
    <row r="20" spans="1:28" ht="15.75" x14ac:dyDescent="0.25">
      <c r="A20" t="s">
        <v>41</v>
      </c>
      <c r="B20" s="1">
        <v>1.9300000000000001E-2</v>
      </c>
      <c r="F20" t="s">
        <v>42</v>
      </c>
      <c r="G20" t="s">
        <v>43</v>
      </c>
      <c r="H20" t="s">
        <v>44</v>
      </c>
      <c r="I20" t="s">
        <v>45</v>
      </c>
      <c r="J20" t="s">
        <v>46</v>
      </c>
      <c r="K20" t="s">
        <v>47</v>
      </c>
      <c r="L20" t="s">
        <v>48</v>
      </c>
      <c r="M20" t="s">
        <v>49</v>
      </c>
      <c r="N20" t="s">
        <v>50</v>
      </c>
      <c r="O20" t="s">
        <v>51</v>
      </c>
      <c r="P20" t="s">
        <v>52</v>
      </c>
      <c r="Q20" t="s">
        <v>53</v>
      </c>
      <c r="R20" t="s">
        <v>54</v>
      </c>
      <c r="S20" t="s">
        <v>55</v>
      </c>
      <c r="T20" t="s">
        <v>56</v>
      </c>
      <c r="U20" t="s">
        <v>57</v>
      </c>
      <c r="V20" t="s">
        <v>58</v>
      </c>
      <c r="W20" t="s">
        <v>59</v>
      </c>
      <c r="X20" t="s">
        <v>60</v>
      </c>
      <c r="Y20" t="s">
        <v>61</v>
      </c>
      <c r="Z20" t="s">
        <v>62</v>
      </c>
      <c r="AA20" t="s">
        <v>63</v>
      </c>
      <c r="AB20" t="s">
        <v>64</v>
      </c>
    </row>
    <row r="21" spans="1:28" ht="15.75" x14ac:dyDescent="0.25">
      <c r="A21" t="s">
        <v>65</v>
      </c>
      <c r="B21" s="1">
        <v>1.17E-2</v>
      </c>
      <c r="D21" t="s">
        <v>66</v>
      </c>
      <c r="F21" s="3">
        <v>13738244000</v>
      </c>
      <c r="G21" s="3">
        <v>12317380000</v>
      </c>
      <c r="H21" s="3">
        <v>8167933000</v>
      </c>
      <c r="I21" s="3">
        <v>7864758000</v>
      </c>
      <c r="J21" s="3">
        <v>8328909000</v>
      </c>
      <c r="K21" s="3">
        <v>7246952000</v>
      </c>
      <c r="L21" s="3">
        <v>4582112000</v>
      </c>
      <c r="M21" s="3">
        <v>4006819000</v>
      </c>
      <c r="N21" s="3">
        <v>3525456000</v>
      </c>
      <c r="O21" s="3">
        <v>3241795000</v>
      </c>
      <c r="P21" s="3">
        <v>3084660000</v>
      </c>
      <c r="Q21" s="3">
        <v>2755508000</v>
      </c>
      <c r="R21" s="3">
        <v>2276557000</v>
      </c>
      <c r="S21" s="3">
        <v>1521896000</v>
      </c>
      <c r="T21" s="3">
        <v>2640680000</v>
      </c>
      <c r="U21" s="3">
        <v>2856308000</v>
      </c>
      <c r="V21" s="3">
        <v>3066276000</v>
      </c>
      <c r="W21" s="3">
        <v>2558351000</v>
      </c>
      <c r="X21" s="3">
        <v>2187738526</v>
      </c>
      <c r="Y21" s="3">
        <v>1571404414</v>
      </c>
      <c r="Z21" s="3">
        <v>1245299721</v>
      </c>
      <c r="AA21" s="3">
        <v>826930810</v>
      </c>
      <c r="AB21">
        <v>893997086</v>
      </c>
    </row>
    <row r="22" spans="1:28" ht="15.75" x14ac:dyDescent="0.25">
      <c r="A22" t="s">
        <v>8</v>
      </c>
      <c r="B22" s="2">
        <v>0.74</v>
      </c>
      <c r="D22" s="8" t="s">
        <v>67</v>
      </c>
      <c r="E22" s="8"/>
      <c r="F22" s="3">
        <v>1064539000</v>
      </c>
      <c r="G22" s="3">
        <v>907874000</v>
      </c>
      <c r="H22" s="3">
        <v>386854000</v>
      </c>
      <c r="I22" s="3">
        <v>361412000</v>
      </c>
      <c r="J22" s="3">
        <v>632104000</v>
      </c>
      <c r="K22" s="3">
        <v>559811000</v>
      </c>
      <c r="L22" s="3">
        <v>392094000</v>
      </c>
      <c r="M22" s="3">
        <v>290639000</v>
      </c>
      <c r="N22" s="3">
        <v>248764000</v>
      </c>
      <c r="O22" s="3">
        <v>219429000</v>
      </c>
      <c r="P22" s="3">
        <v>176487000</v>
      </c>
      <c r="Q22" s="3">
        <v>142015000</v>
      </c>
      <c r="R22" s="3">
        <v>140535000</v>
      </c>
      <c r="S22" s="3">
        <v>15235000</v>
      </c>
      <c r="T22" s="3">
        <v>144545000</v>
      </c>
      <c r="U22" s="3">
        <v>184663000</v>
      </c>
      <c r="V22" s="3">
        <v>260895000</v>
      </c>
      <c r="W22" s="3">
        <v>186300000</v>
      </c>
      <c r="X22" s="3">
        <v>162076844</v>
      </c>
      <c r="Y22" s="3">
        <v>124371173</v>
      </c>
      <c r="Z22" s="3">
        <v>81652304</v>
      </c>
      <c r="AA22" s="3">
        <v>38999837</v>
      </c>
      <c r="AB22">
        <v>59452116</v>
      </c>
    </row>
    <row r="23" spans="1:28" ht="15.75" x14ac:dyDescent="0.25">
      <c r="A23" t="s">
        <v>68</v>
      </c>
      <c r="B23" s="1">
        <v>5.6500000000000002E-2</v>
      </c>
      <c r="D23" s="8" t="s">
        <v>69</v>
      </c>
      <c r="E23" s="8"/>
      <c r="F23" s="1">
        <v>7.6600000000000001E-2</v>
      </c>
      <c r="G23" s="1">
        <v>7.3700000000000002E-2</v>
      </c>
      <c r="H23" s="1">
        <v>4.7399999999999998E-2</v>
      </c>
      <c r="I23" s="1">
        <v>4.5999999999999999E-2</v>
      </c>
      <c r="J23" s="1">
        <v>7.5899999999999995E-2</v>
      </c>
      <c r="K23" s="1">
        <v>7.7200000000000005E-2</v>
      </c>
      <c r="L23" s="1">
        <v>8.5599999999999996E-2</v>
      </c>
      <c r="M23" s="1">
        <v>7.2499999999999995E-2</v>
      </c>
      <c r="N23" s="1">
        <v>7.0599999999999996E-2</v>
      </c>
      <c r="O23" s="1">
        <v>6.7699999999999996E-2</v>
      </c>
      <c r="P23" s="1">
        <v>5.7200000000000001E-2</v>
      </c>
      <c r="Q23" s="1">
        <v>5.1499999999999997E-2</v>
      </c>
      <c r="R23" s="1">
        <v>6.1699999999999998E-2</v>
      </c>
      <c r="S23" s="1">
        <v>0.01</v>
      </c>
      <c r="T23" s="1">
        <v>5.4699999999999999E-2</v>
      </c>
      <c r="U23" s="1">
        <v>6.4699999999999994E-2</v>
      </c>
      <c r="V23" s="1">
        <v>8.5099999999999995E-2</v>
      </c>
      <c r="W23" s="1">
        <v>7.2800000000000004E-2</v>
      </c>
      <c r="X23" s="1">
        <v>7.4099999999999999E-2</v>
      </c>
      <c r="Y23" s="1">
        <v>7.9100000000000004E-2</v>
      </c>
      <c r="Z23" s="1">
        <v>6.5600000000000006E-2</v>
      </c>
      <c r="AA23" s="1">
        <v>4.7199999999999999E-2</v>
      </c>
      <c r="AB23">
        <v>6.6500000000000004E-2</v>
      </c>
    </row>
    <row r="24" spans="1:28" ht="15.75" x14ac:dyDescent="0.25">
      <c r="A24" t="s">
        <v>70</v>
      </c>
      <c r="B24" s="2">
        <v>1.05</v>
      </c>
      <c r="D24" s="8" t="s">
        <v>71</v>
      </c>
      <c r="E24" s="8"/>
      <c r="F24" s="1">
        <v>0.21629999999999999</v>
      </c>
      <c r="G24" s="1">
        <v>0.2175</v>
      </c>
      <c r="H24" s="1">
        <v>0.1888</v>
      </c>
      <c r="I24" s="1">
        <v>0.28270000000000001</v>
      </c>
      <c r="J24" s="1">
        <v>0.32050000000000001</v>
      </c>
      <c r="K24" s="1">
        <v>0.32729999999999998</v>
      </c>
      <c r="L24" s="1">
        <v>0.32690000000000002</v>
      </c>
      <c r="M24" s="1">
        <v>0.31030000000000002</v>
      </c>
      <c r="N24" s="1">
        <v>0.30580000000000002</v>
      </c>
      <c r="O24" s="1">
        <v>0.31669999999999998</v>
      </c>
      <c r="P24" s="1">
        <v>0.32629999999999998</v>
      </c>
      <c r="Q24" s="1">
        <v>0.30370000000000003</v>
      </c>
      <c r="R24" s="1">
        <v>0.35780000000000001</v>
      </c>
      <c r="S24" s="1">
        <v>0.26719999999999999</v>
      </c>
      <c r="T24" s="1">
        <v>0.39169999999999999</v>
      </c>
      <c r="U24" s="1">
        <v>0.31569999999999998</v>
      </c>
      <c r="V24" s="1">
        <v>0.36220000000000002</v>
      </c>
      <c r="W24" s="1">
        <v>0.37109999999999999</v>
      </c>
      <c r="X24" s="1">
        <v>0.36940000000000001</v>
      </c>
      <c r="Y24" s="1">
        <v>0.37719999999999998</v>
      </c>
      <c r="Z24" s="1">
        <v>0.3745</v>
      </c>
      <c r="AA24" s="1">
        <v>0.38269999999999998</v>
      </c>
      <c r="AB24">
        <v>0.40660000000000002</v>
      </c>
    </row>
    <row r="25" spans="1:28" ht="15.75" x14ac:dyDescent="0.25">
      <c r="A25" t="s">
        <v>72</v>
      </c>
      <c r="B25" s="2">
        <v>1.28</v>
      </c>
      <c r="D25" s="8" t="s">
        <v>73</v>
      </c>
      <c r="E25" s="8"/>
      <c r="F25" s="3">
        <v>3132242000</v>
      </c>
      <c r="G25" s="3">
        <v>2921843000</v>
      </c>
      <c r="H25" s="3">
        <v>2345569000</v>
      </c>
      <c r="I25" s="3">
        <v>2095228000</v>
      </c>
      <c r="J25" s="3">
        <v>1937741000</v>
      </c>
      <c r="K25" s="3">
        <v>1576540000</v>
      </c>
      <c r="L25" s="3">
        <v>1265222000</v>
      </c>
      <c r="M25" s="3">
        <v>1065187000</v>
      </c>
      <c r="N25" s="3">
        <v>977697000</v>
      </c>
      <c r="O25" s="3">
        <v>892614000</v>
      </c>
      <c r="P25" s="3">
        <v>850827000</v>
      </c>
      <c r="Q25" s="3">
        <v>836274000</v>
      </c>
      <c r="R25" s="3">
        <v>657278000</v>
      </c>
      <c r="S25" s="3">
        <v>705033000</v>
      </c>
      <c r="T25" s="3">
        <v>699696000</v>
      </c>
      <c r="U25" s="3">
        <v>766331000</v>
      </c>
      <c r="V25" s="3">
        <v>699849000</v>
      </c>
      <c r="W25" s="3">
        <v>597387000</v>
      </c>
      <c r="X25" s="3">
        <v>511604000</v>
      </c>
      <c r="Y25" s="3">
        <v>414822000</v>
      </c>
      <c r="Z25" s="3">
        <v>334619000</v>
      </c>
      <c r="AA25" s="3">
        <v>219946000</v>
      </c>
      <c r="AB25">
        <v>195204000</v>
      </c>
    </row>
    <row r="26" spans="1:28" ht="15.75" x14ac:dyDescent="0.25">
      <c r="D26" s="8" t="s">
        <v>74</v>
      </c>
      <c r="E26" s="8"/>
      <c r="F26" s="3">
        <v>2244425000</v>
      </c>
      <c r="G26" s="3">
        <v>1611926000</v>
      </c>
      <c r="H26" s="3">
        <v>1671391000</v>
      </c>
      <c r="I26" s="3">
        <v>1902623000</v>
      </c>
      <c r="J26" s="3">
        <v>11780000</v>
      </c>
      <c r="K26" s="3">
        <v>290000000</v>
      </c>
      <c r="L26" s="3">
        <v>720000000</v>
      </c>
      <c r="M26" s="3">
        <v>6821000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v>0</v>
      </c>
    </row>
    <row r="27" spans="1:28" ht="15.75" x14ac:dyDescent="0.25">
      <c r="D27" s="8" t="s">
        <v>75</v>
      </c>
      <c r="E27" s="8"/>
      <c r="F27" s="3">
        <v>336237000</v>
      </c>
      <c r="G27" s="3">
        <v>445852000</v>
      </c>
      <c r="H27" s="3">
        <v>538519000</v>
      </c>
      <c r="I27" s="3">
        <v>425615000</v>
      </c>
      <c r="J27" s="3">
        <v>275249000</v>
      </c>
      <c r="K27" s="3">
        <v>223258000</v>
      </c>
      <c r="L27" s="3">
        <v>209902000</v>
      </c>
      <c r="M27" s="3">
        <v>183478000</v>
      </c>
      <c r="N27" s="3">
        <v>289336000</v>
      </c>
      <c r="O27" s="3">
        <v>236601000</v>
      </c>
      <c r="P27" s="3">
        <v>218642000</v>
      </c>
      <c r="Q27" s="3">
        <v>215435000</v>
      </c>
      <c r="R27" s="3">
        <v>247751000</v>
      </c>
      <c r="S27" s="3">
        <v>328834000</v>
      </c>
      <c r="T27" s="3">
        <v>189620000</v>
      </c>
      <c r="U27" s="3">
        <v>346464000</v>
      </c>
      <c r="V27" s="3">
        <v>264373000</v>
      </c>
      <c r="W27" s="3">
        <v>208815000</v>
      </c>
      <c r="X27" s="3">
        <v>199166146</v>
      </c>
      <c r="Y27" s="3">
        <v>172233135</v>
      </c>
      <c r="Z27" s="3">
        <v>117814513</v>
      </c>
      <c r="AA27" s="3">
        <v>107192871</v>
      </c>
      <c r="AB27">
        <v>77963445</v>
      </c>
    </row>
    <row r="28" spans="1:28" ht="15.75" x14ac:dyDescent="0.25">
      <c r="D28" s="8" t="s">
        <v>76</v>
      </c>
      <c r="E28" s="8"/>
      <c r="F28" s="3">
        <f t="shared" ref="F28:Z28" si="0">F25+F26-F27</f>
        <v>5040430000</v>
      </c>
      <c r="G28" s="3">
        <f t="shared" si="0"/>
        <v>4087917000</v>
      </c>
      <c r="H28" s="3">
        <f t="shared" si="0"/>
        <v>3478441000</v>
      </c>
      <c r="I28" s="3">
        <f t="shared" si="0"/>
        <v>3572236000</v>
      </c>
      <c r="J28" s="3">
        <f t="shared" si="0"/>
        <v>1674272000</v>
      </c>
      <c r="K28" s="3">
        <f t="shared" si="0"/>
        <v>1643282000</v>
      </c>
      <c r="L28" s="3">
        <f t="shared" si="0"/>
        <v>1775320000</v>
      </c>
      <c r="M28" s="3">
        <f t="shared" si="0"/>
        <v>888530000</v>
      </c>
      <c r="N28" s="3">
        <f t="shared" si="0"/>
        <v>688361000</v>
      </c>
      <c r="O28" s="3">
        <f t="shared" si="0"/>
        <v>656013000</v>
      </c>
      <c r="P28" s="3">
        <f t="shared" si="0"/>
        <v>632185000</v>
      </c>
      <c r="Q28" s="3">
        <f t="shared" si="0"/>
        <v>620839000</v>
      </c>
      <c r="R28" s="3">
        <f t="shared" si="0"/>
        <v>409527000</v>
      </c>
      <c r="S28" s="3">
        <f t="shared" si="0"/>
        <v>376199000</v>
      </c>
      <c r="T28" s="3">
        <f t="shared" si="0"/>
        <v>510076000</v>
      </c>
      <c r="U28" s="3">
        <f t="shared" si="0"/>
        <v>419867000</v>
      </c>
      <c r="V28" s="3">
        <f t="shared" si="0"/>
        <v>435476000</v>
      </c>
      <c r="W28" s="3">
        <f t="shared" si="0"/>
        <v>388572000</v>
      </c>
      <c r="X28" s="3">
        <f t="shared" si="0"/>
        <v>312437854</v>
      </c>
      <c r="Y28" s="3">
        <f t="shared" si="0"/>
        <v>242588865</v>
      </c>
      <c r="Z28" s="3">
        <f t="shared" si="0"/>
        <v>216804487</v>
      </c>
    </row>
    <row r="29" spans="1:28" ht="15.75" x14ac:dyDescent="0.25">
      <c r="D29" s="8" t="s">
        <v>8</v>
      </c>
      <c r="E29" s="8"/>
      <c r="F29" s="2">
        <f t="shared" ref="F29:Z29" si="1">F21/F28</f>
        <v>2.7256095214098797</v>
      </c>
      <c r="G29" s="2">
        <f t="shared" si="1"/>
        <v>3.0131189062791637</v>
      </c>
      <c r="H29" s="2">
        <f t="shared" si="1"/>
        <v>2.3481591322089406</v>
      </c>
      <c r="I29" s="2">
        <f t="shared" si="1"/>
        <v>2.2016344944734896</v>
      </c>
      <c r="J29" s="2">
        <f t="shared" si="1"/>
        <v>4.9746450994820437</v>
      </c>
      <c r="K29" s="2">
        <f t="shared" si="1"/>
        <v>4.4100476972302989</v>
      </c>
      <c r="L29" s="2">
        <f t="shared" si="1"/>
        <v>2.5810062411283599</v>
      </c>
      <c r="M29" s="2">
        <f t="shared" si="1"/>
        <v>4.50949208242828</v>
      </c>
      <c r="N29" s="2">
        <f t="shared" si="1"/>
        <v>5.1215219920942641</v>
      </c>
      <c r="O29" s="2">
        <f t="shared" si="1"/>
        <v>4.9416627414395755</v>
      </c>
      <c r="P29" s="2">
        <f t="shared" si="1"/>
        <v>4.8793628447369048</v>
      </c>
      <c r="Q29" s="2">
        <f t="shared" si="1"/>
        <v>4.4383616364307015</v>
      </c>
      <c r="R29" s="2">
        <f t="shared" si="1"/>
        <v>5.5589912264637009</v>
      </c>
      <c r="S29" s="2">
        <f t="shared" si="1"/>
        <v>4.0454546662803459</v>
      </c>
      <c r="T29" s="2">
        <f t="shared" si="1"/>
        <v>5.1770324422242959</v>
      </c>
      <c r="U29" s="2">
        <f t="shared" si="1"/>
        <v>6.8028875810673384</v>
      </c>
      <c r="V29" s="2">
        <f t="shared" si="1"/>
        <v>7.0412054854917381</v>
      </c>
      <c r="W29" s="2">
        <f t="shared" si="1"/>
        <v>6.5839818617913801</v>
      </c>
      <c r="X29" s="2">
        <f t="shared" si="1"/>
        <v>7.002155782314393</v>
      </c>
      <c r="Y29" s="2">
        <f t="shared" si="1"/>
        <v>6.4776444458817188</v>
      </c>
      <c r="Z29" s="2">
        <f t="shared" si="1"/>
        <v>5.7438835248829516</v>
      </c>
    </row>
    <row r="31" spans="1:28" ht="15.75" x14ac:dyDescent="0.25">
      <c r="A31" t="s">
        <v>77</v>
      </c>
    </row>
    <row r="32" spans="1:28" ht="15.75" x14ac:dyDescent="0.25">
      <c r="B32" t="s">
        <v>78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 t="s">
        <v>79</v>
      </c>
    </row>
    <row r="33" spans="1:13" ht="15.75" x14ac:dyDescent="0.25">
      <c r="A33" t="s">
        <v>80</v>
      </c>
      <c r="B33" s="4">
        <f>'Helper Data'!$B$1</f>
        <v>13738.244000000001</v>
      </c>
      <c r="C33" s="4">
        <v>8105.56</v>
      </c>
      <c r="D33" s="4">
        <f>C33*(1+$E$3)</f>
        <v>8916.1160000000018</v>
      </c>
      <c r="E33" s="4">
        <f>D33*(1+$E$3)</f>
        <v>9807.727600000002</v>
      </c>
      <c r="F33" s="4">
        <f>E33*(1+$E$3)</f>
        <v>10788.500360000004</v>
      </c>
      <c r="G33" s="4">
        <f>F33*(1+$E$3)</f>
        <v>11867.350396000005</v>
      </c>
      <c r="H33" s="4">
        <f>G33*(1+$E$3 - (($E$3-'Cost of Capital'!$B$6) / 5))</f>
        <v>12862.309053200648</v>
      </c>
      <c r="I33" s="4">
        <f>H33*(1+$E$3 - (($E$3-'Cost of Capital'!$B$6) / 5) * 2)</f>
        <v>13732.830129921271</v>
      </c>
      <c r="J33" s="4">
        <f>I33*(1+$E$3 - (($E$3-'Cost of Capital'!$B$6) / 5) * 3)</f>
        <v>14440.345538214819</v>
      </c>
      <c r="K33" s="4">
        <f>J33*(1+$E$3 - (($E$3-'Cost of Capital'!$B$6) / 5) * 4)</f>
        <v>14950.956156446098</v>
      </c>
      <c r="L33" s="4">
        <f>K33*(1+$E$3 - (($E$3-'Cost of Capital'!$B$6) / 5) * 5)</f>
        <v>15238.014514649865</v>
      </c>
      <c r="M33" s="4">
        <f>L33*(1+'Cost of Capital'!$B$6)</f>
        <v>15530.584393331144</v>
      </c>
    </row>
    <row r="34" spans="1:13" ht="15.75" x14ac:dyDescent="0.25">
      <c r="A34" t="s">
        <v>69</v>
      </c>
      <c r="B34" s="1">
        <f>B35/B33</f>
        <v>7.7487268387430003E-2</v>
      </c>
      <c r="C34" s="1">
        <v>1.1299999999999999E-2</v>
      </c>
      <c r="D34" s="1">
        <f>IF(D32 &gt; $H$3, $E$4, $E$4 - (($E$4 - B34) / $H$3) * ($H$3 - D32))</f>
        <v>6.1800000000000001E-2</v>
      </c>
      <c r="E34" s="1">
        <f>IF(E32 &gt; $H$3, $E$4, $E$4 - (($E$4 - B34) / $H$3) * ($H$3 - E32))</f>
        <v>6.1800000000000001E-2</v>
      </c>
      <c r="F34" s="1">
        <f>IF(F32 &gt; $H$3, $E$4, $E$4 - (($E$4 - B34) / $H$3) * ($H$3 - F32))</f>
        <v>6.1800000000000001E-2</v>
      </c>
      <c r="G34" s="1">
        <f>IF(G32 &gt; $H$3, $E$4, $E$4 - (($E$4 - B34) / $H$3) * ($H$3 - G32))</f>
        <v>6.1800000000000001E-2</v>
      </c>
      <c r="H34" s="1">
        <f>IF(H32 &gt; $H$3, $E$4, $E$4 - (($E$4 - B34) / $H$3) * ($H$3 - H32))</f>
        <v>6.1800000000000001E-2</v>
      </c>
      <c r="I34" s="1">
        <f>IF(I32 &gt; $H$3, $E$4, $E$4 - (($E$4 - B34) / $H$3) * ($H$3 - I32))</f>
        <v>6.1800000000000001E-2</v>
      </c>
      <c r="J34" s="1">
        <f>IF(J32 &gt; $H$3, $E$4, $E$4 - (($E$4 - B34) / $H$3) * ($H$3 - J32))</f>
        <v>6.1800000000000001E-2</v>
      </c>
      <c r="K34" s="1">
        <f>IF(K32 &gt; $H$3, $E$4, $E$4 - (($E$4 - B34) / $H$3) * ($H$3 - K32))</f>
        <v>6.1800000000000001E-2</v>
      </c>
      <c r="L34" s="1">
        <f>IF(L32 &gt; $H$3, $E$4, $E$4 - (($E$4 - B34) / $H$3) * ($H$3 - L32))</f>
        <v>6.1800000000000001E-2</v>
      </c>
      <c r="M34" s="1">
        <f>L34</f>
        <v>6.1800000000000001E-2</v>
      </c>
    </row>
    <row r="35" spans="1:13" ht="15.75" x14ac:dyDescent="0.25">
      <c r="A35" t="s">
        <v>67</v>
      </c>
      <c r="B35" s="4">
        <f>IFERROR('Helper Data'!$B$2, 0)</f>
        <v>1064.539</v>
      </c>
      <c r="C35" s="4">
        <f t="shared" ref="C35:M35" si="2">C34*C33</f>
        <v>91.592827999999997</v>
      </c>
      <c r="D35" s="4">
        <f t="shared" si="2"/>
        <v>551.01596880000011</v>
      </c>
      <c r="E35" s="4">
        <f t="shared" si="2"/>
        <v>606.1175656800001</v>
      </c>
      <c r="F35" s="4">
        <f t="shared" si="2"/>
        <v>666.72932224800024</v>
      </c>
      <c r="G35" s="4">
        <f t="shared" si="2"/>
        <v>733.40225447280034</v>
      </c>
      <c r="H35" s="4">
        <f t="shared" si="2"/>
        <v>794.89069948780002</v>
      </c>
      <c r="I35" s="4">
        <f t="shared" si="2"/>
        <v>848.68890202913451</v>
      </c>
      <c r="J35" s="4">
        <f t="shared" si="2"/>
        <v>892.41335426167575</v>
      </c>
      <c r="K35" s="4">
        <f t="shared" si="2"/>
        <v>923.9690904683689</v>
      </c>
      <c r="L35" s="4">
        <f t="shared" si="2"/>
        <v>941.70929700536169</v>
      </c>
      <c r="M35" s="4">
        <f t="shared" si="2"/>
        <v>959.7901155078647</v>
      </c>
    </row>
    <row r="36" spans="1:13" ht="15.75" x14ac:dyDescent="0.25">
      <c r="A36" t="s">
        <v>81</v>
      </c>
      <c r="B36" s="1">
        <f>AVERAGE(G24, H24, I24)</f>
        <v>0.22966666666666669</v>
      </c>
      <c r="C36" s="1">
        <f>B36</f>
        <v>0.22966666666666669</v>
      </c>
      <c r="D36" s="1">
        <f>C36</f>
        <v>0.22966666666666669</v>
      </c>
      <c r="E36" s="1">
        <f>D36</f>
        <v>0.22966666666666669</v>
      </c>
      <c r="F36" s="1">
        <f>E36</f>
        <v>0.22966666666666669</v>
      </c>
      <c r="G36" s="1">
        <f>F36</f>
        <v>0.22966666666666669</v>
      </c>
      <c r="H36" s="1">
        <f>G36+(M36-G36)/5</f>
        <v>0.23773333333333335</v>
      </c>
      <c r="I36" s="1">
        <f>H36+(M36-G36)/5</f>
        <v>0.24580000000000002</v>
      </c>
      <c r="J36" s="1">
        <f>I36+(M36-G36)/5</f>
        <v>0.25386666666666668</v>
      </c>
      <c r="K36" s="1">
        <f>J36+(M36-G36)/5</f>
        <v>0.26193333333333335</v>
      </c>
      <c r="L36" s="1">
        <f>K36+(M36-G36)/5</f>
        <v>0.27</v>
      </c>
      <c r="M36" s="1">
        <v>0.27</v>
      </c>
    </row>
    <row r="37" spans="1:13" ht="15.75" x14ac:dyDescent="0.25">
      <c r="A37" t="s">
        <v>82</v>
      </c>
      <c r="B37" s="4">
        <f>IF(B35 &gt; 0, B35 * (1-B36), B35)</f>
        <v>820.04987633333326</v>
      </c>
      <c r="C37" s="4">
        <f t="shared" ref="C37:L37" si="3">IF(C35 &gt; 0, IF(C35 &lt; B40, C35, C35 - (C35 - B40) * C36), C35)</f>
        <v>70.557008502666662</v>
      </c>
      <c r="D37" s="4">
        <f t="shared" si="3"/>
        <v>424.46596796560004</v>
      </c>
      <c r="E37" s="4">
        <f t="shared" si="3"/>
        <v>466.91256476216006</v>
      </c>
      <c r="F37" s="4">
        <f t="shared" si="3"/>
        <v>513.60382123837621</v>
      </c>
      <c r="G37" s="4">
        <f t="shared" si="3"/>
        <v>564.96420336221388</v>
      </c>
      <c r="H37" s="4">
        <f t="shared" si="3"/>
        <v>605.91868386290037</v>
      </c>
      <c r="I37" s="4">
        <f t="shared" si="3"/>
        <v>640.08116991037321</v>
      </c>
      <c r="J37" s="4">
        <f t="shared" si="3"/>
        <v>665.85935072644497</v>
      </c>
      <c r="K37" s="4">
        <f t="shared" si="3"/>
        <v>681.95078670502085</v>
      </c>
      <c r="L37" s="4">
        <f t="shared" si="3"/>
        <v>687.44778681391404</v>
      </c>
      <c r="M37" s="4">
        <f>M35*(1-M36)</f>
        <v>700.64678432074118</v>
      </c>
    </row>
    <row r="38" spans="1:13" ht="15.75" x14ac:dyDescent="0.25">
      <c r="A38" t="s">
        <v>83</v>
      </c>
      <c r="C38" s="4">
        <f>IF(C33 &gt; B33, (C33-B33) / C46, 0)</f>
        <v>0</v>
      </c>
      <c r="D38" s="4">
        <f t="shared" ref="D38:L38" si="4">(D33-C33)/D46</f>
        <v>368.43454545454608</v>
      </c>
      <c r="E38" s="4">
        <f t="shared" si="4"/>
        <v>368.43454545454551</v>
      </c>
      <c r="F38" s="4">
        <f t="shared" si="4"/>
        <v>371.50483333333392</v>
      </c>
      <c r="G38" s="4">
        <f t="shared" si="4"/>
        <v>372.01725379310403</v>
      </c>
      <c r="H38" s="4">
        <f t="shared" si="4"/>
        <v>320.95440554859448</v>
      </c>
      <c r="I38" s="4">
        <f t="shared" si="4"/>
        <v>280.81325055503959</v>
      </c>
      <c r="J38" s="4">
        <f t="shared" si="4"/>
        <v>228.23077686888638</v>
      </c>
      <c r="K38" s="4">
        <f t="shared" si="4"/>
        <v>164.7131026552515</v>
      </c>
      <c r="L38" s="4">
        <f t="shared" si="4"/>
        <v>92.599470388311957</v>
      </c>
      <c r="M38" s="4">
        <f>IF('Cost of Capital'!$B$6 &gt; 0, ('Cost of Capital'!$B$6 / M48) * M37, 0)</f>
        <v>202.59666052648024</v>
      </c>
    </row>
    <row r="39" spans="1:13" ht="15.75" x14ac:dyDescent="0.25">
      <c r="A39" t="s">
        <v>84</v>
      </c>
      <c r="C39" s="4">
        <f t="shared" ref="C39:M39" si="5">C37 - C38</f>
        <v>70.557008502666662</v>
      </c>
      <c r="D39" s="4">
        <f t="shared" si="5"/>
        <v>56.031422511053961</v>
      </c>
      <c r="E39" s="4">
        <f t="shared" si="5"/>
        <v>98.478019307614545</v>
      </c>
      <c r="F39" s="4">
        <f t="shared" si="5"/>
        <v>142.09898790504229</v>
      </c>
      <c r="G39" s="4">
        <f t="shared" si="5"/>
        <v>192.94694956910985</v>
      </c>
      <c r="H39" s="4">
        <f t="shared" si="5"/>
        <v>284.96427831430589</v>
      </c>
      <c r="I39" s="4">
        <f t="shared" si="5"/>
        <v>359.26791935533362</v>
      </c>
      <c r="J39" s="4">
        <f t="shared" si="5"/>
        <v>437.62857385755859</v>
      </c>
      <c r="K39" s="4">
        <f t="shared" si="5"/>
        <v>517.23768404976931</v>
      </c>
      <c r="L39" s="4">
        <f t="shared" si="5"/>
        <v>594.84831642560209</v>
      </c>
      <c r="M39" s="4">
        <f t="shared" si="5"/>
        <v>498.05012379426091</v>
      </c>
    </row>
    <row r="40" spans="1:13" ht="15.75" x14ac:dyDescent="0.25">
      <c r="A40" t="s">
        <v>85</v>
      </c>
      <c r="C40" s="4">
        <f t="shared" ref="C40:M40" si="6">IF(C35 &lt; 0, B40 - C35, IF(B40 &gt; C35, B40 - C35, 0))</f>
        <v>0</v>
      </c>
      <c r="D40" s="4">
        <f t="shared" si="6"/>
        <v>0</v>
      </c>
      <c r="E40" s="4">
        <f t="shared" si="6"/>
        <v>0</v>
      </c>
      <c r="F40" s="4">
        <f t="shared" si="6"/>
        <v>0</v>
      </c>
      <c r="G40" s="4">
        <f t="shared" si="6"/>
        <v>0</v>
      </c>
      <c r="H40" s="4">
        <f t="shared" si="6"/>
        <v>0</v>
      </c>
      <c r="I40" s="4">
        <f t="shared" si="6"/>
        <v>0</v>
      </c>
      <c r="J40" s="4">
        <f t="shared" si="6"/>
        <v>0</v>
      </c>
      <c r="K40" s="4">
        <f t="shared" si="6"/>
        <v>0</v>
      </c>
      <c r="L40" s="4">
        <f t="shared" si="6"/>
        <v>0</v>
      </c>
      <c r="M40" s="4">
        <f t="shared" si="6"/>
        <v>0</v>
      </c>
    </row>
    <row r="41" spans="1:13" ht="15.75" x14ac:dyDescent="0.25"/>
    <row r="42" spans="1:13" ht="15.75" x14ac:dyDescent="0.25">
      <c r="A42" t="s">
        <v>86</v>
      </c>
      <c r="C42" s="1">
        <f>'Cost of Capital'!$G$18</f>
        <v>6.4730431284248519E-2</v>
      </c>
      <c r="D42" s="1">
        <f>C42</f>
        <v>6.4730431284248519E-2</v>
      </c>
      <c r="E42" s="1">
        <f>D42</f>
        <v>6.4730431284248519E-2</v>
      </c>
      <c r="F42" s="1">
        <f>E42</f>
        <v>6.4730431284248519E-2</v>
      </c>
      <c r="G42" s="1">
        <f>F42</f>
        <v>6.4730431284248519E-2</v>
      </c>
      <c r="H42" s="1">
        <f>G42-(G42-M42)/5</f>
        <v>6.5064345027398829E-2</v>
      </c>
      <c r="I42" s="1">
        <f>H42-(G42-M42)/5</f>
        <v>6.5398258770549139E-2</v>
      </c>
      <c r="J42" s="1">
        <f>I42-(G42-M42)/5</f>
        <v>6.5732172513699449E-2</v>
      </c>
      <c r="K42" s="1">
        <f>J42-(G42-M42)/5</f>
        <v>6.606608625684976E-2</v>
      </c>
      <c r="L42" s="1">
        <f>K42-(G42-M42)/5</f>
        <v>6.640000000000007E-2</v>
      </c>
      <c r="M42" s="1">
        <v>6.6400000000000098E-2</v>
      </c>
    </row>
    <row r="43" spans="1:13" ht="15.75" x14ac:dyDescent="0.25">
      <c r="A43" t="s">
        <v>87</v>
      </c>
      <c r="C43" s="2">
        <f>1/(1+C42)</f>
        <v>0.93920486408360426</v>
      </c>
      <c r="D43" s="2">
        <f t="shared" ref="D43:L43" si="7">C43*(1/(1+D42))</f>
        <v>0.88210577671830159</v>
      </c>
      <c r="E43" s="2">
        <f t="shared" si="7"/>
        <v>0.82847803613007465</v>
      </c>
      <c r="F43" s="2">
        <f t="shared" si="7"/>
        <v>0.77811060131979815</v>
      </c>
      <c r="G43" s="2">
        <f t="shared" si="7"/>
        <v>0.73080526155457259</v>
      </c>
      <c r="H43" s="2">
        <f t="shared" si="7"/>
        <v>0.68616066716210711</v>
      </c>
      <c r="I43" s="2">
        <f t="shared" si="7"/>
        <v>0.64404147605227413</v>
      </c>
      <c r="J43" s="2">
        <f t="shared" si="7"/>
        <v>0.60431831998953311</v>
      </c>
      <c r="K43" s="2">
        <f t="shared" si="7"/>
        <v>0.56686759646524698</v>
      </c>
      <c r="L43" s="2">
        <f t="shared" si="7"/>
        <v>0.53157126450229464</v>
      </c>
    </row>
    <row r="44" spans="1:13" ht="15.75" x14ac:dyDescent="0.25">
      <c r="A44" t="s">
        <v>88</v>
      </c>
      <c r="C44" s="4">
        <f t="shared" ref="C44:L44" si="8">C39*C43</f>
        <v>66.267485580892753</v>
      </c>
      <c r="D44" s="4">
        <f t="shared" si="8"/>
        <v>49.42564147474458</v>
      </c>
      <c r="E44" s="4">
        <f t="shared" si="8"/>
        <v>81.586876037952067</v>
      </c>
      <c r="F44" s="4">
        <f t="shared" si="8"/>
        <v>110.56872892572719</v>
      </c>
      <c r="G44" s="4">
        <f t="shared" si="8"/>
        <v>141.00664594601025</v>
      </c>
      <c r="H44" s="4">
        <f t="shared" si="8"/>
        <v>195.53127932551249</v>
      </c>
      <c r="I44" s="4">
        <f t="shared" si="8"/>
        <v>231.38344107983846</v>
      </c>
      <c r="J44" s="4">
        <f t="shared" si="8"/>
        <v>264.46696453301513</v>
      </c>
      <c r="K44" s="4">
        <f t="shared" si="8"/>
        <v>293.20528275854355</v>
      </c>
      <c r="L44" s="4">
        <f t="shared" si="8"/>
        <v>316.20427174941841</v>
      </c>
    </row>
    <row r="45" spans="1:13" ht="15.75" x14ac:dyDescent="0.25"/>
    <row r="46" spans="1:13" ht="15.75" x14ac:dyDescent="0.25">
      <c r="A46" t="s">
        <v>8</v>
      </c>
      <c r="C46" s="2">
        <v>2</v>
      </c>
      <c r="D46" s="2">
        <v>2.2000000000000002</v>
      </c>
      <c r="E46" s="2">
        <v>2.42</v>
      </c>
      <c r="F46" s="2">
        <f>2.64</f>
        <v>2.64</v>
      </c>
      <c r="G46" s="2">
        <f>2.9</f>
        <v>2.9</v>
      </c>
      <c r="H46" s="2">
        <v>3.1</v>
      </c>
      <c r="I46" s="2">
        <f>H46</f>
        <v>3.1</v>
      </c>
      <c r="J46" s="2">
        <f>I46</f>
        <v>3.1</v>
      </c>
      <c r="K46" s="2">
        <f>J46</f>
        <v>3.1</v>
      </c>
      <c r="L46" s="2">
        <f>K46</f>
        <v>3.1</v>
      </c>
    </row>
    <row r="47" spans="1:13" ht="15.75" x14ac:dyDescent="0.25">
      <c r="A47" t="s">
        <v>76</v>
      </c>
      <c r="B47" s="4">
        <f>IFERROR('Helper Data'!$B$5, 0)</f>
        <v>5040.43</v>
      </c>
      <c r="C47" s="4">
        <f t="shared" ref="C47:L47" si="9">B47+C38</f>
        <v>5040.43</v>
      </c>
      <c r="D47" s="4">
        <f t="shared" si="9"/>
        <v>5408.8645454545467</v>
      </c>
      <c r="E47" s="4">
        <f t="shared" si="9"/>
        <v>5777.2990909090922</v>
      </c>
      <c r="F47" s="4">
        <f t="shared" si="9"/>
        <v>6148.8039242424265</v>
      </c>
      <c r="G47" s="4">
        <f t="shared" si="9"/>
        <v>6520.8211780355305</v>
      </c>
      <c r="H47" s="4">
        <f t="shared" si="9"/>
        <v>6841.7755835841253</v>
      </c>
      <c r="I47" s="4">
        <f t="shared" si="9"/>
        <v>7122.5888341391646</v>
      </c>
      <c r="J47" s="4">
        <f t="shared" si="9"/>
        <v>7350.8196110080507</v>
      </c>
      <c r="K47" s="4">
        <f t="shared" si="9"/>
        <v>7515.5327136633023</v>
      </c>
      <c r="L47" s="4">
        <f t="shared" si="9"/>
        <v>7608.1321840516139</v>
      </c>
    </row>
    <row r="48" spans="1:13" ht="15.75" x14ac:dyDescent="0.25">
      <c r="A48" t="s">
        <v>89</v>
      </c>
      <c r="B48" s="1">
        <f t="shared" ref="B48:L48" si="10">B37/B47</f>
        <v>0.1626944281208812</v>
      </c>
      <c r="C48" s="1">
        <f t="shared" si="10"/>
        <v>1.3998212157031575E-2</v>
      </c>
      <c r="D48" s="1">
        <f t="shared" si="10"/>
        <v>7.8475984081041367E-2</v>
      </c>
      <c r="E48" s="1">
        <f t="shared" si="10"/>
        <v>8.0818485838282716E-2</v>
      </c>
      <c r="F48" s="1">
        <f t="shared" si="10"/>
        <v>8.3529061516082678E-2</v>
      </c>
      <c r="G48" s="1">
        <f t="shared" si="10"/>
        <v>8.6640039335109567E-2</v>
      </c>
      <c r="H48" s="1">
        <f t="shared" si="10"/>
        <v>8.8561613350299995E-2</v>
      </c>
      <c r="I48" s="1">
        <f t="shared" si="10"/>
        <v>8.986636528033326E-2</v>
      </c>
      <c r="J48" s="1">
        <f t="shared" si="10"/>
        <v>9.058300787701315E-2</v>
      </c>
      <c r="K48" s="1">
        <f t="shared" si="10"/>
        <v>9.0738848819755455E-2</v>
      </c>
      <c r="L48" s="1">
        <f t="shared" si="10"/>
        <v>9.0356972011469763E-2</v>
      </c>
      <c r="M48" s="1">
        <f>L42</f>
        <v>6.640000000000007E-2</v>
      </c>
    </row>
    <row r="49" spans="1:10" ht="15.75" x14ac:dyDescent="0.25"/>
    <row r="50" spans="1:10" ht="15.75" x14ac:dyDescent="0.25">
      <c r="A50" t="s">
        <v>90</v>
      </c>
      <c r="B50" s="4">
        <f>M39</f>
        <v>498.05012379426091</v>
      </c>
      <c r="D50" s="8" t="s">
        <v>91</v>
      </c>
      <c r="E50" s="8"/>
    </row>
    <row r="51" spans="1:10" ht="15.75" x14ac:dyDescent="0.25">
      <c r="A51" t="s">
        <v>92</v>
      </c>
      <c r="B51" s="1">
        <f>M42</f>
        <v>6.6400000000000098E-2</v>
      </c>
      <c r="D51" t="s">
        <v>93</v>
      </c>
      <c r="E51" s="1">
        <v>0.06</v>
      </c>
    </row>
    <row r="52" spans="1:10" ht="15.75" x14ac:dyDescent="0.25">
      <c r="A52" t="s">
        <v>94</v>
      </c>
      <c r="B52" s="4">
        <f>B50/(B51-'Cost of Capital'!$B$6)</f>
        <v>10551.909402420782</v>
      </c>
      <c r="D52" t="s">
        <v>95</v>
      </c>
      <c r="E52" s="1">
        <v>0.15</v>
      </c>
    </row>
    <row r="53" spans="1:10" ht="15.75" x14ac:dyDescent="0.25">
      <c r="A53" t="s">
        <v>96</v>
      </c>
      <c r="B53" s="4">
        <f>B52*L43</f>
        <v>5609.0918239584671</v>
      </c>
      <c r="D53" t="s">
        <v>97</v>
      </c>
      <c r="E53" s="1">
        <v>5.5E-2</v>
      </c>
    </row>
    <row r="54" spans="1:10" ht="15.75" x14ac:dyDescent="0.25">
      <c r="A54" t="s">
        <v>98</v>
      </c>
      <c r="B54" s="4">
        <f>SUM(C44, D44, E44, F44, G44, H44, I44, J44, K44, L44)</f>
        <v>1749.6466174116549</v>
      </c>
      <c r="D54" t="s">
        <v>99</v>
      </c>
      <c r="E54" s="1">
        <v>0.09</v>
      </c>
    </row>
    <row r="55" spans="1:10" ht="15.75" x14ac:dyDescent="0.25">
      <c r="A55" t="s">
        <v>100</v>
      </c>
      <c r="B55" s="4">
        <f>B53+B54</f>
        <v>7358.738441370122</v>
      </c>
      <c r="G55" s="8" t="s">
        <v>101</v>
      </c>
      <c r="H55" s="8"/>
    </row>
    <row r="56" spans="1:10" ht="15.75" x14ac:dyDescent="0.25">
      <c r="A56" t="s">
        <v>28</v>
      </c>
      <c r="B56" s="1">
        <f>$Q$10</f>
        <v>0.02</v>
      </c>
      <c r="E56" s="1" t="s">
        <v>102</v>
      </c>
      <c r="F56" s="1">
        <v>0.06</v>
      </c>
      <c r="G56" s="1">
        <v>0.08</v>
      </c>
      <c r="H56" s="1">
        <v>0.1</v>
      </c>
      <c r="I56" s="1">
        <v>0.12</v>
      </c>
      <c r="J56" s="1">
        <v>0.15</v>
      </c>
    </row>
    <row r="57" spans="1:10" ht="15.75" x14ac:dyDescent="0.25">
      <c r="A57" t="s">
        <v>103</v>
      </c>
      <c r="B57" s="4">
        <f>(('Helper Data'!$B$3)+('Helper Data'!$B$4))*$Q$11</f>
        <v>0</v>
      </c>
      <c r="E57" s="1">
        <v>5.5E-2</v>
      </c>
      <c r="F57" s="4">
        <v>65.336761483727301</v>
      </c>
      <c r="G57" s="4">
        <v>54.638678011442302</v>
      </c>
      <c r="H57" s="4">
        <v>79.886155006034897</v>
      </c>
      <c r="I57" s="4">
        <v>76.034844956012293</v>
      </c>
      <c r="J57" s="4">
        <v>140.223345789722</v>
      </c>
    </row>
    <row r="58" spans="1:10" ht="15.75" x14ac:dyDescent="0.25">
      <c r="A58" t="s">
        <v>104</v>
      </c>
      <c r="B58" s="4">
        <f>B55*(1-B56)+B57*B56</f>
        <v>7211.5636725427194</v>
      </c>
      <c r="D58" s="9" t="s">
        <v>105</v>
      </c>
      <c r="E58" s="1">
        <v>0.05</v>
      </c>
      <c r="F58" s="4">
        <v>70.799235934676801</v>
      </c>
      <c r="G58" s="4">
        <v>58.9892905541478</v>
      </c>
      <c r="H58" s="4">
        <v>86.860761652196103</v>
      </c>
      <c r="I58" s="4">
        <v>82.609181315205703</v>
      </c>
      <c r="J58" s="4">
        <v>153.46885359837901</v>
      </c>
    </row>
    <row r="59" spans="1:10" ht="15.75" x14ac:dyDescent="0.25">
      <c r="A59" t="s">
        <v>106</v>
      </c>
      <c r="B59" s="4">
        <f>IFERROR('Helper Data'!$B$4, 0)</f>
        <v>2244.4250000000002</v>
      </c>
      <c r="D59" s="8"/>
      <c r="E59" s="1">
        <v>6.1800000000000001E-2</v>
      </c>
      <c r="F59" s="4">
        <v>76.816884635072995</v>
      </c>
      <c r="G59" s="4">
        <v>63.791509715787598</v>
      </c>
      <c r="H59" s="4">
        <v>94.531394525301195</v>
      </c>
      <c r="I59" s="4">
        <v>89.842259554358407</v>
      </c>
      <c r="J59" s="4">
        <v>167.99450907007099</v>
      </c>
    </row>
    <row r="60" spans="1:10" ht="15.75" x14ac:dyDescent="0.25">
      <c r="A60" t="s">
        <v>107</v>
      </c>
      <c r="B60" s="4">
        <f>IFERROR('Helper Data'!$B$7, 0)</f>
        <v>29.402999999999999</v>
      </c>
      <c r="E60" s="1">
        <v>0.06</v>
      </c>
      <c r="F60" s="4">
        <v>83.434917321677801</v>
      </c>
      <c r="G60" s="4">
        <v>69.082363673704194</v>
      </c>
      <c r="H60" s="4">
        <v>102.95439028292201</v>
      </c>
      <c r="I60" s="4">
        <v>97.787470969651494</v>
      </c>
      <c r="J60" s="4">
        <v>183.90279285749301</v>
      </c>
    </row>
    <row r="61" spans="1:10" ht="15.75" x14ac:dyDescent="0.25">
      <c r="A61" t="s">
        <v>108</v>
      </c>
      <c r="B61" s="4">
        <f>IFERROR('Helper Data'!$B$8, 0)</f>
        <v>336.23700000000002</v>
      </c>
      <c r="E61" s="1">
        <v>0.09</v>
      </c>
      <c r="F61" s="4">
        <v>94.5937878503684</v>
      </c>
      <c r="G61" s="4">
        <v>78.021749052115894</v>
      </c>
      <c r="H61" s="4">
        <v>117.13176061599199</v>
      </c>
      <c r="I61" s="4">
        <v>111.16582664862101</v>
      </c>
      <c r="J61" s="4">
        <v>210.598059438136</v>
      </c>
    </row>
    <row r="62" spans="1:10" ht="15.75" x14ac:dyDescent="0.25">
      <c r="A62" t="s">
        <v>109</v>
      </c>
    </row>
    <row r="63" spans="1:10" ht="15.75" x14ac:dyDescent="0.25">
      <c r="A63" t="s">
        <v>110</v>
      </c>
      <c r="B63" s="4">
        <f>B58-B59-B60+B61+B62</f>
        <v>5273.972672542719</v>
      </c>
    </row>
    <row r="64" spans="1:10" ht="15.75" x14ac:dyDescent="0.25">
      <c r="A64" t="s">
        <v>111</v>
      </c>
      <c r="B64" s="4">
        <f>'Employee Options'!$B$17</f>
        <v>0</v>
      </c>
      <c r="D64" s="8" t="s">
        <v>112</v>
      </c>
      <c r="E64" s="8"/>
      <c r="H64" t="s">
        <v>113</v>
      </c>
    </row>
    <row r="65" spans="1:8" ht="15.75" x14ac:dyDescent="0.25">
      <c r="A65" t="s">
        <v>114</v>
      </c>
      <c r="B65" s="4">
        <f>B63-B64</f>
        <v>5273.972672542719</v>
      </c>
      <c r="D65" s="8" t="s">
        <v>115</v>
      </c>
      <c r="E65" s="8" t="s">
        <v>102</v>
      </c>
      <c r="F65" s="1">
        <v>0.03</v>
      </c>
      <c r="H65" s="1">
        <v>8.1895289182043807E-2</v>
      </c>
    </row>
    <row r="66" spans="1:8" ht="15.75" x14ac:dyDescent="0.25">
      <c r="A66" t="s">
        <v>116</v>
      </c>
      <c r="B66" s="4">
        <v>94.83</v>
      </c>
      <c r="D66" s="8" t="s">
        <v>117</v>
      </c>
      <c r="E66" s="8" t="s">
        <v>102</v>
      </c>
      <c r="F66" s="1">
        <v>5.5E-2</v>
      </c>
      <c r="G66" s="1">
        <v>7.4999999999999997E-2</v>
      </c>
      <c r="H66" s="1">
        <v>6.27713241780537E-2</v>
      </c>
    </row>
    <row r="67" spans="1:8" ht="15.75" x14ac:dyDescent="0.25">
      <c r="A67" t="s">
        <v>118</v>
      </c>
      <c r="B67" s="4">
        <f>IF(B65/'Helper Data'!$B$6 &lt; 0, 0, (B65/'Helper Data'!$B$6)*'Helper Data'!$B$16)</f>
        <v>94.531394525301152</v>
      </c>
      <c r="D67" s="8" t="s">
        <v>119</v>
      </c>
      <c r="E67" s="8" t="s">
        <v>102</v>
      </c>
      <c r="F67" s="5">
        <v>2.25</v>
      </c>
      <c r="G67" s="5">
        <v>3</v>
      </c>
      <c r="H67" s="5">
        <v>2.53612795200603</v>
      </c>
    </row>
    <row r="68" spans="1:8" ht="15.75" x14ac:dyDescent="0.25">
      <c r="A68" t="s">
        <v>120</v>
      </c>
      <c r="B68" s="1">
        <f>IFERROR((B67-B66)/B67, 0)</f>
        <v>-3.1587968864557965E-3</v>
      </c>
    </row>
    <row r="71" spans="1:8" ht="15.75" x14ac:dyDescent="0.25">
      <c r="D71" t="s">
        <v>102</v>
      </c>
      <c r="E71" t="s">
        <v>121</v>
      </c>
      <c r="F71" t="s">
        <v>122</v>
      </c>
      <c r="G71" s="8" t="s">
        <v>123</v>
      </c>
      <c r="H71" s="8"/>
    </row>
    <row r="72" spans="1:8" ht="15.75" x14ac:dyDescent="0.25">
      <c r="D72" t="s">
        <v>124</v>
      </c>
      <c r="E72" s="5">
        <v>10000</v>
      </c>
      <c r="F72">
        <v>0</v>
      </c>
      <c r="G72" s="4">
        <v>58.158701531751802</v>
      </c>
    </row>
    <row r="73" spans="1:8" ht="15.75" x14ac:dyDescent="0.25">
      <c r="D73" t="s">
        <v>125</v>
      </c>
      <c r="E73" s="4">
        <v>100.85179863175399</v>
      </c>
      <c r="F73">
        <v>0.1</v>
      </c>
      <c r="G73" s="4">
        <v>80.583319373760105</v>
      </c>
    </row>
    <row r="74" spans="1:8" ht="15.75" x14ac:dyDescent="0.25">
      <c r="D74" t="s">
        <v>126</v>
      </c>
      <c r="E74" s="4">
        <v>99.148289934264895</v>
      </c>
      <c r="F74">
        <v>0.2</v>
      </c>
      <c r="G74" s="4">
        <v>86.231445794639598</v>
      </c>
    </row>
    <row r="75" spans="1:8" ht="15.75" x14ac:dyDescent="0.25">
      <c r="D75" t="s">
        <v>127</v>
      </c>
      <c r="E75" s="4">
        <v>58.158701531751802</v>
      </c>
      <c r="F75">
        <v>0.3</v>
      </c>
      <c r="G75" s="4">
        <v>90.750221187514299</v>
      </c>
    </row>
    <row r="76" spans="1:8" ht="15.75" x14ac:dyDescent="0.25">
      <c r="D76" t="s">
        <v>128</v>
      </c>
      <c r="E76" s="4">
        <v>195.80060431326001</v>
      </c>
      <c r="F76">
        <v>0.4</v>
      </c>
      <c r="G76" s="4">
        <v>95.054407536998397</v>
      </c>
    </row>
    <row r="77" spans="1:8" ht="15.75" x14ac:dyDescent="0.25">
      <c r="D77" t="s">
        <v>129</v>
      </c>
      <c r="E77" s="4">
        <v>16.956429955727501</v>
      </c>
      <c r="F77">
        <v>0.5</v>
      </c>
      <c r="G77" s="4">
        <v>99.148289934264895</v>
      </c>
    </row>
    <row r="78" spans="1:8" ht="15.75" x14ac:dyDescent="0.25">
      <c r="D78" t="s">
        <v>130</v>
      </c>
      <c r="E78" s="4">
        <v>287.52051684349402</v>
      </c>
      <c r="F78">
        <v>0.6</v>
      </c>
      <c r="G78" s="4">
        <v>103.643952159566</v>
      </c>
    </row>
    <row r="79" spans="1:8" ht="15.75" x14ac:dyDescent="0.25">
      <c r="D79" t="s">
        <v>131</v>
      </c>
      <c r="E79" s="5">
        <v>0.598844039247454</v>
      </c>
      <c r="F79">
        <v>0.7</v>
      </c>
      <c r="G79" s="4">
        <v>108.418008774396</v>
      </c>
    </row>
    <row r="80" spans="1:8" ht="15.75" x14ac:dyDescent="0.25">
      <c r="D80" t="s">
        <v>132</v>
      </c>
      <c r="E80" s="5">
        <v>0.57272006102416695</v>
      </c>
      <c r="F80">
        <v>0.8</v>
      </c>
      <c r="G80" s="4">
        <v>114.382318374005</v>
      </c>
    </row>
    <row r="81" spans="4:7" ht="15.75" x14ac:dyDescent="0.25">
      <c r="D81" t="s">
        <v>133</v>
      </c>
      <c r="E81" s="5">
        <v>0.16813215218542199</v>
      </c>
      <c r="F81">
        <v>0.9</v>
      </c>
      <c r="G81" s="4">
        <v>123.21422808297299</v>
      </c>
    </row>
    <row r="82" spans="4:7" ht="15.75" x14ac:dyDescent="0.25">
      <c r="D82" t="s">
        <v>134</v>
      </c>
      <c r="E82" s="4">
        <v>0.16956429955727501</v>
      </c>
      <c r="F82">
        <v>1</v>
      </c>
      <c r="G82" s="4">
        <v>195.80060431326001</v>
      </c>
    </row>
    <row r="83" spans="4:7" ht="15.75" x14ac:dyDescent="0.25">
      <c r="D83" t="s">
        <v>135</v>
      </c>
      <c r="E83" s="4">
        <v>101.184144658886</v>
      </c>
    </row>
    <row r="84" spans="4:7" ht="15.75" x14ac:dyDescent="0.25">
      <c r="D84" t="s">
        <v>136</v>
      </c>
      <c r="E84" s="4">
        <v>100.51945260462099</v>
      </c>
    </row>
  </sheetData>
  <mergeCells count="52">
    <mergeCell ref="D67:E67"/>
    <mergeCell ref="G71:H71"/>
    <mergeCell ref="G55:H55"/>
    <mergeCell ref="D58:D59"/>
    <mergeCell ref="D64:E64"/>
    <mergeCell ref="D65:E65"/>
    <mergeCell ref="D66:E66"/>
    <mergeCell ref="D26:E26"/>
    <mergeCell ref="D27:E27"/>
    <mergeCell ref="D28:E28"/>
    <mergeCell ref="D29:E29"/>
    <mergeCell ref="D50:E50"/>
    <mergeCell ref="D19:E19"/>
    <mergeCell ref="D22:E22"/>
    <mergeCell ref="D23:E23"/>
    <mergeCell ref="D24:E24"/>
    <mergeCell ref="D25:E25"/>
    <mergeCell ref="A12:B12"/>
    <mergeCell ref="A13:B13"/>
    <mergeCell ref="D13:E13"/>
    <mergeCell ref="A14:B14"/>
    <mergeCell ref="D14:X17"/>
    <mergeCell ref="A17:B17"/>
    <mergeCell ref="D10:F10"/>
    <mergeCell ref="H10:I10"/>
    <mergeCell ref="K10:L10"/>
    <mergeCell ref="N10:P10"/>
    <mergeCell ref="D11:F11"/>
    <mergeCell ref="N11:P11"/>
    <mergeCell ref="A9:B9"/>
    <mergeCell ref="D9:F9"/>
    <mergeCell ref="H9:I9"/>
    <mergeCell ref="K9:L9"/>
    <mergeCell ref="N9:P9"/>
    <mergeCell ref="H7:I7"/>
    <mergeCell ref="K7:L7"/>
    <mergeCell ref="N7:O7"/>
    <mergeCell ref="A8:B8"/>
    <mergeCell ref="D8:F8"/>
    <mergeCell ref="H8:I8"/>
    <mergeCell ref="K8:L8"/>
    <mergeCell ref="N8:P8"/>
    <mergeCell ref="C4:D4"/>
    <mergeCell ref="F4:G4"/>
    <mergeCell ref="A6:B6"/>
    <mergeCell ref="A7:B7"/>
    <mergeCell ref="D7:E7"/>
    <mergeCell ref="A1:B1"/>
    <mergeCell ref="D1:F1"/>
    <mergeCell ref="A2:B2"/>
    <mergeCell ref="C3:D3"/>
    <mergeCell ref="F3:G3"/>
  </mergeCells>
  <pageMargins left="0.7" right="0.7" top="0.75" bottom="0.75" header="0.3" footer="0.3"/>
  <ignoredErrors>
    <ignoredError sqref="A1:AB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2"/>
  <sheetViews>
    <sheetView workbookViewId="0"/>
  </sheetViews>
  <sheetFormatPr defaultRowHeight="15" x14ac:dyDescent="0.25"/>
  <cols>
    <col min="1" max="1" width="40.875" customWidth="1"/>
  </cols>
  <sheetData>
    <row r="1" spans="1:24" ht="15.75" x14ac:dyDescent="0.25">
      <c r="A1" t="s">
        <v>137</v>
      </c>
    </row>
    <row r="2" spans="1:24" ht="15.75" x14ac:dyDescent="0.25">
      <c r="A2" t="s">
        <v>138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</row>
    <row r="3" spans="1:24" ht="15.75" x14ac:dyDescent="0.25">
      <c r="A3" t="s">
        <v>66</v>
      </c>
      <c r="B3" s="3">
        <v>13738244000</v>
      </c>
      <c r="C3" s="3">
        <v>12317380000</v>
      </c>
      <c r="D3" s="3">
        <v>8167933000</v>
      </c>
      <c r="E3" s="3">
        <v>7864758000</v>
      </c>
      <c r="F3" s="3">
        <v>8328909000</v>
      </c>
      <c r="G3" s="3">
        <v>7246952000</v>
      </c>
      <c r="H3" s="3">
        <v>4582112000</v>
      </c>
      <c r="I3" s="3">
        <v>4006819000</v>
      </c>
      <c r="J3" s="3">
        <v>3525456000</v>
      </c>
      <c r="K3" s="3">
        <v>3241795000</v>
      </c>
      <c r="L3" s="3">
        <v>3084660000</v>
      </c>
      <c r="M3" s="3">
        <v>2755508000</v>
      </c>
      <c r="N3" s="3">
        <v>2276557000</v>
      </c>
      <c r="O3" s="3">
        <v>1521896000</v>
      </c>
      <c r="P3" s="3">
        <v>2640680000</v>
      </c>
      <c r="Q3" s="3">
        <v>2856308000</v>
      </c>
      <c r="R3" s="3">
        <v>3066276000</v>
      </c>
      <c r="S3" s="3">
        <v>2558351000</v>
      </c>
      <c r="T3" s="3">
        <v>2187738526</v>
      </c>
      <c r="U3" s="3">
        <v>1571404414</v>
      </c>
      <c r="V3" s="3">
        <v>1245299721</v>
      </c>
      <c r="W3" s="3">
        <v>826930810</v>
      </c>
      <c r="X3" s="3">
        <v>893997086</v>
      </c>
    </row>
    <row r="4" spans="1:24" ht="15.75" x14ac:dyDescent="0.25">
      <c r="A4" t="s">
        <v>139</v>
      </c>
      <c r="B4" s="3">
        <v>11566699000</v>
      </c>
      <c r="C4" s="3">
        <v>10422407000</v>
      </c>
      <c r="D4" s="3">
        <v>7049726000</v>
      </c>
      <c r="E4" s="3">
        <v>6891664000</v>
      </c>
      <c r="F4" s="3">
        <v>7164243000</v>
      </c>
      <c r="G4" s="3">
        <v>6203369000</v>
      </c>
      <c r="H4" s="3">
        <v>3855787000</v>
      </c>
      <c r="I4" s="3">
        <v>3449274000</v>
      </c>
      <c r="J4" s="3">
        <v>3055060000</v>
      </c>
      <c r="K4" s="3">
        <v>2817256000</v>
      </c>
      <c r="L4" s="3">
        <v>2727884000</v>
      </c>
      <c r="M4" s="3">
        <v>2422373000</v>
      </c>
      <c r="N4" s="3">
        <v>1969471000</v>
      </c>
      <c r="O4" s="3">
        <v>1369359000</v>
      </c>
      <c r="P4" s="3">
        <v>2318254000</v>
      </c>
      <c r="Q4" s="3">
        <v>2493013000</v>
      </c>
      <c r="R4" s="3">
        <v>2620506000</v>
      </c>
      <c r="S4" s="3">
        <v>2218585000</v>
      </c>
      <c r="T4" s="3">
        <v>1887201784</v>
      </c>
      <c r="U4" s="3">
        <v>1349137525</v>
      </c>
      <c r="V4" s="3">
        <v>1087895902</v>
      </c>
      <c r="W4" s="3">
        <v>731607543</v>
      </c>
      <c r="X4" s="3">
        <v>773097291</v>
      </c>
    </row>
    <row r="5" spans="1:24" ht="15.75" x14ac:dyDescent="0.25">
      <c r="A5" t="s">
        <v>140</v>
      </c>
      <c r="B5" s="3">
        <v>2171545000</v>
      </c>
      <c r="C5" s="3">
        <v>1894973000</v>
      </c>
      <c r="D5" s="3">
        <v>1118207000</v>
      </c>
      <c r="E5" s="3">
        <v>973094000</v>
      </c>
      <c r="F5" s="3">
        <v>1164666000</v>
      </c>
      <c r="G5" s="3">
        <v>1043583000</v>
      </c>
      <c r="H5" s="3">
        <v>726325000</v>
      </c>
      <c r="I5" s="3">
        <v>557545000</v>
      </c>
      <c r="J5" s="3">
        <v>470396000</v>
      </c>
      <c r="K5" s="3">
        <v>424539000</v>
      </c>
      <c r="L5" s="3">
        <v>356776000</v>
      </c>
      <c r="M5" s="3">
        <v>333135000</v>
      </c>
      <c r="N5" s="3">
        <v>307086000</v>
      </c>
      <c r="O5" s="3">
        <v>152537000</v>
      </c>
      <c r="P5" s="3">
        <v>322426000</v>
      </c>
      <c r="Q5" s="3">
        <v>363295000</v>
      </c>
      <c r="R5" s="3">
        <v>445770000</v>
      </c>
      <c r="S5" s="3">
        <v>339766000</v>
      </c>
      <c r="T5" s="3">
        <v>300536742</v>
      </c>
      <c r="U5" s="3">
        <v>222266889</v>
      </c>
      <c r="V5" s="3">
        <v>157403819</v>
      </c>
      <c r="W5" s="3">
        <v>95323267</v>
      </c>
      <c r="X5" s="3">
        <v>120899795</v>
      </c>
    </row>
    <row r="6" spans="1:24" ht="15.75" x14ac:dyDescent="0.25">
      <c r="A6" t="s">
        <v>141</v>
      </c>
      <c r="B6" s="1">
        <v>0.15740000000000001</v>
      </c>
      <c r="C6" s="1">
        <v>0.15379999999999999</v>
      </c>
      <c r="D6" s="1">
        <v>0.13689999999999999</v>
      </c>
      <c r="E6" s="1">
        <v>0.1237</v>
      </c>
      <c r="F6" s="1">
        <v>0.13980000000000001</v>
      </c>
      <c r="G6" s="1">
        <v>0.14399999999999999</v>
      </c>
      <c r="H6" s="1">
        <v>0.1585</v>
      </c>
      <c r="I6" s="1">
        <v>0.1391</v>
      </c>
      <c r="J6" s="1">
        <v>0.13339999999999999</v>
      </c>
      <c r="K6" s="1">
        <v>0.13100000000000001</v>
      </c>
      <c r="L6" s="1">
        <v>0.1157</v>
      </c>
      <c r="M6" s="1">
        <v>0.12089999999999999</v>
      </c>
      <c r="N6" s="1">
        <v>0.13489999999999999</v>
      </c>
      <c r="O6" s="1">
        <v>0.1002</v>
      </c>
      <c r="P6" s="1">
        <v>0.1221</v>
      </c>
      <c r="Q6" s="1">
        <v>0.12720000000000001</v>
      </c>
      <c r="R6" s="1">
        <v>0.1454</v>
      </c>
      <c r="S6" s="1">
        <v>0.1328</v>
      </c>
      <c r="T6" s="1">
        <v>0.13739999999999999</v>
      </c>
      <c r="U6" s="1">
        <v>0.1414</v>
      </c>
      <c r="V6" s="1">
        <v>0.12640000000000001</v>
      </c>
      <c r="W6" s="1">
        <v>0.1153</v>
      </c>
      <c r="X6" s="1">
        <v>0.13519999999999999</v>
      </c>
    </row>
    <row r="7" spans="1:24" ht="15.75" x14ac:dyDescent="0.25">
      <c r="A7" t="s">
        <v>142</v>
      </c>
      <c r="B7" s="3">
        <v>984036000</v>
      </c>
      <c r="C7" s="3">
        <v>847507000</v>
      </c>
      <c r="D7" s="3">
        <v>634119000</v>
      </c>
      <c r="E7" s="3">
        <v>536044000</v>
      </c>
      <c r="F7" s="3">
        <v>477444000</v>
      </c>
      <c r="G7" s="3">
        <v>419847000</v>
      </c>
      <c r="H7" s="3">
        <v>306269000</v>
      </c>
      <c r="I7" s="3">
        <v>250891000</v>
      </c>
      <c r="J7" s="3">
        <v>208712000</v>
      </c>
      <c r="K7" s="3">
        <v>194650000</v>
      </c>
      <c r="L7" s="3">
        <v>169154000</v>
      </c>
      <c r="M7" s="3">
        <v>180858000</v>
      </c>
      <c r="N7" s="3">
        <v>147407000</v>
      </c>
      <c r="O7" s="3">
        <v>124578000</v>
      </c>
      <c r="P7" s="3">
        <v>177068000</v>
      </c>
      <c r="Q7" s="3">
        <v>177697000</v>
      </c>
      <c r="R7" s="3">
        <v>183926000</v>
      </c>
      <c r="S7" s="3">
        <v>152499000</v>
      </c>
      <c r="T7" s="3">
        <v>137661270</v>
      </c>
      <c r="U7" s="3">
        <v>97180897</v>
      </c>
      <c r="V7" s="3">
        <v>75181339</v>
      </c>
      <c r="W7" s="3">
        <v>54977350</v>
      </c>
      <c r="X7" s="3">
        <v>56771133</v>
      </c>
    </row>
    <row r="8" spans="1:24" ht="15.75" x14ac:dyDescent="0.25">
      <c r="A8" t="s">
        <v>143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ht="15.75" x14ac:dyDescent="0.25">
      <c r="A9" t="s">
        <v>144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452000</v>
      </c>
      <c r="U9" s="3">
        <v>1067000</v>
      </c>
      <c r="V9" s="3">
        <v>1405000</v>
      </c>
      <c r="W9" s="3">
        <v>1507000</v>
      </c>
      <c r="X9" s="3">
        <v>521000</v>
      </c>
    </row>
    <row r="10" spans="1:24" ht="15.75" x14ac:dyDescent="0.25">
      <c r="A10" t="s">
        <v>145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ht="15.75" x14ac:dyDescent="0.25">
      <c r="A11" t="s">
        <v>146</v>
      </c>
      <c r="B11" s="3">
        <v>1107006000</v>
      </c>
      <c r="C11" s="3">
        <v>987099000</v>
      </c>
      <c r="D11" s="3">
        <v>731353000</v>
      </c>
      <c r="E11" s="3">
        <v>611682000</v>
      </c>
      <c r="F11" s="3">
        <v>532562000</v>
      </c>
      <c r="G11" s="3">
        <v>483772000</v>
      </c>
      <c r="H11" s="3">
        <v>334231000</v>
      </c>
      <c r="I11" s="3">
        <v>266906000</v>
      </c>
      <c r="J11" s="3">
        <v>221632000</v>
      </c>
      <c r="K11" s="3">
        <v>205110000</v>
      </c>
      <c r="L11" s="3">
        <v>180289000</v>
      </c>
      <c r="M11" s="3">
        <v>191120000</v>
      </c>
      <c r="N11" s="3">
        <v>166551000</v>
      </c>
      <c r="O11" s="3">
        <v>137302000</v>
      </c>
      <c r="P11" s="3">
        <v>177881000</v>
      </c>
      <c r="Q11" s="3">
        <v>178632000</v>
      </c>
      <c r="R11" s="3">
        <v>184875000</v>
      </c>
      <c r="S11" s="3">
        <v>153466000</v>
      </c>
      <c r="T11" s="3">
        <v>138459898</v>
      </c>
      <c r="U11" s="3">
        <v>97895716</v>
      </c>
      <c r="V11" s="3">
        <v>75751515</v>
      </c>
      <c r="W11" s="3">
        <v>56323430</v>
      </c>
      <c r="X11" s="3">
        <v>61447679</v>
      </c>
    </row>
    <row r="12" spans="1:24" ht="15.75" x14ac:dyDescent="0.25">
      <c r="A12" t="s">
        <v>147</v>
      </c>
      <c r="B12" s="3">
        <v>1064539000</v>
      </c>
      <c r="C12" s="3">
        <v>907874000</v>
      </c>
      <c r="D12" s="3">
        <v>386854000</v>
      </c>
      <c r="E12" s="3">
        <v>361412000</v>
      </c>
      <c r="F12" s="3">
        <v>632104000</v>
      </c>
      <c r="G12" s="3">
        <v>559811000</v>
      </c>
      <c r="H12" s="3">
        <v>392094000</v>
      </c>
      <c r="I12" s="3">
        <v>290639000</v>
      </c>
      <c r="J12" s="3">
        <v>248764000</v>
      </c>
      <c r="K12" s="3">
        <v>219429000</v>
      </c>
      <c r="L12" s="3">
        <v>176487000</v>
      </c>
      <c r="M12" s="3">
        <v>142015000</v>
      </c>
      <c r="N12" s="3">
        <v>140535000</v>
      </c>
      <c r="O12" s="3">
        <v>15235000</v>
      </c>
      <c r="P12" s="3">
        <v>144545000</v>
      </c>
      <c r="Q12" s="3">
        <v>184663000</v>
      </c>
      <c r="R12" s="3">
        <v>260895000</v>
      </c>
      <c r="S12" s="3">
        <v>186300000</v>
      </c>
      <c r="T12" s="3">
        <v>162076844</v>
      </c>
      <c r="U12" s="3">
        <v>124371173</v>
      </c>
      <c r="V12" s="3">
        <v>81652304</v>
      </c>
      <c r="W12" s="3">
        <v>38999837</v>
      </c>
      <c r="X12" s="3">
        <v>59452116</v>
      </c>
    </row>
    <row r="13" spans="1:24" ht="15.75" x14ac:dyDescent="0.25">
      <c r="A13" t="s">
        <v>148</v>
      </c>
      <c r="B13" s="1">
        <v>7.6600000000000001E-2</v>
      </c>
      <c r="C13" s="1">
        <v>7.3700000000000002E-2</v>
      </c>
      <c r="D13" s="1">
        <v>4.7399999999999998E-2</v>
      </c>
      <c r="E13" s="1">
        <v>4.5999999999999999E-2</v>
      </c>
      <c r="F13" s="1">
        <v>7.5899999999999995E-2</v>
      </c>
      <c r="G13" s="1">
        <v>7.7200000000000005E-2</v>
      </c>
      <c r="H13" s="1">
        <v>8.5599999999999996E-2</v>
      </c>
      <c r="I13" s="1">
        <v>7.2499999999999995E-2</v>
      </c>
      <c r="J13" s="1">
        <v>7.0599999999999996E-2</v>
      </c>
      <c r="K13" s="1">
        <v>6.7699999999999996E-2</v>
      </c>
      <c r="L13" s="1">
        <v>5.7200000000000001E-2</v>
      </c>
      <c r="M13" s="1">
        <v>5.1499999999999997E-2</v>
      </c>
      <c r="N13" s="1">
        <v>6.1699999999999998E-2</v>
      </c>
      <c r="O13" s="1">
        <v>0.01</v>
      </c>
      <c r="P13" s="1">
        <v>5.4699999999999999E-2</v>
      </c>
      <c r="Q13" s="1">
        <v>6.4699999999999994E-2</v>
      </c>
      <c r="R13" s="1">
        <v>8.5099999999999995E-2</v>
      </c>
      <c r="S13" s="1">
        <v>7.2800000000000004E-2</v>
      </c>
      <c r="T13" s="1">
        <v>7.4099999999999999E-2</v>
      </c>
      <c r="U13" s="1">
        <v>7.9100000000000004E-2</v>
      </c>
      <c r="V13" s="1">
        <v>6.5600000000000006E-2</v>
      </c>
      <c r="W13" s="1">
        <v>4.7199999999999999E-2</v>
      </c>
      <c r="X13" s="1">
        <v>6.6500000000000004E-2</v>
      </c>
    </row>
    <row r="14" spans="1:24" ht="15.75" x14ac:dyDescent="0.25">
      <c r="A14" t="s">
        <v>149</v>
      </c>
      <c r="B14" s="3">
        <v>672000</v>
      </c>
      <c r="C14" s="3">
        <v>797000</v>
      </c>
      <c r="D14" s="3">
        <v>3116000</v>
      </c>
      <c r="E14" s="3">
        <v>8080000</v>
      </c>
      <c r="F14" s="3">
        <v>2148000</v>
      </c>
      <c r="G14" s="3">
        <v>923000</v>
      </c>
      <c r="H14" s="3">
        <v>743000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24" ht="15.75" x14ac:dyDescent="0.25">
      <c r="A15" t="s">
        <v>150</v>
      </c>
      <c r="B15" s="3">
        <v>90979000</v>
      </c>
      <c r="C15" s="3">
        <v>94342000</v>
      </c>
      <c r="D15" s="3">
        <v>107322000</v>
      </c>
      <c r="E15" s="3">
        <v>68112000</v>
      </c>
      <c r="F15" s="3">
        <v>5187000</v>
      </c>
      <c r="G15" s="3">
        <v>9730000</v>
      </c>
      <c r="H15" s="3">
        <v>1592000</v>
      </c>
      <c r="I15" s="3">
        <v>180000</v>
      </c>
      <c r="J15" s="3">
        <v>10000</v>
      </c>
      <c r="K15" s="3">
        <v>6000</v>
      </c>
      <c r="L15" s="3">
        <v>560000</v>
      </c>
      <c r="M15" s="3">
        <v>212000</v>
      </c>
      <c r="N15" s="3">
        <v>395000</v>
      </c>
      <c r="O15" s="3">
        <v>525000</v>
      </c>
      <c r="P15" s="3">
        <v>1315000</v>
      </c>
      <c r="Q15" s="3">
        <v>774000</v>
      </c>
      <c r="R15" s="3">
        <v>1248000</v>
      </c>
      <c r="S15" s="3">
        <v>580000</v>
      </c>
      <c r="T15" s="3">
        <v>156135</v>
      </c>
      <c r="U15" s="3">
        <v>390000</v>
      </c>
      <c r="V15" s="3">
        <v>325000</v>
      </c>
      <c r="W15" s="3">
        <v>771000</v>
      </c>
      <c r="X15" s="3">
        <v>197000</v>
      </c>
    </row>
    <row r="16" spans="1:24" ht="15.75" x14ac:dyDescent="0.25">
      <c r="A16" t="s">
        <v>151</v>
      </c>
      <c r="B16" s="3">
        <v>-90307000</v>
      </c>
      <c r="C16" s="3">
        <v>-93545000</v>
      </c>
      <c r="D16" s="3">
        <v>-104206000</v>
      </c>
      <c r="E16" s="3">
        <v>-60032000</v>
      </c>
      <c r="F16" s="3">
        <v>-3039000</v>
      </c>
      <c r="G16" s="3">
        <v>-8807000</v>
      </c>
      <c r="H16" s="3">
        <v>-849000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ht="15.75" x14ac:dyDescent="0.25">
      <c r="A17" t="s">
        <v>152</v>
      </c>
      <c r="B17" s="3">
        <v>-53435000</v>
      </c>
      <c r="C17" s="3">
        <v>-63293000</v>
      </c>
      <c r="D17" s="3">
        <v>-113958000</v>
      </c>
      <c r="E17" s="3">
        <v>-176746000</v>
      </c>
      <c r="F17" s="3">
        <v>925000</v>
      </c>
      <c r="G17" s="3">
        <v>3425000</v>
      </c>
      <c r="H17" s="3">
        <v>8781000</v>
      </c>
      <c r="I17" s="3">
        <v>-2256000</v>
      </c>
      <c r="J17" s="3">
        <v>-4055000</v>
      </c>
      <c r="K17" s="3">
        <v>-2543000</v>
      </c>
      <c r="L17" s="3">
        <v>-4204000</v>
      </c>
      <c r="M17" s="3">
        <v>-10612000</v>
      </c>
      <c r="N17" s="3">
        <v>-30858000</v>
      </c>
      <c r="O17" s="3">
        <v>-8160000</v>
      </c>
      <c r="P17" s="3">
        <v>-7862000</v>
      </c>
      <c r="Q17" s="3">
        <v>-12137000</v>
      </c>
      <c r="R17" s="3">
        <v>-9528000</v>
      </c>
      <c r="S17" s="3">
        <v>-7310000</v>
      </c>
      <c r="T17" s="3">
        <v>-6142658</v>
      </c>
      <c r="U17" s="3">
        <v>-1873085</v>
      </c>
      <c r="V17" s="3">
        <v>-174931</v>
      </c>
      <c r="W17" s="3">
        <v>-4287179</v>
      </c>
      <c r="X17" s="3">
        <v>-1420831</v>
      </c>
    </row>
    <row r="18" spans="1:24" ht="15.75" x14ac:dyDescent="0.25">
      <c r="A18" t="s">
        <v>153</v>
      </c>
      <c r="B18" s="3">
        <v>1011104000</v>
      </c>
      <c r="C18" s="3">
        <v>844581000</v>
      </c>
      <c r="D18" s="3">
        <v>272896000</v>
      </c>
      <c r="E18" s="3">
        <v>184666000</v>
      </c>
      <c r="F18" s="3">
        <v>633029000</v>
      </c>
      <c r="G18" s="3">
        <v>556386000</v>
      </c>
      <c r="H18" s="3">
        <v>383313000</v>
      </c>
      <c r="I18" s="3">
        <v>292895000</v>
      </c>
      <c r="J18" s="3">
        <v>252819000</v>
      </c>
      <c r="K18" s="3">
        <v>221972000</v>
      </c>
      <c r="L18" s="3">
        <v>180691000</v>
      </c>
      <c r="M18" s="3">
        <v>152627000</v>
      </c>
      <c r="N18" s="3">
        <v>171393000</v>
      </c>
      <c r="O18" s="3">
        <v>23395000</v>
      </c>
      <c r="P18" s="3">
        <v>152407000</v>
      </c>
      <c r="Q18" s="3">
        <v>196800000</v>
      </c>
      <c r="R18" s="3">
        <v>270423000</v>
      </c>
      <c r="S18" s="3">
        <v>193610000</v>
      </c>
      <c r="T18" s="3">
        <v>168219502</v>
      </c>
      <c r="U18" s="3">
        <v>126244258</v>
      </c>
      <c r="V18" s="3">
        <v>81827235</v>
      </c>
      <c r="W18" s="3">
        <v>43287016</v>
      </c>
      <c r="X18" s="3">
        <v>60872947</v>
      </c>
    </row>
    <row r="19" spans="1:24" ht="15.75" x14ac:dyDescent="0.25">
      <c r="A19" t="s">
        <v>154</v>
      </c>
      <c r="B19" s="3">
        <v>221070000</v>
      </c>
      <c r="C19" s="3">
        <v>183711000</v>
      </c>
      <c r="D19" s="3">
        <v>51512000</v>
      </c>
      <c r="E19" s="3">
        <v>52201000</v>
      </c>
      <c r="F19" s="3">
        <v>202878000</v>
      </c>
      <c r="G19" s="3">
        <v>182132000</v>
      </c>
      <c r="H19" s="3">
        <v>125291000</v>
      </c>
      <c r="I19" s="3">
        <v>90886000</v>
      </c>
      <c r="J19" s="3">
        <v>77303000</v>
      </c>
      <c r="K19" s="3">
        <v>70296000</v>
      </c>
      <c r="L19" s="3">
        <v>58952000</v>
      </c>
      <c r="M19" s="3">
        <v>46354000</v>
      </c>
      <c r="N19" s="3">
        <v>61329000</v>
      </c>
      <c r="O19" s="3">
        <v>6252000</v>
      </c>
      <c r="P19" s="3">
        <v>59701000</v>
      </c>
      <c r="Q19" s="3">
        <v>62129000</v>
      </c>
      <c r="R19" s="3">
        <v>97959000</v>
      </c>
      <c r="S19" s="3">
        <v>71843000</v>
      </c>
      <c r="T19" s="3">
        <v>62134166</v>
      </c>
      <c r="U19" s="3">
        <v>47613493</v>
      </c>
      <c r="V19" s="3">
        <v>30645562</v>
      </c>
      <c r="W19" s="3">
        <v>16564743</v>
      </c>
      <c r="X19" s="3">
        <v>24753539</v>
      </c>
    </row>
    <row r="20" spans="1:24" ht="15.75" x14ac:dyDescent="0.25">
      <c r="A20" t="s">
        <v>155</v>
      </c>
      <c r="B20" s="1">
        <v>0.21629999999999999</v>
      </c>
      <c r="C20" s="1">
        <v>0.2175</v>
      </c>
      <c r="D20" s="1">
        <v>0.1888</v>
      </c>
      <c r="E20" s="1">
        <v>0.28270000000000001</v>
      </c>
      <c r="F20" s="1">
        <v>0.32050000000000001</v>
      </c>
      <c r="G20" s="1">
        <v>0.32729999999999998</v>
      </c>
      <c r="H20" s="1">
        <v>0.32690000000000002</v>
      </c>
      <c r="I20" s="1">
        <v>0.31030000000000002</v>
      </c>
      <c r="J20" s="1">
        <v>0.30580000000000002</v>
      </c>
      <c r="K20" s="1">
        <v>0.31669999999999998</v>
      </c>
      <c r="L20" s="1">
        <v>0.32629999999999998</v>
      </c>
      <c r="M20" s="1">
        <v>0.30370000000000003</v>
      </c>
      <c r="N20" s="1">
        <v>0.35780000000000001</v>
      </c>
      <c r="O20" s="1">
        <v>0.26719999999999999</v>
      </c>
      <c r="P20" s="1">
        <v>0.39169999999999999</v>
      </c>
      <c r="Q20" s="1">
        <v>0.31569999999999998</v>
      </c>
      <c r="R20" s="1">
        <v>0.36220000000000002</v>
      </c>
      <c r="S20" s="1">
        <v>0.37109999999999999</v>
      </c>
      <c r="T20" s="1">
        <v>0.36940000000000001</v>
      </c>
      <c r="U20" s="1">
        <v>0.37719999999999998</v>
      </c>
      <c r="V20" s="1">
        <v>0.3745</v>
      </c>
      <c r="W20" s="1">
        <v>0.38269999999999998</v>
      </c>
      <c r="X20" s="1">
        <v>0.40660000000000002</v>
      </c>
    </row>
    <row r="21" spans="1:24" ht="15.75" x14ac:dyDescent="0.25">
      <c r="A21" t="s">
        <v>156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-1503000</v>
      </c>
      <c r="I21" s="3">
        <v>-2624000</v>
      </c>
      <c r="J21" s="3">
        <v>3486000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ht="15.75" x14ac:dyDescent="0.25">
      <c r="A22" t="s">
        <v>157</v>
      </c>
      <c r="B22" s="3">
        <v>52713000</v>
      </c>
      <c r="C22" s="3">
        <v>26263000</v>
      </c>
      <c r="D22" s="3">
        <v>25787000</v>
      </c>
      <c r="E22" s="3">
        <v>-810000</v>
      </c>
      <c r="F22" s="3">
        <v>10803000</v>
      </c>
      <c r="G22" s="3">
        <v>10803000</v>
      </c>
      <c r="H22" s="3">
        <v>10803000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ht="15.75" x14ac:dyDescent="0.25">
      <c r="A23" t="s">
        <v>158</v>
      </c>
      <c r="B23" s="3">
        <v>788940000</v>
      </c>
      <c r="C23" s="3">
        <v>660870000</v>
      </c>
      <c r="D23" s="3">
        <v>221384000</v>
      </c>
      <c r="E23" s="3">
        <v>133869000</v>
      </c>
      <c r="F23" s="3">
        <v>430151000</v>
      </c>
      <c r="G23" s="3">
        <v>374254000</v>
      </c>
      <c r="H23" s="3">
        <v>258022000</v>
      </c>
      <c r="I23" s="3">
        <v>202009000</v>
      </c>
      <c r="J23" s="3">
        <v>175516000</v>
      </c>
      <c r="K23" s="3">
        <v>0</v>
      </c>
      <c r="L23" s="3">
        <v>121739000</v>
      </c>
      <c r="M23" s="3">
        <v>106273000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ht="15.75" x14ac:dyDescent="0.25">
      <c r="A24" t="s">
        <v>159</v>
      </c>
      <c r="B24" s="3">
        <v>788357000</v>
      </c>
      <c r="C24" s="3">
        <v>659872000</v>
      </c>
      <c r="D24" s="3">
        <v>222974000</v>
      </c>
      <c r="E24" s="3">
        <v>133275000</v>
      </c>
      <c r="F24" s="3">
        <v>430151000</v>
      </c>
      <c r="G24" s="3">
        <v>374254000</v>
      </c>
      <c r="H24" s="3">
        <v>256519000</v>
      </c>
      <c r="I24" s="3">
        <v>199385000</v>
      </c>
      <c r="J24" s="3">
        <v>179002000</v>
      </c>
      <c r="K24" s="3">
        <v>152862000</v>
      </c>
      <c r="L24" s="3">
        <v>121739000</v>
      </c>
      <c r="M24" s="3">
        <v>106273000</v>
      </c>
      <c r="N24" s="3">
        <v>110064000</v>
      </c>
      <c r="O24" s="3">
        <v>17143000</v>
      </c>
      <c r="P24" s="3">
        <v>92706000</v>
      </c>
      <c r="Q24" s="3">
        <v>134731000</v>
      </c>
      <c r="R24" s="3">
        <v>172464000</v>
      </c>
      <c r="S24" s="3">
        <v>121767000</v>
      </c>
      <c r="T24" s="3">
        <v>106085336</v>
      </c>
      <c r="U24" s="3">
        <v>78630765</v>
      </c>
      <c r="V24" s="3">
        <v>51181673</v>
      </c>
      <c r="W24" s="3">
        <v>26722273</v>
      </c>
      <c r="X24" s="3">
        <v>36119408</v>
      </c>
    </row>
    <row r="25" spans="1:24" ht="15.75" x14ac:dyDescent="0.25">
      <c r="A25" t="s">
        <v>160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ht="15.75" x14ac:dyDescent="0.25">
      <c r="A26" t="s">
        <v>161</v>
      </c>
      <c r="B26" s="3">
        <v>788357000</v>
      </c>
      <c r="C26" s="3">
        <v>659872000</v>
      </c>
      <c r="D26" s="3">
        <v>222974000</v>
      </c>
      <c r="E26" s="3">
        <v>133275000</v>
      </c>
      <c r="F26" s="3">
        <v>430151000</v>
      </c>
      <c r="G26" s="3">
        <v>374254000</v>
      </c>
      <c r="H26" s="3">
        <v>256519000</v>
      </c>
      <c r="I26" s="3">
        <v>199385000</v>
      </c>
      <c r="J26" s="3">
        <v>179002000</v>
      </c>
      <c r="K26" s="3">
        <v>151676000</v>
      </c>
      <c r="L26" s="3">
        <v>121739000</v>
      </c>
      <c r="M26" s="3">
        <v>106273000</v>
      </c>
      <c r="N26" s="3">
        <v>110064000</v>
      </c>
      <c r="O26" s="3">
        <v>17143000</v>
      </c>
      <c r="P26" s="3">
        <v>92706000</v>
      </c>
      <c r="Q26" s="3">
        <v>134731000</v>
      </c>
      <c r="R26" s="3">
        <v>163405000</v>
      </c>
      <c r="S26" s="3">
        <v>121767000</v>
      </c>
      <c r="T26" s="3">
        <v>106085000</v>
      </c>
      <c r="U26" s="3">
        <v>78631000</v>
      </c>
      <c r="V26" s="3">
        <v>51182000</v>
      </c>
      <c r="W26" s="3">
        <v>26722000</v>
      </c>
      <c r="X26" s="3">
        <v>36119000</v>
      </c>
    </row>
    <row r="27" spans="1:24" ht="15.75" x14ac:dyDescent="0.25">
      <c r="A27" t="s">
        <v>162</v>
      </c>
      <c r="B27" s="1">
        <v>5.6800000000000003E-2</v>
      </c>
      <c r="C27" s="1">
        <v>5.3699999999999998E-2</v>
      </c>
      <c r="D27" s="1">
        <v>2.7099999999999999E-2</v>
      </c>
      <c r="E27" s="1">
        <v>1.7000000000000001E-2</v>
      </c>
      <c r="F27" s="1">
        <v>5.16E-2</v>
      </c>
      <c r="G27" s="1">
        <v>5.16E-2</v>
      </c>
      <c r="H27" s="1">
        <v>5.6300000000000003E-2</v>
      </c>
      <c r="I27" s="1">
        <v>5.04E-2</v>
      </c>
      <c r="J27" s="1">
        <v>4.9799999999999997E-2</v>
      </c>
      <c r="K27" s="1">
        <v>0</v>
      </c>
      <c r="L27" s="1">
        <v>3.95E-2</v>
      </c>
      <c r="M27" s="1">
        <v>3.8600000000000002E-2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ht="15.75" x14ac:dyDescent="0.25">
      <c r="A28" t="s">
        <v>163</v>
      </c>
      <c r="B28" s="3">
        <v>1100406000</v>
      </c>
      <c r="C28" s="3">
        <v>937925000</v>
      </c>
      <c r="D28" s="3">
        <v>381808000</v>
      </c>
      <c r="E28" s="3">
        <v>253588000</v>
      </c>
      <c r="F28" s="3">
        <v>638216000</v>
      </c>
      <c r="G28" s="3">
        <v>566116000</v>
      </c>
      <c r="H28" s="3">
        <v>383402000</v>
      </c>
      <c r="I28" s="3">
        <v>290451000</v>
      </c>
      <c r="J28" s="3">
        <v>256315000</v>
      </c>
      <c r="K28" s="3">
        <v>223164000</v>
      </c>
      <c r="L28" s="3">
        <v>181251000</v>
      </c>
      <c r="M28" s="3">
        <v>152839000</v>
      </c>
      <c r="N28" s="3">
        <v>171788000</v>
      </c>
      <c r="O28" s="3">
        <v>23920000</v>
      </c>
      <c r="P28" s="3">
        <v>152407000</v>
      </c>
      <c r="Q28" s="3">
        <v>196860000</v>
      </c>
      <c r="R28" s="3">
        <v>270423000</v>
      </c>
      <c r="S28" s="3">
        <v>193610000</v>
      </c>
      <c r="T28" s="3">
        <v>168375637</v>
      </c>
      <c r="U28" s="3">
        <v>126244258</v>
      </c>
      <c r="V28" s="3">
        <v>81827235</v>
      </c>
      <c r="W28" s="3">
        <v>43287016</v>
      </c>
      <c r="X28" s="3">
        <v>60872947</v>
      </c>
    </row>
    <row r="29" spans="1:24" ht="15.75" x14ac:dyDescent="0.25">
      <c r="A29" t="s">
        <v>164</v>
      </c>
      <c r="B29" s="3">
        <v>0</v>
      </c>
      <c r="C29" s="3">
        <v>0</v>
      </c>
      <c r="D29" s="3">
        <v>10057000</v>
      </c>
      <c r="E29" s="3">
        <v>114866000</v>
      </c>
      <c r="F29" s="3">
        <v>0</v>
      </c>
      <c r="G29" s="3">
        <v>0</v>
      </c>
      <c r="H29" s="3">
        <v>9113000</v>
      </c>
      <c r="I29" s="3">
        <v>9113000</v>
      </c>
      <c r="J29" s="3">
        <v>710000</v>
      </c>
      <c r="K29" s="3">
        <v>0</v>
      </c>
      <c r="L29" s="3">
        <v>0</v>
      </c>
      <c r="M29" s="3">
        <v>3466000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ht="15.75" x14ac:dyDescent="0.25">
      <c r="A30" t="s">
        <v>165</v>
      </c>
      <c r="B30" s="3">
        <v>241295000</v>
      </c>
      <c r="C30" s="3">
        <v>230581000</v>
      </c>
      <c r="D30" s="3">
        <v>196167000</v>
      </c>
      <c r="E30" s="3">
        <v>148777000</v>
      </c>
      <c r="F30" s="3">
        <v>93223000</v>
      </c>
      <c r="G30" s="3">
        <v>98258000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ht="15.75" x14ac:dyDescent="0.25">
      <c r="A31" t="s">
        <v>166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ht="15.75" x14ac:dyDescent="0.25">
      <c r="A32" t="s">
        <v>167</v>
      </c>
      <c r="B32" s="3">
        <v>1341701000</v>
      </c>
      <c r="C32" s="3">
        <v>1168506000</v>
      </c>
      <c r="D32" s="3">
        <v>577975000</v>
      </c>
      <c r="E32" s="3">
        <v>402365000</v>
      </c>
      <c r="F32" s="3">
        <v>731439000</v>
      </c>
      <c r="G32" s="3">
        <v>630041000</v>
      </c>
      <c r="H32" s="3">
        <v>411364000</v>
      </c>
      <c r="I32" s="3">
        <v>306466000</v>
      </c>
      <c r="J32" s="3">
        <v>269235000</v>
      </c>
      <c r="K32" s="3">
        <v>233624000</v>
      </c>
      <c r="L32" s="3">
        <v>192386000</v>
      </c>
      <c r="M32" s="3">
        <v>163101000</v>
      </c>
      <c r="N32" s="3">
        <v>172298000</v>
      </c>
      <c r="O32" s="3">
        <v>24396000</v>
      </c>
      <c r="P32" s="3">
        <v>153220000</v>
      </c>
      <c r="Q32" s="3">
        <v>197795000</v>
      </c>
      <c r="R32" s="3">
        <v>271372000</v>
      </c>
      <c r="S32" s="3">
        <v>194577000</v>
      </c>
      <c r="T32" s="3">
        <v>169174265</v>
      </c>
      <c r="U32" s="3">
        <v>126959077</v>
      </c>
      <c r="V32" s="3">
        <v>82397411</v>
      </c>
      <c r="W32" s="3">
        <v>44633096</v>
      </c>
      <c r="X32" s="3">
        <v>65549493</v>
      </c>
    </row>
    <row r="33" spans="1:24" ht="15.75" x14ac:dyDescent="0.25">
      <c r="A33" t="s">
        <v>168</v>
      </c>
      <c r="B33" s="6" t="s">
        <v>169</v>
      </c>
      <c r="C33" s="6" t="s">
        <v>169</v>
      </c>
      <c r="D33" s="6" t="s">
        <v>169</v>
      </c>
      <c r="E33" s="6" t="s">
        <v>169</v>
      </c>
      <c r="F33" s="6" t="s">
        <v>169</v>
      </c>
      <c r="G33" s="6" t="s">
        <v>169</v>
      </c>
      <c r="H33" s="6" t="s">
        <v>169</v>
      </c>
      <c r="I33" s="6" t="s">
        <v>169</v>
      </c>
      <c r="J33" s="6" t="s">
        <v>169</v>
      </c>
      <c r="K33" s="6" t="s">
        <v>169</v>
      </c>
      <c r="L33" s="6" t="s">
        <v>169</v>
      </c>
      <c r="M33" s="6" t="s">
        <v>169</v>
      </c>
      <c r="N33" s="6" t="s">
        <v>169</v>
      </c>
      <c r="O33" s="6" t="s">
        <v>169</v>
      </c>
      <c r="P33" s="6" t="s">
        <v>169</v>
      </c>
      <c r="Q33" s="6" t="s">
        <v>169</v>
      </c>
      <c r="R33" s="6" t="s">
        <v>169</v>
      </c>
      <c r="S33" s="6" t="s">
        <v>169</v>
      </c>
      <c r="T33" s="6" t="s">
        <v>169</v>
      </c>
      <c r="U33" s="6" t="s">
        <v>169</v>
      </c>
      <c r="V33" s="6" t="s">
        <v>169</v>
      </c>
      <c r="W33" s="6" t="s">
        <v>169</v>
      </c>
      <c r="X33" s="6" t="s">
        <v>169</v>
      </c>
    </row>
    <row r="34" spans="1:24" ht="15.75" x14ac:dyDescent="0.25">
      <c r="A34" t="s">
        <v>170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 t="s">
        <v>176</v>
      </c>
      <c r="H34" t="s">
        <v>177</v>
      </c>
      <c r="I34" t="s">
        <v>178</v>
      </c>
      <c r="J34" t="s">
        <v>179</v>
      </c>
      <c r="K34" t="s">
        <v>180</v>
      </c>
      <c r="L34" t="s">
        <v>181</v>
      </c>
      <c r="M34" t="s">
        <v>182</v>
      </c>
      <c r="N34" t="s">
        <v>183</v>
      </c>
      <c r="O34" t="s">
        <v>184</v>
      </c>
      <c r="P34" t="s">
        <v>185</v>
      </c>
      <c r="Q34" t="s">
        <v>186</v>
      </c>
      <c r="R34" t="s">
        <v>187</v>
      </c>
      <c r="S34" t="s">
        <v>188</v>
      </c>
      <c r="T34" t="s">
        <v>189</v>
      </c>
      <c r="U34" t="s">
        <v>61</v>
      </c>
      <c r="V34" t="s">
        <v>62</v>
      </c>
      <c r="W34" t="s">
        <v>63</v>
      </c>
      <c r="X34" t="s">
        <v>64</v>
      </c>
    </row>
    <row r="36" spans="1:24" ht="15.75" x14ac:dyDescent="0.25">
      <c r="A36" t="s">
        <v>190</v>
      </c>
    </row>
    <row r="37" spans="1:24" ht="15.75" x14ac:dyDescent="0.25">
      <c r="A37" t="s">
        <v>138</v>
      </c>
      <c r="B37" t="s">
        <v>42</v>
      </c>
      <c r="C37" t="s">
        <v>43</v>
      </c>
      <c r="D37" t="s">
        <v>44</v>
      </c>
      <c r="E37" t="s">
        <v>45</v>
      </c>
      <c r="F37" t="s">
        <v>46</v>
      </c>
      <c r="G37" t="s">
        <v>47</v>
      </c>
      <c r="H37" t="s">
        <v>48</v>
      </c>
      <c r="I37" t="s">
        <v>49</v>
      </c>
      <c r="J37" t="s">
        <v>50</v>
      </c>
      <c r="K37" t="s">
        <v>51</v>
      </c>
      <c r="L37" t="s">
        <v>52</v>
      </c>
      <c r="M37" t="s">
        <v>53</v>
      </c>
      <c r="N37" t="s">
        <v>54</v>
      </c>
      <c r="O37" t="s">
        <v>55</v>
      </c>
      <c r="P37" t="s">
        <v>56</v>
      </c>
      <c r="Q37" t="s">
        <v>57</v>
      </c>
      <c r="R37" t="s">
        <v>58</v>
      </c>
      <c r="S37" t="s">
        <v>59</v>
      </c>
      <c r="T37" t="s">
        <v>60</v>
      </c>
      <c r="U37" t="s">
        <v>61</v>
      </c>
      <c r="V37" t="s">
        <v>62</v>
      </c>
      <c r="W37" t="s">
        <v>63</v>
      </c>
      <c r="X37" t="s">
        <v>64</v>
      </c>
    </row>
    <row r="38" spans="1:24" ht="15.75" x14ac:dyDescent="0.25">
      <c r="A38" t="s">
        <v>191</v>
      </c>
      <c r="B38" s="3">
        <v>336237000</v>
      </c>
      <c r="C38" s="3">
        <v>445852000</v>
      </c>
      <c r="D38" s="3">
        <v>538519000</v>
      </c>
      <c r="E38" s="3">
        <v>425615000</v>
      </c>
      <c r="F38" s="3">
        <v>275249000</v>
      </c>
      <c r="G38" s="3">
        <v>223258000</v>
      </c>
      <c r="H38" s="3">
        <v>209902000</v>
      </c>
      <c r="I38" s="3">
        <v>183478000</v>
      </c>
      <c r="J38" s="3">
        <v>289336000</v>
      </c>
      <c r="K38" s="3">
        <v>236601000</v>
      </c>
      <c r="L38" s="3">
        <v>218642000</v>
      </c>
      <c r="M38" s="3">
        <v>215435000</v>
      </c>
      <c r="N38" s="3">
        <v>247751000</v>
      </c>
      <c r="O38" s="3">
        <v>221684000</v>
      </c>
      <c r="P38" s="3">
        <v>189620000</v>
      </c>
      <c r="Q38" s="3">
        <v>171889000</v>
      </c>
      <c r="R38" s="3">
        <v>196136000</v>
      </c>
      <c r="S38" s="3">
        <v>163596000</v>
      </c>
      <c r="T38" s="3">
        <v>136120530</v>
      </c>
      <c r="U38" s="3">
        <v>132124452</v>
      </c>
      <c r="V38" s="3">
        <v>113192639</v>
      </c>
      <c r="W38" s="3">
        <v>60058777</v>
      </c>
      <c r="X38" s="3">
        <v>59655251</v>
      </c>
    </row>
    <row r="39" spans="1:24" ht="15.75" x14ac:dyDescent="0.25">
      <c r="A39" t="s">
        <v>192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107150000</v>
      </c>
      <c r="P39" s="3">
        <v>0</v>
      </c>
      <c r="Q39" s="3">
        <v>174575000</v>
      </c>
      <c r="R39" s="3">
        <v>68237000</v>
      </c>
      <c r="S39" s="3">
        <v>45219000</v>
      </c>
      <c r="T39" s="3">
        <v>63045616</v>
      </c>
      <c r="U39" s="3">
        <v>40108683</v>
      </c>
      <c r="V39" s="3">
        <v>4621874</v>
      </c>
      <c r="W39" s="3">
        <v>47134094</v>
      </c>
      <c r="X39" s="3">
        <v>18308194</v>
      </c>
    </row>
    <row r="40" spans="1:24" ht="15.75" x14ac:dyDescent="0.25">
      <c r="A40" t="s">
        <v>193</v>
      </c>
      <c r="B40" s="3">
        <v>336237000</v>
      </c>
      <c r="C40" s="3">
        <v>445852000</v>
      </c>
      <c r="D40" s="3">
        <v>538519000</v>
      </c>
      <c r="E40" s="3">
        <v>425615000</v>
      </c>
      <c r="F40" s="3">
        <v>275249000</v>
      </c>
      <c r="G40" s="3">
        <v>223258000</v>
      </c>
      <c r="H40" s="3">
        <v>209902000</v>
      </c>
      <c r="I40" s="3">
        <v>183478000</v>
      </c>
      <c r="J40" s="3">
        <v>289336000</v>
      </c>
      <c r="K40" s="3">
        <v>236601000</v>
      </c>
      <c r="L40" s="3">
        <v>218642000</v>
      </c>
      <c r="M40" s="3">
        <v>215435000</v>
      </c>
      <c r="N40" s="3">
        <v>247751000</v>
      </c>
      <c r="O40" s="3">
        <v>328834000</v>
      </c>
      <c r="P40" s="3">
        <v>189620000</v>
      </c>
      <c r="Q40" s="3">
        <v>346464000</v>
      </c>
      <c r="R40" s="3">
        <v>264373000</v>
      </c>
      <c r="S40" s="3">
        <v>208815000</v>
      </c>
      <c r="T40" s="3">
        <v>199166146</v>
      </c>
      <c r="U40" s="3">
        <v>172233135</v>
      </c>
      <c r="V40" s="3">
        <v>117814513</v>
      </c>
      <c r="W40" s="3">
        <v>107192871</v>
      </c>
      <c r="X40" s="3">
        <v>77963445</v>
      </c>
    </row>
    <row r="41" spans="1:24" ht="15.75" x14ac:dyDescent="0.25">
      <c r="A41" t="s">
        <v>194</v>
      </c>
      <c r="B41" s="3">
        <v>1166373000</v>
      </c>
      <c r="C41" s="3">
        <v>949932000</v>
      </c>
      <c r="D41" s="3">
        <v>814227000</v>
      </c>
      <c r="E41" s="3">
        <v>716227000</v>
      </c>
      <c r="F41" s="3">
        <v>487235000</v>
      </c>
      <c r="G41" s="3">
        <v>484844000</v>
      </c>
      <c r="H41" s="3">
        <v>392539000</v>
      </c>
      <c r="I41" s="3">
        <v>278061000</v>
      </c>
      <c r="J41" s="3">
        <v>281222000</v>
      </c>
      <c r="K41" s="3">
        <v>252805000</v>
      </c>
      <c r="L41" s="3">
        <v>233085000</v>
      </c>
      <c r="M41" s="3">
        <v>177055000</v>
      </c>
      <c r="N41" s="3">
        <v>167763000</v>
      </c>
      <c r="O41" s="3">
        <v>121793000</v>
      </c>
      <c r="P41" s="3">
        <v>146355000</v>
      </c>
      <c r="Q41" s="3">
        <v>177395000</v>
      </c>
      <c r="R41" s="3">
        <v>196938000</v>
      </c>
      <c r="S41" s="3">
        <v>146336000</v>
      </c>
      <c r="T41" s="3">
        <v>136920565</v>
      </c>
      <c r="U41" s="3">
        <v>97314967</v>
      </c>
      <c r="V41" s="3">
        <v>75261898</v>
      </c>
      <c r="W41" s="3">
        <v>47515695</v>
      </c>
      <c r="X41" s="3">
        <v>51943452</v>
      </c>
    </row>
    <row r="42" spans="1:24" ht="15.75" x14ac:dyDescent="0.25">
      <c r="A42" t="s">
        <v>195</v>
      </c>
      <c r="B42" s="3">
        <v>1671847000</v>
      </c>
      <c r="C42" s="3">
        <v>1369384000</v>
      </c>
      <c r="D42" s="3">
        <v>716305000</v>
      </c>
      <c r="E42" s="3">
        <v>827988000</v>
      </c>
      <c r="F42" s="3">
        <v>537909000</v>
      </c>
      <c r="G42" s="3">
        <v>460488000</v>
      </c>
      <c r="H42" s="3">
        <v>403869000</v>
      </c>
      <c r="I42" s="3">
        <v>246115000</v>
      </c>
      <c r="J42" s="3">
        <v>216354000</v>
      </c>
      <c r="K42" s="3">
        <v>153036000</v>
      </c>
      <c r="L42" s="3">
        <v>186083000</v>
      </c>
      <c r="M42" s="3">
        <v>184498000</v>
      </c>
      <c r="N42" s="3">
        <v>142680000</v>
      </c>
      <c r="O42" s="3">
        <v>105278000</v>
      </c>
      <c r="P42" s="3">
        <v>152582000</v>
      </c>
      <c r="Q42" s="3">
        <v>168980000</v>
      </c>
      <c r="R42" s="3">
        <v>187091000</v>
      </c>
      <c r="S42" s="3">
        <v>161770000</v>
      </c>
      <c r="T42" s="3">
        <v>147588254</v>
      </c>
      <c r="U42" s="3">
        <v>96652532</v>
      </c>
      <c r="V42" s="3">
        <v>94665354</v>
      </c>
      <c r="W42" s="3">
        <v>80286637</v>
      </c>
      <c r="X42" s="3">
        <v>89545213</v>
      </c>
    </row>
    <row r="43" spans="1:24" ht="15.75" x14ac:dyDescent="0.25">
      <c r="A43" t="s">
        <v>196</v>
      </c>
      <c r="B43" s="3">
        <v>39254000</v>
      </c>
      <c r="C43" s="3">
        <v>38355000</v>
      </c>
      <c r="D43" s="3">
        <v>33226000</v>
      </c>
      <c r="E43" s="3">
        <v>67527000</v>
      </c>
      <c r="F43" s="3">
        <v>11281000</v>
      </c>
      <c r="G43" s="3">
        <v>11577000</v>
      </c>
      <c r="H43" s="3">
        <v>10548000</v>
      </c>
      <c r="I43" s="3">
        <v>8323000</v>
      </c>
      <c r="J43" s="3">
        <v>5740000</v>
      </c>
      <c r="K43" s="3">
        <v>188262000</v>
      </c>
      <c r="L43" s="3">
        <v>6179000</v>
      </c>
      <c r="M43" s="3">
        <v>5191000</v>
      </c>
      <c r="N43" s="3">
        <v>43576000</v>
      </c>
      <c r="O43" s="3">
        <v>44290000</v>
      </c>
      <c r="P43" s="3">
        <v>39363000</v>
      </c>
      <c r="Q43" s="3">
        <v>12689000</v>
      </c>
      <c r="R43" s="3">
        <v>11431000</v>
      </c>
      <c r="S43" s="3">
        <v>7119000</v>
      </c>
      <c r="T43" s="3">
        <v>14291000</v>
      </c>
      <c r="U43" s="3">
        <v>12432000</v>
      </c>
      <c r="V43" s="3">
        <v>3497000</v>
      </c>
      <c r="W43" s="3">
        <v>2970000</v>
      </c>
      <c r="X43" s="3">
        <v>5835000</v>
      </c>
    </row>
    <row r="44" spans="1:24" ht="15.75" x14ac:dyDescent="0.25">
      <c r="A44" t="s">
        <v>197</v>
      </c>
      <c r="B44" s="3">
        <v>3213711000</v>
      </c>
      <c r="C44" s="3">
        <v>2803523000</v>
      </c>
      <c r="D44" s="3">
        <v>2102277000</v>
      </c>
      <c r="E44" s="3">
        <v>2037357000</v>
      </c>
      <c r="F44" s="3">
        <v>1311674000</v>
      </c>
      <c r="G44" s="3">
        <v>1180167000</v>
      </c>
      <c r="H44" s="3">
        <v>1016858000</v>
      </c>
      <c r="I44" s="3">
        <v>775841000</v>
      </c>
      <c r="J44" s="3">
        <v>844049000</v>
      </c>
      <c r="K44" s="3">
        <v>830704000</v>
      </c>
      <c r="L44" s="3">
        <v>684886000</v>
      </c>
      <c r="M44" s="3">
        <v>623767000</v>
      </c>
      <c r="N44" s="3">
        <v>601770000</v>
      </c>
      <c r="O44" s="3">
        <v>604018000</v>
      </c>
      <c r="P44" s="3">
        <v>527920000</v>
      </c>
      <c r="Q44" s="3">
        <v>705528000</v>
      </c>
      <c r="R44" s="3">
        <v>659833000</v>
      </c>
      <c r="S44" s="3">
        <v>524040000</v>
      </c>
      <c r="T44" s="3">
        <v>497966360</v>
      </c>
      <c r="U44" s="3">
        <v>378632207</v>
      </c>
      <c r="V44" s="3">
        <v>291238354</v>
      </c>
      <c r="W44" s="3">
        <v>237965285</v>
      </c>
      <c r="X44" s="3">
        <v>225287480</v>
      </c>
    </row>
    <row r="45" spans="1:24" ht="15.75" x14ac:dyDescent="0.25">
      <c r="A45" t="s">
        <v>198</v>
      </c>
      <c r="B45" s="3">
        <v>0</v>
      </c>
      <c r="C45" s="3">
        <v>0</v>
      </c>
      <c r="D45" s="3">
        <v>0</v>
      </c>
      <c r="E45" s="3">
        <v>46181000</v>
      </c>
      <c r="F45" s="3">
        <v>48463000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1739000</v>
      </c>
      <c r="M45" s="3">
        <v>2741000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1:24" ht="15.75" x14ac:dyDescent="0.25">
      <c r="A46" t="s">
        <v>199</v>
      </c>
      <c r="B46" s="3">
        <v>1218023000</v>
      </c>
      <c r="C46" s="3">
        <v>1185131000</v>
      </c>
      <c r="D46" s="3">
        <v>1107649000</v>
      </c>
      <c r="E46" s="3">
        <v>1092471000</v>
      </c>
      <c r="F46" s="3">
        <v>522054000</v>
      </c>
      <c r="G46" s="3">
        <v>425238000</v>
      </c>
      <c r="H46" s="3">
        <v>344267000</v>
      </c>
      <c r="I46" s="3">
        <v>234045000</v>
      </c>
      <c r="J46" s="3">
        <v>169862000</v>
      </c>
      <c r="K46" s="3">
        <v>143809000</v>
      </c>
      <c r="L46" s="3">
        <v>164394000</v>
      </c>
      <c r="M46" s="3">
        <v>168214000</v>
      </c>
      <c r="N46" s="3">
        <v>139180000</v>
      </c>
      <c r="O46" s="3">
        <v>142861000</v>
      </c>
      <c r="P46" s="3">
        <v>153230000</v>
      </c>
      <c r="Q46" s="3">
        <v>157242000</v>
      </c>
      <c r="R46" s="3">
        <v>157465000</v>
      </c>
      <c r="S46" s="3">
        <v>139789000</v>
      </c>
      <c r="T46" s="3">
        <v>98763000</v>
      </c>
      <c r="U46" s="3">
        <v>73415000</v>
      </c>
      <c r="V46" s="3">
        <v>51841000</v>
      </c>
      <c r="W46" s="3">
        <v>46936000</v>
      </c>
      <c r="X46" s="3">
        <v>33305000</v>
      </c>
    </row>
    <row r="47" spans="1:24" ht="15.75" x14ac:dyDescent="0.25">
      <c r="A47" t="s">
        <v>200</v>
      </c>
      <c r="B47" s="3">
        <v>1298289000</v>
      </c>
      <c r="C47" s="3">
        <v>937171000</v>
      </c>
      <c r="D47" s="3">
        <v>914724000</v>
      </c>
      <c r="E47" s="3">
        <v>970811000</v>
      </c>
      <c r="F47" s="3">
        <v>388348000</v>
      </c>
      <c r="G47" s="3">
        <v>443466000</v>
      </c>
      <c r="H47" s="3">
        <v>507391000</v>
      </c>
      <c r="I47" s="3">
        <v>169018000</v>
      </c>
      <c r="J47" s="3">
        <v>119783000</v>
      </c>
      <c r="K47" s="3">
        <v>97753000</v>
      </c>
      <c r="L47" s="3">
        <v>114227000</v>
      </c>
      <c r="M47" s="3">
        <v>125255000</v>
      </c>
      <c r="N47" s="3">
        <v>14936000</v>
      </c>
      <c r="O47" s="3">
        <v>13336000</v>
      </c>
      <c r="P47" s="3">
        <v>14993000</v>
      </c>
      <c r="Q47" s="3">
        <v>15806000</v>
      </c>
      <c r="R47" s="3">
        <v>16741000</v>
      </c>
      <c r="S47" s="3">
        <v>183352000</v>
      </c>
      <c r="T47" s="3">
        <v>156707766</v>
      </c>
      <c r="U47" s="3">
        <v>142964103</v>
      </c>
      <c r="V47" s="3">
        <v>139224514</v>
      </c>
      <c r="W47" s="3">
        <v>10378420</v>
      </c>
      <c r="X47" s="3">
        <v>13718726</v>
      </c>
    </row>
    <row r="48" spans="1:24" ht="15.75" x14ac:dyDescent="0.25">
      <c r="A48" t="s">
        <v>201</v>
      </c>
      <c r="B48" s="3">
        <v>1915388000</v>
      </c>
      <c r="C48" s="3">
        <v>1563255000</v>
      </c>
      <c r="D48" s="3">
        <v>1476541000</v>
      </c>
      <c r="E48" s="3">
        <v>1358032000</v>
      </c>
      <c r="F48" s="3">
        <v>377693000</v>
      </c>
      <c r="G48" s="3">
        <v>377693000</v>
      </c>
      <c r="H48" s="3">
        <v>377693000</v>
      </c>
      <c r="I48" s="3">
        <v>312622000</v>
      </c>
      <c r="J48" s="3">
        <v>256579000</v>
      </c>
      <c r="K48" s="3">
        <v>238103000</v>
      </c>
      <c r="L48" s="3">
        <v>245209000</v>
      </c>
      <c r="M48" s="3">
        <v>244452000</v>
      </c>
      <c r="N48" s="3">
        <v>150901000</v>
      </c>
      <c r="O48" s="3">
        <v>148411000</v>
      </c>
      <c r="P48" s="3">
        <v>158128000</v>
      </c>
      <c r="Q48" s="3">
        <v>165663000</v>
      </c>
      <c r="R48" s="3">
        <v>165663000</v>
      </c>
      <c r="S48" s="3">
        <v>183352000</v>
      </c>
      <c r="T48" s="3">
        <v>156707766</v>
      </c>
      <c r="U48" s="3">
        <v>142964103</v>
      </c>
      <c r="V48" s="3">
        <v>139224514</v>
      </c>
      <c r="W48" s="3">
        <v>10378420</v>
      </c>
      <c r="X48" s="3">
        <v>13718726</v>
      </c>
    </row>
    <row r="49" spans="1:24" ht="15.75" x14ac:dyDescent="0.25">
      <c r="A49" t="s">
        <v>202</v>
      </c>
      <c r="B49" s="3">
        <v>123360000</v>
      </c>
      <c r="C49" s="3">
        <v>165008000</v>
      </c>
      <c r="D49" s="3">
        <v>170269000</v>
      </c>
      <c r="E49" s="3">
        <v>155594000</v>
      </c>
      <c r="F49" s="3">
        <v>130433000</v>
      </c>
      <c r="G49" s="3">
        <v>131367000</v>
      </c>
      <c r="H49" s="3">
        <v>79255000</v>
      </c>
      <c r="I49" s="3">
        <v>11722000</v>
      </c>
      <c r="J49" s="3">
        <v>9453000</v>
      </c>
      <c r="K49" s="3">
        <v>8133000</v>
      </c>
      <c r="L49" s="3">
        <v>10439000</v>
      </c>
      <c r="M49" s="3">
        <v>8798000</v>
      </c>
      <c r="N49" s="3">
        <v>14791000</v>
      </c>
      <c r="O49" s="3">
        <v>16196000</v>
      </c>
      <c r="P49" s="3">
        <v>12619000</v>
      </c>
      <c r="Q49" s="3">
        <v>12387000</v>
      </c>
      <c r="R49" s="3">
        <v>9403000</v>
      </c>
      <c r="S49" s="3">
        <v>7898000</v>
      </c>
      <c r="T49" s="3">
        <v>6635000</v>
      </c>
      <c r="U49" s="3">
        <v>8850000</v>
      </c>
      <c r="V49" s="3">
        <v>4686000</v>
      </c>
      <c r="W49" s="3">
        <v>3995000</v>
      </c>
      <c r="X49" s="3">
        <v>3706000</v>
      </c>
    </row>
    <row r="50" spans="1:24" ht="15.75" x14ac:dyDescent="0.25">
      <c r="A50" t="s">
        <v>203</v>
      </c>
      <c r="B50" s="3">
        <v>4555060000</v>
      </c>
      <c r="C50" s="3">
        <v>3850565000</v>
      </c>
      <c r="D50" s="3">
        <v>3669183000</v>
      </c>
      <c r="E50" s="3">
        <v>3623089000</v>
      </c>
      <c r="F50" s="3">
        <v>1466991000</v>
      </c>
      <c r="G50" s="3">
        <v>1377764000</v>
      </c>
      <c r="H50" s="3">
        <v>1308606000</v>
      </c>
      <c r="I50" s="3">
        <v>727407000</v>
      </c>
      <c r="J50" s="3">
        <v>564669000</v>
      </c>
      <c r="K50" s="3">
        <v>497564000</v>
      </c>
      <c r="L50" s="3">
        <v>558168000</v>
      </c>
      <c r="M50" s="3">
        <v>574303000</v>
      </c>
      <c r="N50" s="3">
        <v>362303000</v>
      </c>
      <c r="O50" s="3">
        <v>347106000</v>
      </c>
      <c r="P50" s="3">
        <v>468642000</v>
      </c>
      <c r="Q50" s="3">
        <v>353769000</v>
      </c>
      <c r="R50" s="3">
        <v>352009000</v>
      </c>
      <c r="S50" s="3">
        <v>333839000</v>
      </c>
      <c r="T50" s="3">
        <v>264620404</v>
      </c>
      <c r="U50" s="3">
        <v>230309251</v>
      </c>
      <c r="V50" s="3">
        <v>206264779</v>
      </c>
      <c r="W50" s="3">
        <v>71101594</v>
      </c>
      <c r="X50" s="3">
        <v>56843912</v>
      </c>
    </row>
    <row r="51" spans="1:24" ht="15.75" x14ac:dyDescent="0.25">
      <c r="A51" t="s">
        <v>204</v>
      </c>
      <c r="B51" s="3">
        <v>7768771000</v>
      </c>
      <c r="C51" s="3">
        <v>6654088000</v>
      </c>
      <c r="D51" s="3">
        <v>5771460000</v>
      </c>
      <c r="E51" s="3">
        <v>5660446000</v>
      </c>
      <c r="F51" s="3">
        <v>2778665000</v>
      </c>
      <c r="G51" s="3">
        <v>2557931000</v>
      </c>
      <c r="H51" s="3">
        <v>2325464000</v>
      </c>
      <c r="I51" s="3">
        <v>1503248000</v>
      </c>
      <c r="J51" s="3">
        <v>1408718000</v>
      </c>
      <c r="K51" s="3">
        <v>1328268000</v>
      </c>
      <c r="L51" s="3">
        <v>1243054000</v>
      </c>
      <c r="M51" s="3">
        <v>1198070000</v>
      </c>
      <c r="N51" s="3">
        <v>964073000</v>
      </c>
      <c r="O51" s="3">
        <v>951124000</v>
      </c>
      <c r="P51" s="3">
        <v>996562000</v>
      </c>
      <c r="Q51" s="3">
        <v>1059297000</v>
      </c>
      <c r="R51" s="3">
        <v>1011842000</v>
      </c>
      <c r="S51" s="3">
        <v>857879000</v>
      </c>
      <c r="T51" s="3">
        <v>762586764</v>
      </c>
      <c r="U51" s="3">
        <v>608941458</v>
      </c>
      <c r="V51" s="3">
        <v>497503133</v>
      </c>
      <c r="W51" s="3">
        <v>309066879</v>
      </c>
      <c r="X51" s="3">
        <v>282131392</v>
      </c>
    </row>
    <row r="52" spans="1:24" ht="15.75" x14ac:dyDescent="0.25">
      <c r="A52" t="s">
        <v>205</v>
      </c>
      <c r="B52" s="3">
        <v>1055342000</v>
      </c>
      <c r="C52" s="3">
        <v>915045000</v>
      </c>
      <c r="D52" s="3">
        <v>636506000</v>
      </c>
      <c r="E52" s="3">
        <v>551831000</v>
      </c>
      <c r="F52" s="3">
        <v>286974000</v>
      </c>
      <c r="G52" s="3">
        <v>759687000</v>
      </c>
      <c r="H52" s="3">
        <v>263774000</v>
      </c>
      <c r="I52" s="3">
        <v>364486000</v>
      </c>
      <c r="J52" s="3">
        <v>352315000</v>
      </c>
      <c r="K52" s="3">
        <v>135040000</v>
      </c>
      <c r="L52" s="3">
        <v>295940000</v>
      </c>
      <c r="M52" s="3">
        <v>262770000</v>
      </c>
      <c r="N52" s="3">
        <v>108616000</v>
      </c>
      <c r="O52" s="3">
        <v>78120000</v>
      </c>
      <c r="P52" s="3">
        <v>96158000</v>
      </c>
      <c r="Q52" s="3">
        <v>123433000</v>
      </c>
      <c r="R52" s="3">
        <v>145609000</v>
      </c>
      <c r="S52" s="3">
        <v>118056000</v>
      </c>
      <c r="T52" s="3">
        <v>125574000</v>
      </c>
      <c r="U52" s="3">
        <v>102924000</v>
      </c>
      <c r="V52" s="3">
        <v>89398000</v>
      </c>
      <c r="W52" s="3">
        <v>57291000</v>
      </c>
      <c r="X52" s="3">
        <v>49824000</v>
      </c>
    </row>
    <row r="53" spans="1:24" ht="15.75" x14ac:dyDescent="0.25">
      <c r="A53" t="s">
        <v>206</v>
      </c>
      <c r="B53" s="3">
        <v>12159000</v>
      </c>
      <c r="C53" s="3">
        <v>12411000</v>
      </c>
      <c r="D53" s="3">
        <v>13817000</v>
      </c>
      <c r="E53" s="3">
        <v>17370000</v>
      </c>
      <c r="F53" s="3">
        <v>6095000</v>
      </c>
      <c r="G53" s="3">
        <v>145000000</v>
      </c>
      <c r="H53" s="3">
        <v>360000000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1:24" ht="15.75" x14ac:dyDescent="0.25">
      <c r="A54" t="s">
        <v>207</v>
      </c>
      <c r="B54" s="3">
        <v>969241000</v>
      </c>
      <c r="C54" s="3">
        <v>867329000</v>
      </c>
      <c r="D54" s="3">
        <v>864958000</v>
      </c>
      <c r="E54" s="3">
        <v>879124000</v>
      </c>
      <c r="F54" s="3">
        <v>482356000</v>
      </c>
      <c r="G54" s="3">
        <v>21359000</v>
      </c>
      <c r="H54" s="3">
        <v>22927000</v>
      </c>
      <c r="I54" s="3">
        <v>13849000</v>
      </c>
      <c r="J54" s="3">
        <v>18400000</v>
      </c>
      <c r="K54" s="3">
        <v>205282000</v>
      </c>
      <c r="L54" s="3">
        <v>15150000</v>
      </c>
      <c r="M54" s="3">
        <v>15828000</v>
      </c>
      <c r="N54" s="3">
        <v>119732000</v>
      </c>
      <c r="O54" s="3">
        <v>100654000</v>
      </c>
      <c r="P54" s="3">
        <v>126208000</v>
      </c>
      <c r="Q54" s="3">
        <v>135775000</v>
      </c>
      <c r="R54" s="3">
        <v>127647000</v>
      </c>
      <c r="S54" s="3">
        <v>122405000</v>
      </c>
      <c r="T54" s="3">
        <v>95303000</v>
      </c>
      <c r="U54" s="3">
        <v>63588000</v>
      </c>
      <c r="V54" s="3">
        <v>53729000</v>
      </c>
      <c r="W54" s="3">
        <v>29481000</v>
      </c>
      <c r="X54" s="3">
        <v>31954000</v>
      </c>
    </row>
    <row r="55" spans="1:24" ht="15.75" x14ac:dyDescent="0.25">
      <c r="A55" t="s">
        <v>208</v>
      </c>
      <c r="B55" s="3">
        <v>2036742000</v>
      </c>
      <c r="C55" s="3">
        <v>1794785000</v>
      </c>
      <c r="D55" s="3">
        <v>1515281000</v>
      </c>
      <c r="E55" s="3">
        <v>1448325000</v>
      </c>
      <c r="F55" s="3">
        <v>769330000</v>
      </c>
      <c r="G55" s="3">
        <v>781046000</v>
      </c>
      <c r="H55" s="3">
        <v>651652000</v>
      </c>
      <c r="I55" s="3">
        <v>378335000</v>
      </c>
      <c r="J55" s="3">
        <v>370715000</v>
      </c>
      <c r="K55" s="3">
        <v>361672000</v>
      </c>
      <c r="L55" s="3">
        <v>311090000</v>
      </c>
      <c r="M55" s="3">
        <v>278598000</v>
      </c>
      <c r="N55" s="3">
        <v>256764000</v>
      </c>
      <c r="O55" s="3">
        <v>184474000</v>
      </c>
      <c r="P55" s="3">
        <v>248416000</v>
      </c>
      <c r="Q55" s="3">
        <v>277199000</v>
      </c>
      <c r="R55" s="3">
        <v>285827000</v>
      </c>
      <c r="S55" s="3">
        <v>248812000</v>
      </c>
      <c r="T55" s="3">
        <v>241768330</v>
      </c>
      <c r="U55" s="3">
        <v>187942699</v>
      </c>
      <c r="V55" s="3">
        <v>156920069</v>
      </c>
      <c r="W55" s="3">
        <v>87268040</v>
      </c>
      <c r="X55" s="3">
        <v>86378036</v>
      </c>
    </row>
    <row r="56" spans="1:24" ht="15.75" x14ac:dyDescent="0.25">
      <c r="A56" t="s">
        <v>209</v>
      </c>
      <c r="B56" s="3">
        <v>2232266000</v>
      </c>
      <c r="C56" s="3">
        <v>1599515000</v>
      </c>
      <c r="D56" s="3">
        <v>1657574000</v>
      </c>
      <c r="E56" s="3">
        <v>1885253000</v>
      </c>
      <c r="F56" s="3">
        <v>5685000</v>
      </c>
      <c r="G56" s="3">
        <v>145000000</v>
      </c>
      <c r="H56" s="3">
        <v>360000000</v>
      </c>
      <c r="I56" s="3">
        <v>6821000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ht="15.75" x14ac:dyDescent="0.25">
      <c r="A57" t="s">
        <v>210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ht="15.75" x14ac:dyDescent="0.25">
      <c r="A58" t="s">
        <v>211</v>
      </c>
      <c r="B58" s="3">
        <v>2232266000</v>
      </c>
      <c r="C58" s="3">
        <v>1599515000</v>
      </c>
      <c r="D58" s="3">
        <v>1657574000</v>
      </c>
      <c r="E58" s="3">
        <v>1885253000</v>
      </c>
      <c r="F58" s="3">
        <v>5685000</v>
      </c>
      <c r="G58" s="3">
        <v>145000000</v>
      </c>
      <c r="H58" s="3">
        <v>360000000</v>
      </c>
      <c r="I58" s="3">
        <v>6821000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ht="15.75" x14ac:dyDescent="0.25">
      <c r="A59" t="s">
        <v>212</v>
      </c>
      <c r="B59" s="3">
        <v>2244425000</v>
      </c>
      <c r="C59" s="3">
        <v>1611926000</v>
      </c>
      <c r="D59" s="3">
        <v>1671391000</v>
      </c>
      <c r="E59" s="3">
        <v>1902623000</v>
      </c>
      <c r="F59" s="3">
        <v>11780000</v>
      </c>
      <c r="G59" s="3">
        <v>290000000</v>
      </c>
      <c r="H59" s="3">
        <v>720000000</v>
      </c>
      <c r="I59" s="3">
        <v>6821000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r="60" spans="1:24" ht="15.75" x14ac:dyDescent="0.25">
      <c r="A60" t="s">
        <v>213</v>
      </c>
      <c r="B60" s="3">
        <v>6304000</v>
      </c>
      <c r="C60" s="3">
        <v>7005000</v>
      </c>
      <c r="D60" s="3">
        <v>9807000</v>
      </c>
      <c r="E60" s="3">
        <v>135703000</v>
      </c>
      <c r="F60" s="3">
        <v>4579000</v>
      </c>
      <c r="G60" s="3">
        <v>6149000</v>
      </c>
      <c r="H60" s="3">
        <v>7719000</v>
      </c>
      <c r="I60" s="3">
        <v>20563000</v>
      </c>
      <c r="J60" s="3">
        <v>19388000</v>
      </c>
      <c r="K60" s="3">
        <v>0</v>
      </c>
      <c r="L60" s="3">
        <v>20934000</v>
      </c>
      <c r="M60" s="3">
        <v>24859000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ht="15.75" x14ac:dyDescent="0.25">
      <c r="A61" t="s">
        <v>214</v>
      </c>
      <c r="B61" s="3">
        <v>217710000</v>
      </c>
      <c r="C61" s="3">
        <v>202778000</v>
      </c>
      <c r="D61" s="3">
        <v>133977000</v>
      </c>
      <c r="E61" s="3">
        <v>95937000</v>
      </c>
      <c r="F61" s="3">
        <v>71594000</v>
      </c>
      <c r="G61" s="3">
        <v>55345000</v>
      </c>
      <c r="H61" s="3">
        <v>48590000</v>
      </c>
      <c r="I61" s="3">
        <v>39163000</v>
      </c>
      <c r="J61" s="3">
        <v>40918000</v>
      </c>
      <c r="K61" s="3">
        <v>0</v>
      </c>
      <c r="L61" s="3">
        <v>60203000</v>
      </c>
      <c r="M61" s="3">
        <v>58339000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1:24" ht="15.75" x14ac:dyDescent="0.25">
      <c r="A62" t="s">
        <v>215</v>
      </c>
      <c r="B62" s="3">
        <v>2599787000</v>
      </c>
      <c r="C62" s="3">
        <v>1911197000</v>
      </c>
      <c r="D62" s="3">
        <v>1910610000</v>
      </c>
      <c r="E62" s="3">
        <v>2116893000</v>
      </c>
      <c r="F62" s="3">
        <v>71594000</v>
      </c>
      <c r="G62" s="3">
        <v>200345000</v>
      </c>
      <c r="H62" s="3">
        <v>408590000</v>
      </c>
      <c r="I62" s="3">
        <v>59726000</v>
      </c>
      <c r="J62" s="3">
        <v>60306000</v>
      </c>
      <c r="K62" s="3">
        <v>73982000</v>
      </c>
      <c r="L62" s="3">
        <v>81137000</v>
      </c>
      <c r="M62" s="3">
        <v>83198000</v>
      </c>
      <c r="N62" s="3">
        <v>50031000</v>
      </c>
      <c r="O62" s="3">
        <v>61617000</v>
      </c>
      <c r="P62" s="3">
        <v>48450000</v>
      </c>
      <c r="Q62" s="3">
        <v>15767000</v>
      </c>
      <c r="R62" s="3">
        <v>12911000</v>
      </c>
      <c r="S62" s="3">
        <v>11680000</v>
      </c>
      <c r="T62" s="3">
        <v>9214698</v>
      </c>
      <c r="U62" s="3">
        <v>6176976</v>
      </c>
      <c r="V62" s="3">
        <v>5964143</v>
      </c>
      <c r="W62" s="3">
        <v>1852432</v>
      </c>
      <c r="X62" s="3">
        <v>549080</v>
      </c>
    </row>
    <row r="63" spans="1:24" ht="15.75" x14ac:dyDescent="0.25">
      <c r="A63" t="s">
        <v>216</v>
      </c>
      <c r="B63" s="3">
        <v>4636529000</v>
      </c>
      <c r="C63" s="3">
        <v>3705982000</v>
      </c>
      <c r="D63" s="3">
        <v>3425891000</v>
      </c>
      <c r="E63" s="3">
        <v>3565218000</v>
      </c>
      <c r="F63" s="3">
        <v>840924000</v>
      </c>
      <c r="G63" s="3">
        <v>981391000</v>
      </c>
      <c r="H63" s="3">
        <v>1060242000</v>
      </c>
      <c r="I63" s="3">
        <v>438061000</v>
      </c>
      <c r="J63" s="3">
        <v>431021000</v>
      </c>
      <c r="K63" s="3">
        <v>435654000</v>
      </c>
      <c r="L63" s="3">
        <v>392227000</v>
      </c>
      <c r="M63" s="3">
        <v>361796000</v>
      </c>
      <c r="N63" s="3">
        <v>306795000</v>
      </c>
      <c r="O63" s="3">
        <v>246091000</v>
      </c>
      <c r="P63" s="3">
        <v>296866000</v>
      </c>
      <c r="Q63" s="3">
        <v>292966000</v>
      </c>
      <c r="R63" s="3">
        <v>298738000</v>
      </c>
      <c r="S63" s="3">
        <v>260492000</v>
      </c>
      <c r="T63" s="3">
        <v>250983028</v>
      </c>
      <c r="U63" s="3">
        <v>194119675</v>
      </c>
      <c r="V63" s="3">
        <v>162884212</v>
      </c>
      <c r="W63" s="3">
        <v>89120472</v>
      </c>
      <c r="X63" s="3">
        <v>86927116</v>
      </c>
    </row>
    <row r="64" spans="1:24" ht="15.75" x14ac:dyDescent="0.25">
      <c r="A64" t="s">
        <v>217</v>
      </c>
      <c r="B64" s="3">
        <v>6606000</v>
      </c>
      <c r="C64" s="3">
        <v>6565000</v>
      </c>
      <c r="D64" s="3">
        <v>6540000</v>
      </c>
      <c r="E64" s="3">
        <v>6519000</v>
      </c>
      <c r="F64" s="3">
        <v>6277000</v>
      </c>
      <c r="G64" s="3">
        <v>6260000</v>
      </c>
      <c r="H64" s="3">
        <v>6244000</v>
      </c>
      <c r="I64" s="3">
        <v>6231000</v>
      </c>
      <c r="J64" s="3">
        <v>6221000</v>
      </c>
      <c r="K64" s="3">
        <v>6205000</v>
      </c>
      <c r="L64" s="3">
        <v>6178000</v>
      </c>
      <c r="M64" s="3">
        <v>6170000</v>
      </c>
      <c r="N64" s="3">
        <v>5732000</v>
      </c>
      <c r="O64" s="3">
        <v>5732000</v>
      </c>
      <c r="P64" s="3">
        <v>5732000</v>
      </c>
      <c r="Q64" s="3">
        <v>5722000</v>
      </c>
      <c r="R64" s="3">
        <v>5710000</v>
      </c>
      <c r="S64" s="3">
        <v>5693000</v>
      </c>
      <c r="T64" s="3">
        <v>5715000</v>
      </c>
      <c r="U64" s="3">
        <v>2860000</v>
      </c>
      <c r="V64" s="3">
        <v>3230000</v>
      </c>
      <c r="W64" s="3">
        <v>1382000</v>
      </c>
      <c r="X64" s="3">
        <v>1374000</v>
      </c>
    </row>
    <row r="65" spans="1:24" ht="15.75" x14ac:dyDescent="0.25">
      <c r="A65" t="s">
        <v>218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ht="15.75" x14ac:dyDescent="0.25">
      <c r="A66" t="s">
        <v>219</v>
      </c>
      <c r="B66" s="3">
        <v>2988726000</v>
      </c>
      <c r="C66" s="3">
        <v>2770401000</v>
      </c>
      <c r="D66" s="3">
        <v>2201330000</v>
      </c>
      <c r="E66" s="3">
        <v>2066674000</v>
      </c>
      <c r="F66" s="3">
        <v>2022988000</v>
      </c>
      <c r="G66" s="3">
        <v>1670826000</v>
      </c>
      <c r="H66" s="3">
        <v>1365981000</v>
      </c>
      <c r="I66" s="3">
        <v>1172432000</v>
      </c>
      <c r="J66" s="3">
        <v>1030428000</v>
      </c>
      <c r="K66" s="3">
        <v>953740000</v>
      </c>
      <c r="L66" s="3">
        <v>918565000</v>
      </c>
      <c r="M66" s="3">
        <v>829148000</v>
      </c>
      <c r="N66" s="3">
        <v>745204000</v>
      </c>
      <c r="O66" s="3">
        <v>677548000</v>
      </c>
      <c r="P66" s="3">
        <v>675928000</v>
      </c>
      <c r="Q66" s="3">
        <v>727729000</v>
      </c>
      <c r="R66" s="3">
        <v>677577000</v>
      </c>
      <c r="S66" s="3">
        <v>515877000</v>
      </c>
      <c r="T66" s="3">
        <v>425933821</v>
      </c>
      <c r="U66" s="3">
        <v>331647776</v>
      </c>
      <c r="V66" s="3">
        <v>273033292</v>
      </c>
      <c r="W66" s="3">
        <v>222942676</v>
      </c>
      <c r="X66" s="3">
        <v>197171503</v>
      </c>
    </row>
    <row r="67" spans="1:24" ht="15.75" x14ac:dyDescent="0.25">
      <c r="A67" t="s">
        <v>220</v>
      </c>
      <c r="B67" s="3">
        <v>11969000</v>
      </c>
      <c r="C67" s="3">
        <v>44621000</v>
      </c>
      <c r="D67" s="3">
        <v>26993000</v>
      </c>
      <c r="E67" s="3">
        <v>-57004000</v>
      </c>
      <c r="F67" s="3">
        <v>-201477000</v>
      </c>
      <c r="G67" s="3">
        <v>-165437000</v>
      </c>
      <c r="H67" s="3">
        <v>-136169000</v>
      </c>
      <c r="I67" s="3">
        <v>-114823000</v>
      </c>
      <c r="J67" s="3">
        <v>-103639000</v>
      </c>
      <c r="K67" s="3">
        <v>-22000</v>
      </c>
      <c r="L67" s="3">
        <v>-60000</v>
      </c>
      <c r="M67" s="3">
        <v>-67000</v>
      </c>
      <c r="N67" s="3">
        <v>-324000</v>
      </c>
      <c r="O67" s="3">
        <v>1070000</v>
      </c>
      <c r="P67" s="3">
        <v>-1963000</v>
      </c>
      <c r="Q67" s="3">
        <v>2756000</v>
      </c>
      <c r="R67" s="3">
        <v>1772000</v>
      </c>
      <c r="S67" s="3">
        <v>196000</v>
      </c>
      <c r="T67" s="3">
        <v>-1063690</v>
      </c>
      <c r="U67" s="3">
        <v>-1310994</v>
      </c>
      <c r="V67" s="3">
        <v>-20882575</v>
      </c>
      <c r="W67" s="3">
        <v>-17232199</v>
      </c>
      <c r="X67" s="3">
        <v>-14525634</v>
      </c>
    </row>
    <row r="68" spans="1:24" ht="15.75" x14ac:dyDescent="0.25">
      <c r="A68" t="s">
        <v>221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</row>
    <row r="69" spans="1:24" ht="15.75" x14ac:dyDescent="0.25">
      <c r="A69" t="s">
        <v>222</v>
      </c>
      <c r="B69" s="3">
        <v>-378237000</v>
      </c>
      <c r="C69" s="3">
        <v>-360226000</v>
      </c>
      <c r="D69" s="3">
        <v>-351909000</v>
      </c>
      <c r="E69" s="3">
        <v>-348146000</v>
      </c>
      <c r="F69" s="3">
        <v>-343728000</v>
      </c>
      <c r="G69" s="3">
        <v>-336071000</v>
      </c>
      <c r="H69" s="3">
        <v>-331499000</v>
      </c>
      <c r="I69" s="3">
        <v>-329015000</v>
      </c>
      <c r="J69" s="3">
        <v>-267453000</v>
      </c>
      <c r="K69" s="3">
        <v>-266147000</v>
      </c>
      <c r="L69" s="3">
        <v>-266104000</v>
      </c>
      <c r="M69" s="3">
        <v>-189104000</v>
      </c>
      <c r="N69" s="3">
        <v>-189104000</v>
      </c>
      <c r="O69" s="3">
        <v>-73684000</v>
      </c>
      <c r="P69" s="3">
        <v>-73684000</v>
      </c>
      <c r="Q69" s="3">
        <v>-60123000</v>
      </c>
      <c r="R69" s="3">
        <v>-58493000</v>
      </c>
      <c r="S69" s="3">
        <v>-7031000</v>
      </c>
      <c r="T69" s="3">
        <v>0</v>
      </c>
      <c r="U69" s="3">
        <v>0</v>
      </c>
      <c r="V69" s="3">
        <v>-29599000</v>
      </c>
      <c r="W69" s="3">
        <v>-29599000</v>
      </c>
      <c r="X69" s="3">
        <v>-26593000</v>
      </c>
    </row>
    <row r="70" spans="1:24" ht="15.75" x14ac:dyDescent="0.25">
      <c r="A70" t="s">
        <v>223</v>
      </c>
      <c r="B70" s="3">
        <v>473775000</v>
      </c>
      <c r="C70" s="3">
        <v>460482000</v>
      </c>
      <c r="D70" s="3">
        <v>436828000</v>
      </c>
      <c r="E70" s="3">
        <v>416382000</v>
      </c>
      <c r="F70" s="3">
        <v>252204000</v>
      </c>
      <c r="G70" s="3">
        <v>235525000</v>
      </c>
      <c r="H70" s="3">
        <v>224496000</v>
      </c>
      <c r="I70" s="3">
        <v>215539000</v>
      </c>
      <c r="J70" s="3">
        <v>208501000</v>
      </c>
      <c r="K70" s="3">
        <v>0</v>
      </c>
      <c r="L70" s="3">
        <v>192248000</v>
      </c>
      <c r="M70" s="3">
        <v>190127000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</row>
    <row r="71" spans="1:24" ht="15.75" x14ac:dyDescent="0.25">
      <c r="A71" t="s">
        <v>224</v>
      </c>
      <c r="B71" s="3">
        <v>95538000</v>
      </c>
      <c r="C71" s="3">
        <v>100256000</v>
      </c>
      <c r="D71" s="3">
        <v>84919000</v>
      </c>
      <c r="E71" s="3">
        <v>68236000</v>
      </c>
      <c r="F71" s="3">
        <v>109953000</v>
      </c>
      <c r="G71" s="3">
        <v>64891000</v>
      </c>
      <c r="H71" s="3">
        <v>0</v>
      </c>
      <c r="I71" s="3">
        <v>0</v>
      </c>
      <c r="J71" s="3">
        <v>0</v>
      </c>
      <c r="K71" s="3">
        <v>0</v>
      </c>
      <c r="L71" s="3">
        <v>-60000</v>
      </c>
      <c r="M71" s="3">
        <v>-67000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</row>
    <row r="72" spans="1:24" ht="15.75" x14ac:dyDescent="0.25">
      <c r="A72" t="s">
        <v>225</v>
      </c>
      <c r="B72" s="3">
        <v>3102839000</v>
      </c>
      <c r="C72" s="3">
        <v>2921843000</v>
      </c>
      <c r="D72" s="3">
        <v>2319782000</v>
      </c>
      <c r="E72" s="3">
        <v>2084425000</v>
      </c>
      <c r="F72" s="3">
        <v>1937741000</v>
      </c>
      <c r="G72" s="3">
        <v>1576540000</v>
      </c>
      <c r="H72" s="3">
        <v>1265222000</v>
      </c>
      <c r="I72" s="3">
        <v>1065187000</v>
      </c>
      <c r="J72" s="3">
        <v>977697000</v>
      </c>
      <c r="K72" s="3">
        <v>892614000</v>
      </c>
      <c r="L72" s="3">
        <v>850827000</v>
      </c>
      <c r="M72" s="3">
        <v>836274000</v>
      </c>
      <c r="N72" s="3">
        <v>657278000</v>
      </c>
      <c r="O72" s="3">
        <v>705033000</v>
      </c>
      <c r="P72" s="3">
        <v>699696000</v>
      </c>
      <c r="Q72" s="3">
        <v>766331000</v>
      </c>
      <c r="R72" s="3">
        <v>699849000</v>
      </c>
      <c r="S72" s="3">
        <v>597387000</v>
      </c>
      <c r="T72" s="3">
        <v>511604000</v>
      </c>
      <c r="U72" s="3">
        <v>414822000</v>
      </c>
      <c r="V72" s="3">
        <v>334619000</v>
      </c>
      <c r="W72" s="3">
        <v>219946000</v>
      </c>
      <c r="X72" s="3">
        <v>195204000</v>
      </c>
    </row>
    <row r="73" spans="1:24" ht="15.75" x14ac:dyDescent="0.25">
      <c r="A73" t="s">
        <v>226</v>
      </c>
      <c r="B73" s="3">
        <v>29403000</v>
      </c>
      <c r="C73" s="3">
        <v>0</v>
      </c>
      <c r="D73" s="3">
        <v>25787000</v>
      </c>
      <c r="E73" s="3">
        <v>10803000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</row>
    <row r="74" spans="1:24" ht="15.75" x14ac:dyDescent="0.25">
      <c r="A74" t="s">
        <v>227</v>
      </c>
      <c r="B74" s="3">
        <v>3132242000</v>
      </c>
      <c r="C74" s="3">
        <v>2921843000</v>
      </c>
      <c r="D74" s="3">
        <v>2345569000</v>
      </c>
      <c r="E74" s="3">
        <v>2095228000</v>
      </c>
      <c r="F74" s="3">
        <v>1937741000</v>
      </c>
      <c r="G74" s="3">
        <v>1576540000</v>
      </c>
      <c r="H74" s="3">
        <v>1265222000</v>
      </c>
      <c r="I74" s="3">
        <v>1065187000</v>
      </c>
      <c r="J74" s="3">
        <v>977697000</v>
      </c>
      <c r="K74" s="3">
        <v>892614000</v>
      </c>
      <c r="L74" s="3">
        <v>850827000</v>
      </c>
      <c r="M74" s="3">
        <v>836274000</v>
      </c>
      <c r="N74" s="3">
        <v>657278000</v>
      </c>
      <c r="O74" s="3">
        <v>705033000</v>
      </c>
      <c r="P74" s="3">
        <v>699696000</v>
      </c>
      <c r="Q74" s="3">
        <v>766331000</v>
      </c>
      <c r="R74" s="3">
        <v>699849000</v>
      </c>
      <c r="S74" s="3">
        <v>597387000</v>
      </c>
      <c r="T74" s="3">
        <v>511604000</v>
      </c>
      <c r="U74" s="3">
        <v>414822000</v>
      </c>
      <c r="V74" s="3">
        <v>334619000</v>
      </c>
      <c r="W74" s="3">
        <v>219946000</v>
      </c>
      <c r="X74" s="3">
        <v>195204000</v>
      </c>
    </row>
    <row r="75" spans="1:24" ht="15.75" x14ac:dyDescent="0.25">
      <c r="A75" t="s">
        <v>168</v>
      </c>
      <c r="B75" t="s">
        <v>169</v>
      </c>
      <c r="C75" t="s">
        <v>169</v>
      </c>
      <c r="D75" t="s">
        <v>169</v>
      </c>
      <c r="E75" t="s">
        <v>169</v>
      </c>
      <c r="F75" t="s">
        <v>169</v>
      </c>
      <c r="G75" t="s">
        <v>169</v>
      </c>
      <c r="H75" t="s">
        <v>169</v>
      </c>
      <c r="I75" t="s">
        <v>169</v>
      </c>
      <c r="J75" t="s">
        <v>169</v>
      </c>
      <c r="K75" t="s">
        <v>169</v>
      </c>
      <c r="L75" t="s">
        <v>169</v>
      </c>
      <c r="M75" t="s">
        <v>169</v>
      </c>
      <c r="N75" t="s">
        <v>169</v>
      </c>
      <c r="O75" t="s">
        <v>169</v>
      </c>
      <c r="P75" t="s">
        <v>169</v>
      </c>
      <c r="Q75" t="s">
        <v>169</v>
      </c>
      <c r="R75" t="s">
        <v>169</v>
      </c>
      <c r="S75" t="s">
        <v>169</v>
      </c>
      <c r="T75" t="s">
        <v>169</v>
      </c>
      <c r="U75" t="s">
        <v>169</v>
      </c>
      <c r="V75" t="s">
        <v>169</v>
      </c>
      <c r="W75" t="s">
        <v>169</v>
      </c>
      <c r="X75" t="s">
        <v>169</v>
      </c>
    </row>
    <row r="76" spans="1:24" ht="15.75" x14ac:dyDescent="0.25">
      <c r="A76" t="s">
        <v>170</v>
      </c>
      <c r="B76" t="s">
        <v>171</v>
      </c>
      <c r="C76" t="s">
        <v>172</v>
      </c>
      <c r="D76" t="s">
        <v>173</v>
      </c>
      <c r="E76" t="s">
        <v>174</v>
      </c>
      <c r="F76" t="s">
        <v>175</v>
      </c>
      <c r="G76" t="s">
        <v>176</v>
      </c>
      <c r="H76" t="s">
        <v>177</v>
      </c>
      <c r="I76" t="s">
        <v>178</v>
      </c>
      <c r="J76" t="s">
        <v>179</v>
      </c>
      <c r="K76" t="s">
        <v>180</v>
      </c>
      <c r="L76" t="s">
        <v>181</v>
      </c>
      <c r="M76" t="s">
        <v>182</v>
      </c>
      <c r="N76" t="s">
        <v>183</v>
      </c>
      <c r="O76" t="s">
        <v>184</v>
      </c>
      <c r="P76" t="s">
        <v>185</v>
      </c>
      <c r="Q76" t="s">
        <v>186</v>
      </c>
      <c r="R76" t="s">
        <v>187</v>
      </c>
      <c r="S76" t="s">
        <v>188</v>
      </c>
      <c r="T76" t="s">
        <v>189</v>
      </c>
      <c r="U76" t="s">
        <v>61</v>
      </c>
      <c r="V76" t="s">
        <v>62</v>
      </c>
      <c r="W76" t="s">
        <v>63</v>
      </c>
      <c r="X76" t="s">
        <v>64</v>
      </c>
    </row>
    <row r="78" spans="1:24" ht="15.75" x14ac:dyDescent="0.25">
      <c r="A78" t="s">
        <v>228</v>
      </c>
    </row>
    <row r="79" spans="1:24" ht="15.75" x14ac:dyDescent="0.25">
      <c r="A79" t="s">
        <v>138</v>
      </c>
      <c r="B79" t="s">
        <v>42</v>
      </c>
      <c r="C79" t="s">
        <v>43</v>
      </c>
      <c r="D79" t="s">
        <v>44</v>
      </c>
      <c r="E79" t="s">
        <v>45</v>
      </c>
      <c r="F79" t="s">
        <v>46</v>
      </c>
      <c r="G79" t="s">
        <v>47</v>
      </c>
      <c r="H79" t="s">
        <v>48</v>
      </c>
      <c r="I79" t="s">
        <v>49</v>
      </c>
      <c r="J79" t="s">
        <v>50</v>
      </c>
      <c r="K79" t="s">
        <v>51</v>
      </c>
      <c r="L79" t="s">
        <v>52</v>
      </c>
      <c r="M79" t="s">
        <v>53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 t="s">
        <v>59</v>
      </c>
      <c r="T79" t="s">
        <v>60</v>
      </c>
      <c r="U79" t="s">
        <v>61</v>
      </c>
      <c r="V79" t="s">
        <v>62</v>
      </c>
      <c r="W79" t="s">
        <v>63</v>
      </c>
      <c r="X79" t="s">
        <v>64</v>
      </c>
    </row>
    <row r="80" spans="1:24" ht="15.75" x14ac:dyDescent="0.25">
      <c r="A80" t="s">
        <v>159</v>
      </c>
      <c r="B80" s="3">
        <v>788357000</v>
      </c>
      <c r="C80" s="3">
        <v>659872000</v>
      </c>
      <c r="D80" s="3">
        <v>222974000</v>
      </c>
      <c r="E80" s="3">
        <v>133275000</v>
      </c>
      <c r="F80" s="3">
        <v>430151000</v>
      </c>
      <c r="G80" s="3">
        <v>374254000</v>
      </c>
      <c r="H80" s="3">
        <v>256519000</v>
      </c>
      <c r="I80" s="3">
        <v>199385000</v>
      </c>
      <c r="J80" s="3">
        <v>179002000</v>
      </c>
      <c r="K80" s="3">
        <v>152862000</v>
      </c>
      <c r="L80" s="3">
        <v>121739000</v>
      </c>
      <c r="M80" s="3">
        <v>106273000</v>
      </c>
      <c r="N80" s="3">
        <v>110064000</v>
      </c>
      <c r="O80" s="3">
        <v>17143000</v>
      </c>
      <c r="P80" s="3">
        <v>92706000</v>
      </c>
      <c r="Q80" s="3">
        <v>134731000</v>
      </c>
      <c r="R80" s="3">
        <v>172464000</v>
      </c>
      <c r="S80" s="3">
        <v>121767000</v>
      </c>
      <c r="T80" s="3">
        <v>106085336</v>
      </c>
      <c r="U80" s="3">
        <v>78630765</v>
      </c>
      <c r="V80" s="3">
        <v>51181673</v>
      </c>
      <c r="W80" s="3">
        <v>26722273</v>
      </c>
      <c r="X80" s="3">
        <v>36119408</v>
      </c>
    </row>
    <row r="81" spans="1:24" ht="15.75" x14ac:dyDescent="0.25">
      <c r="A81" t="s">
        <v>229</v>
      </c>
      <c r="B81" s="3">
        <v>241295000</v>
      </c>
      <c r="C81" s="3">
        <v>230581000</v>
      </c>
      <c r="D81" s="3">
        <v>196167000</v>
      </c>
      <c r="E81" s="3">
        <v>148777000</v>
      </c>
      <c r="F81" s="3">
        <v>93223000</v>
      </c>
      <c r="G81" s="3">
        <v>98258000</v>
      </c>
      <c r="H81" s="3">
        <v>52575000</v>
      </c>
      <c r="I81" s="3">
        <v>31381000</v>
      </c>
      <c r="J81" s="3">
        <v>25834000</v>
      </c>
      <c r="K81" s="3">
        <v>24987000</v>
      </c>
      <c r="L81" s="3">
        <v>24978000</v>
      </c>
      <c r="M81" s="3">
        <v>24009000</v>
      </c>
      <c r="N81" s="3">
        <v>13229000</v>
      </c>
      <c r="O81" s="3">
        <v>13483000</v>
      </c>
      <c r="P81" s="3">
        <v>17021000</v>
      </c>
      <c r="Q81" s="3">
        <v>13905000</v>
      </c>
      <c r="R81" s="3">
        <v>14046000</v>
      </c>
      <c r="S81" s="3">
        <v>10775000</v>
      </c>
      <c r="T81" s="3">
        <v>8455118</v>
      </c>
      <c r="U81" s="3">
        <v>6385416</v>
      </c>
      <c r="V81" s="3">
        <v>5225360</v>
      </c>
      <c r="W81" s="3">
        <v>4941627</v>
      </c>
      <c r="X81" s="3">
        <v>4676546</v>
      </c>
    </row>
    <row r="82" spans="1:24" ht="15.75" x14ac:dyDescent="0.25">
      <c r="A82" t="s">
        <v>230</v>
      </c>
      <c r="B82" s="3">
        <v>-365883000</v>
      </c>
      <c r="C82" s="3">
        <v>-234693000</v>
      </c>
      <c r="D82" s="3">
        <v>-115232000</v>
      </c>
      <c r="E82" s="3">
        <v>136145000</v>
      </c>
      <c r="F82" s="3">
        <v>-2391000</v>
      </c>
      <c r="G82" s="3">
        <v>-92305000</v>
      </c>
      <c r="H82" s="3">
        <v>-15773000</v>
      </c>
      <c r="I82" s="3">
        <v>41324000</v>
      </c>
      <c r="J82" s="3">
        <v>-9448000</v>
      </c>
      <c r="K82" s="3">
        <v>-46615000</v>
      </c>
      <c r="L82" s="3">
        <v>-62592000</v>
      </c>
      <c r="M82" s="3">
        <v>14648000</v>
      </c>
      <c r="N82" s="3">
        <v>-49184000</v>
      </c>
      <c r="O82" s="3">
        <v>30739000</v>
      </c>
      <c r="P82" s="3">
        <v>31040000</v>
      </c>
      <c r="Q82" s="3">
        <v>16348000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4676000</v>
      </c>
      <c r="X82" s="3">
        <v>1892000</v>
      </c>
    </row>
    <row r="83" spans="1:24" ht="15.75" x14ac:dyDescent="0.25">
      <c r="A83" t="s">
        <v>231</v>
      </c>
      <c r="B83" s="3">
        <v>-306825000</v>
      </c>
      <c r="C83" s="3">
        <v>0</v>
      </c>
      <c r="D83" s="3">
        <v>-115232000</v>
      </c>
      <c r="E83" s="3">
        <v>136145000</v>
      </c>
      <c r="F83" s="3">
        <v>-2391000</v>
      </c>
      <c r="G83" s="3">
        <v>-92305000</v>
      </c>
      <c r="H83" s="3">
        <v>-15773000</v>
      </c>
      <c r="I83" s="3">
        <v>41324000</v>
      </c>
      <c r="J83" s="3">
        <v>-9448000</v>
      </c>
      <c r="K83" s="3">
        <v>-46615000</v>
      </c>
      <c r="L83" s="3">
        <v>-55530000</v>
      </c>
      <c r="M83" s="3">
        <v>17072000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</row>
    <row r="84" spans="1:24" ht="15.75" x14ac:dyDescent="0.25">
      <c r="A84" t="s">
        <v>232</v>
      </c>
      <c r="B84" s="3">
        <v>-453624000</v>
      </c>
      <c r="C84" s="3">
        <v>-538756000</v>
      </c>
      <c r="D84" s="3">
        <v>133290000</v>
      </c>
      <c r="E84" s="3">
        <v>283311000</v>
      </c>
      <c r="F84" s="3">
        <v>-77421000</v>
      </c>
      <c r="G84" s="3">
        <v>-56619000</v>
      </c>
      <c r="H84" s="3">
        <v>-15582000</v>
      </c>
      <c r="I84" s="3">
        <v>14750000</v>
      </c>
      <c r="J84" s="3">
        <v>-44774000</v>
      </c>
      <c r="K84" s="3">
        <v>-37037000</v>
      </c>
      <c r="L84" s="3">
        <v>-1585000</v>
      </c>
      <c r="M84" s="3">
        <v>-17448000</v>
      </c>
      <c r="N84" s="3">
        <v>-29987000</v>
      </c>
      <c r="O84" s="3">
        <v>47304000</v>
      </c>
      <c r="P84" s="3">
        <v>16398000</v>
      </c>
      <c r="Q84" s="3">
        <v>14189000</v>
      </c>
      <c r="R84" s="3">
        <v>-25321000</v>
      </c>
      <c r="S84" s="3">
        <v>-5860000</v>
      </c>
      <c r="T84" s="3">
        <v>-23945741</v>
      </c>
      <c r="U84" s="3">
        <v>-1987178</v>
      </c>
      <c r="V84" s="3">
        <v>4570827</v>
      </c>
      <c r="W84" s="3">
        <v>9258576</v>
      </c>
      <c r="X84" s="3">
        <v>-16694934</v>
      </c>
    </row>
    <row r="85" spans="1:24" ht="15.75" x14ac:dyDescent="0.25">
      <c r="A85" t="s">
        <v>233</v>
      </c>
      <c r="B85" s="3">
        <v>178398000</v>
      </c>
      <c r="C85" s="3">
        <v>229173000</v>
      </c>
      <c r="D85" s="3">
        <v>53438000</v>
      </c>
      <c r="E85" s="3">
        <v>-158318000</v>
      </c>
      <c r="F85" s="3">
        <v>5498000</v>
      </c>
      <c r="G85" s="3">
        <v>137346000</v>
      </c>
      <c r="H85" s="3">
        <v>28625000</v>
      </c>
      <c r="I85" s="3">
        <v>-35238000</v>
      </c>
      <c r="J85" s="3">
        <v>7002000</v>
      </c>
      <c r="K85" s="3">
        <v>47767000</v>
      </c>
      <c r="L85" s="3">
        <v>33484000</v>
      </c>
      <c r="M85" s="3">
        <v>-12685000</v>
      </c>
      <c r="N85" s="3">
        <v>67243000</v>
      </c>
      <c r="O85" s="3">
        <v>0</v>
      </c>
      <c r="P85" s="3">
        <v>0</v>
      </c>
      <c r="Q85" s="3">
        <v>0</v>
      </c>
      <c r="R85" s="3">
        <v>59100000</v>
      </c>
      <c r="S85" s="3">
        <v>0</v>
      </c>
      <c r="T85" s="3">
        <v>30068000</v>
      </c>
      <c r="U85" s="3">
        <v>31490000</v>
      </c>
      <c r="V85" s="3">
        <v>26410000</v>
      </c>
      <c r="W85" s="3">
        <v>890000</v>
      </c>
      <c r="X85" s="3">
        <v>5024000</v>
      </c>
    </row>
    <row r="86" spans="1:24" ht="15.75" x14ac:dyDescent="0.25">
      <c r="A86" t="s">
        <v>234</v>
      </c>
      <c r="B86" s="3">
        <v>-30702000</v>
      </c>
      <c r="C86" s="3">
        <v>-403000000</v>
      </c>
      <c r="D86" s="3">
        <v>-2036000</v>
      </c>
      <c r="E86" s="3">
        <v>46688000</v>
      </c>
      <c r="F86" s="3">
        <v>143223000</v>
      </c>
      <c r="G86" s="3">
        <v>-25466000</v>
      </c>
      <c r="H86" s="3">
        <v>27955000</v>
      </c>
      <c r="I86" s="3">
        <v>17836000</v>
      </c>
      <c r="J86" s="3">
        <v>-49403000</v>
      </c>
      <c r="K86" s="3">
        <v>-38433000</v>
      </c>
      <c r="L86" s="3">
        <v>-24812000</v>
      </c>
      <c r="M86" s="3">
        <v>-16179000</v>
      </c>
      <c r="N86" s="3">
        <v>-18428000</v>
      </c>
      <c r="O86" s="3">
        <v>1015000</v>
      </c>
      <c r="P86" s="3">
        <v>38264000</v>
      </c>
      <c r="Q86" s="3">
        <v>84645000</v>
      </c>
      <c r="R86" s="3">
        <v>-44560000</v>
      </c>
      <c r="S86" s="3">
        <v>-7002000</v>
      </c>
      <c r="T86" s="3">
        <v>-30819157</v>
      </c>
      <c r="U86" s="3">
        <v>-34007195</v>
      </c>
      <c r="V86" s="3">
        <v>-16378960</v>
      </c>
      <c r="W86" s="3">
        <v>11787801</v>
      </c>
      <c r="X86" s="3">
        <v>15809444</v>
      </c>
    </row>
    <row r="87" spans="1:24" ht="15.75" x14ac:dyDescent="0.25">
      <c r="A87" t="s">
        <v>235</v>
      </c>
      <c r="B87" s="3">
        <v>649564000</v>
      </c>
      <c r="C87" s="3">
        <v>526482000</v>
      </c>
      <c r="D87" s="3">
        <v>540941000</v>
      </c>
      <c r="E87" s="3">
        <v>508019000</v>
      </c>
      <c r="F87" s="3">
        <v>466508000</v>
      </c>
      <c r="G87" s="3">
        <v>419333000</v>
      </c>
      <c r="H87" s="3">
        <v>341209000</v>
      </c>
      <c r="I87" s="3">
        <v>247860000</v>
      </c>
      <c r="J87" s="3">
        <v>149261000</v>
      </c>
      <c r="K87" s="3">
        <v>145066000</v>
      </c>
      <c r="L87" s="3">
        <v>118841000</v>
      </c>
      <c r="M87" s="3">
        <v>114802000</v>
      </c>
      <c r="N87" s="3">
        <v>100652000</v>
      </c>
      <c r="O87" s="3">
        <v>48570000</v>
      </c>
      <c r="P87" s="3">
        <v>122108000</v>
      </c>
      <c r="Q87" s="3">
        <v>232753000</v>
      </c>
      <c r="R87" s="3">
        <v>137259000</v>
      </c>
      <c r="S87" s="3">
        <v>131343000</v>
      </c>
      <c r="T87" s="3">
        <v>83216190</v>
      </c>
      <c r="U87" s="3">
        <v>45674154</v>
      </c>
      <c r="V87" s="3">
        <v>133872160</v>
      </c>
      <c r="W87" s="3">
        <v>21023433</v>
      </c>
      <c r="X87" s="3">
        <v>14630389</v>
      </c>
    </row>
    <row r="88" spans="1:24" ht="15.75" x14ac:dyDescent="0.25">
      <c r="A88" t="s">
        <v>236</v>
      </c>
      <c r="B88" s="3">
        <v>-1173080000</v>
      </c>
      <c r="C88" s="3">
        <v>-428493000</v>
      </c>
      <c r="D88" s="3">
        <v>-84249000</v>
      </c>
      <c r="E88" s="3">
        <v>-6500000</v>
      </c>
      <c r="F88" s="3">
        <v>-50402000</v>
      </c>
      <c r="G88" s="3">
        <v>-116655000</v>
      </c>
      <c r="H88" s="3">
        <v>-601473000</v>
      </c>
      <c r="I88" s="3">
        <v>1400000</v>
      </c>
      <c r="J88" s="3">
        <v>7125000</v>
      </c>
      <c r="K88" s="3">
        <v>7800000</v>
      </c>
      <c r="L88" s="3">
        <v>1150000</v>
      </c>
      <c r="M88" s="3">
        <v>3700000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</row>
    <row r="89" spans="1:24" ht="15.75" x14ac:dyDescent="0.25">
      <c r="A89" t="s">
        <v>237</v>
      </c>
      <c r="B89" s="3">
        <v>-1325891000</v>
      </c>
      <c r="C89" s="3">
        <v>9330000</v>
      </c>
      <c r="D89" s="3">
        <v>22448000</v>
      </c>
      <c r="E89" s="3">
        <v>-1728779000</v>
      </c>
      <c r="F89" s="3">
        <v>5106000</v>
      </c>
      <c r="G89" s="3">
        <v>-1628000</v>
      </c>
      <c r="H89" s="3">
        <v>-549497000</v>
      </c>
      <c r="I89" s="3">
        <v>-194085000</v>
      </c>
      <c r="J89" s="3">
        <v>26209000</v>
      </c>
      <c r="K89" s="3">
        <v>2509000</v>
      </c>
      <c r="L89" s="3">
        <v>1059000</v>
      </c>
      <c r="M89" s="3">
        <v>-96303000</v>
      </c>
      <c r="N89" s="3">
        <v>4214000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292000</v>
      </c>
      <c r="U89" s="3">
        <v>0</v>
      </c>
      <c r="V89" s="3">
        <v>0</v>
      </c>
      <c r="W89" s="3">
        <v>0</v>
      </c>
      <c r="X89" s="3">
        <v>0</v>
      </c>
    </row>
    <row r="90" spans="1:24" ht="15.75" x14ac:dyDescent="0.25">
      <c r="A90" t="s">
        <v>238</v>
      </c>
      <c r="B90" s="3">
        <v>-1173080000</v>
      </c>
      <c r="C90" s="3">
        <v>-428493000</v>
      </c>
      <c r="D90" s="3">
        <v>-84249000</v>
      </c>
      <c r="E90" s="3">
        <v>-1865503000</v>
      </c>
      <c r="F90" s="3">
        <v>-183493000</v>
      </c>
      <c r="G90" s="3">
        <v>-116655000</v>
      </c>
      <c r="H90" s="3">
        <v>-601473000</v>
      </c>
      <c r="I90" s="3">
        <v>-234968000</v>
      </c>
      <c r="J90" s="3">
        <v>2928000</v>
      </c>
      <c r="K90" s="3">
        <v>-13996000</v>
      </c>
      <c r="L90" s="3">
        <v>-7854000</v>
      </c>
      <c r="M90" s="3">
        <v>-126352000</v>
      </c>
      <c r="N90" s="3">
        <v>82977000</v>
      </c>
      <c r="O90" s="3">
        <v>0</v>
      </c>
      <c r="P90" s="3">
        <v>32566000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</row>
    <row r="91" spans="1:24" ht="15.75" x14ac:dyDescent="0.25">
      <c r="A91" t="s">
        <v>239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-60000000</v>
      </c>
      <c r="J91" s="3">
        <v>3206000</v>
      </c>
      <c r="K91" s="3">
        <v>-2009000</v>
      </c>
      <c r="L91" s="3">
        <v>-77000000</v>
      </c>
      <c r="M91" s="3">
        <v>1047000</v>
      </c>
      <c r="N91" s="3">
        <v>-115420000</v>
      </c>
      <c r="O91" s="3">
        <v>0</v>
      </c>
      <c r="P91" s="3">
        <v>-13561000</v>
      </c>
      <c r="Q91" s="3">
        <v>-1630000</v>
      </c>
      <c r="R91" s="3">
        <v>-51462000</v>
      </c>
      <c r="S91" s="3">
        <v>-15521000</v>
      </c>
      <c r="T91" s="3">
        <v>-7078339</v>
      </c>
      <c r="U91" s="3">
        <v>0</v>
      </c>
      <c r="V91" s="3">
        <v>0</v>
      </c>
      <c r="W91" s="3">
        <v>-3006036</v>
      </c>
      <c r="X91" s="3">
        <v>-4305881</v>
      </c>
    </row>
    <row r="92" spans="1:24" ht="15.75" x14ac:dyDescent="0.25">
      <c r="A92" t="s">
        <v>240</v>
      </c>
      <c r="B92" s="3">
        <v>647011000</v>
      </c>
      <c r="C92" s="3">
        <v>-73559000</v>
      </c>
      <c r="D92" s="3">
        <v>-15699000</v>
      </c>
      <c r="E92" s="3">
        <v>1869390000</v>
      </c>
      <c r="F92" s="3">
        <v>-145378000</v>
      </c>
      <c r="G92" s="3">
        <v>-215341000</v>
      </c>
      <c r="H92" s="3">
        <v>359672000</v>
      </c>
      <c r="I92" s="3">
        <v>-83000</v>
      </c>
      <c r="J92" s="3">
        <v>-83000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</row>
    <row r="93" spans="1:24" ht="15.75" x14ac:dyDescent="0.25">
      <c r="A93" t="s">
        <v>241</v>
      </c>
      <c r="B93" s="3">
        <v>-45422483</v>
      </c>
      <c r="C93" s="3">
        <v>-90801000</v>
      </c>
      <c r="D93" s="3">
        <v>-88318000</v>
      </c>
      <c r="E93" s="3">
        <v>-84139000</v>
      </c>
      <c r="F93" s="3">
        <v>-77989000</v>
      </c>
      <c r="G93" s="3">
        <v>-69409000</v>
      </c>
      <c r="H93" s="3">
        <v>-62970000</v>
      </c>
      <c r="I93" s="3">
        <v>-57381000</v>
      </c>
      <c r="J93" s="3">
        <v>-102314000</v>
      </c>
      <c r="K93" s="3">
        <v>-117687000</v>
      </c>
      <c r="L93" s="3">
        <v>-32322000</v>
      </c>
      <c r="M93" s="3">
        <v>-22329000</v>
      </c>
      <c r="N93" s="3">
        <v>-42408000</v>
      </c>
      <c r="O93" s="3">
        <v>-15523000</v>
      </c>
      <c r="P93" s="3">
        <v>-127278000</v>
      </c>
      <c r="Q93" s="3">
        <v>-71324000</v>
      </c>
      <c r="R93" s="3">
        <v>-27764000</v>
      </c>
      <c r="S93" s="3">
        <v>-6824000</v>
      </c>
      <c r="T93" s="3">
        <v>-5152406</v>
      </c>
      <c r="U93" s="3">
        <v>-1428105</v>
      </c>
      <c r="V93" s="3">
        <v>-1091057</v>
      </c>
      <c r="W93" s="3">
        <v>-951100</v>
      </c>
      <c r="X93" s="3">
        <v>-966603</v>
      </c>
    </row>
    <row r="94" spans="1:24" ht="15.75" x14ac:dyDescent="0.25">
      <c r="A94" t="s">
        <v>242</v>
      </c>
      <c r="B94" s="3">
        <v>1307596000</v>
      </c>
      <c r="C94" s="3">
        <v>201598000</v>
      </c>
      <c r="D94" s="3">
        <v>365286000</v>
      </c>
      <c r="E94" s="3">
        <v>2121583000</v>
      </c>
      <c r="F94" s="3">
        <v>-7657000</v>
      </c>
      <c r="G94" s="3">
        <v>-4572000</v>
      </c>
      <c r="H94" s="3">
        <v>349986000</v>
      </c>
      <c r="I94" s="3">
        <v>-1427000</v>
      </c>
      <c r="J94" s="3">
        <v>-346000</v>
      </c>
      <c r="K94" s="3">
        <v>740000</v>
      </c>
      <c r="L94" s="3">
        <v>101000</v>
      </c>
      <c r="M94" s="3">
        <v>516000</v>
      </c>
      <c r="N94" s="3">
        <v>82977000</v>
      </c>
      <c r="O94" s="3">
        <v>-307000</v>
      </c>
      <c r="P94" s="3">
        <v>32566000</v>
      </c>
      <c r="Q94" s="3">
        <v>-188141000</v>
      </c>
      <c r="R94" s="3">
        <v>-29903000</v>
      </c>
      <c r="S94" s="3">
        <v>-1001000</v>
      </c>
      <c r="T94" s="3">
        <v>-12972498</v>
      </c>
      <c r="U94" s="3">
        <v>-27218999</v>
      </c>
      <c r="V94" s="3">
        <v>-80649500</v>
      </c>
      <c r="W94" s="3">
        <v>-17516432</v>
      </c>
      <c r="X94" s="3">
        <v>-18972811</v>
      </c>
    </row>
    <row r="95" spans="1:24" ht="15.75" x14ac:dyDescent="0.25">
      <c r="A95" t="s">
        <v>243</v>
      </c>
      <c r="B95" s="3">
        <v>523654000</v>
      </c>
      <c r="C95" s="3">
        <v>-188438000</v>
      </c>
      <c r="D95" s="3">
        <v>-392916000</v>
      </c>
      <c r="E95" s="3">
        <v>1539073000</v>
      </c>
      <c r="F95" s="3">
        <v>-231024000</v>
      </c>
      <c r="G95" s="3">
        <v>-289322000</v>
      </c>
      <c r="H95" s="3">
        <v>286688000</v>
      </c>
      <c r="I95" s="3">
        <v>-118750000</v>
      </c>
      <c r="J95" s="3">
        <v>-99454000</v>
      </c>
      <c r="K95" s="3">
        <v>-113111000</v>
      </c>
      <c r="L95" s="3">
        <v>-107780000</v>
      </c>
      <c r="M95" s="3">
        <v>-20766000</v>
      </c>
      <c r="N95" s="3">
        <v>-157812000</v>
      </c>
      <c r="O95" s="3">
        <v>-15496000</v>
      </c>
      <c r="P95" s="3">
        <v>-137749000</v>
      </c>
      <c r="Q95" s="3">
        <v>-69843000</v>
      </c>
      <c r="R95" s="3">
        <v>-75645000</v>
      </c>
      <c r="S95" s="3">
        <v>-22017000</v>
      </c>
      <c r="T95" s="3">
        <v>-23516254</v>
      </c>
      <c r="U95" s="3">
        <v>-479806</v>
      </c>
      <c r="V95" s="3">
        <v>137088</v>
      </c>
      <c r="W95" s="3">
        <v>-2989861</v>
      </c>
      <c r="X95" s="3">
        <v>-4950059</v>
      </c>
    </row>
    <row r="96" spans="1:24" ht="15.75" x14ac:dyDescent="0.25">
      <c r="A96" t="s">
        <v>244</v>
      </c>
      <c r="B96" s="3">
        <v>1264304000</v>
      </c>
      <c r="C96" s="3">
        <v>541363000</v>
      </c>
      <c r="D96" s="3">
        <v>451262000</v>
      </c>
      <c r="E96" s="3">
        <v>275249000</v>
      </c>
      <c r="F96" s="3">
        <v>223258000</v>
      </c>
      <c r="G96" s="3">
        <v>209902000</v>
      </c>
      <c r="H96" s="3">
        <v>183478000</v>
      </c>
      <c r="I96" s="3">
        <v>289336000</v>
      </c>
      <c r="J96" s="3">
        <v>236601000</v>
      </c>
      <c r="K96" s="3">
        <v>218642000</v>
      </c>
      <c r="L96" s="3">
        <v>215435000</v>
      </c>
      <c r="M96" s="3">
        <v>247751000</v>
      </c>
      <c r="N96" s="3">
        <v>221684000</v>
      </c>
      <c r="O96" s="3">
        <v>189620000</v>
      </c>
      <c r="P96" s="3">
        <v>171889000</v>
      </c>
      <c r="Q96" s="3">
        <v>196136000</v>
      </c>
      <c r="R96" s="3">
        <v>163596000</v>
      </c>
      <c r="S96" s="3">
        <v>136120000</v>
      </c>
      <c r="T96" s="3">
        <v>132124452</v>
      </c>
      <c r="U96" s="3">
        <v>113192639</v>
      </c>
      <c r="V96" s="3">
        <v>60058777</v>
      </c>
      <c r="W96" s="3">
        <v>59655251</v>
      </c>
      <c r="X96" s="3">
        <v>68865635</v>
      </c>
    </row>
    <row r="97" spans="1:24" ht="15.75" x14ac:dyDescent="0.25">
      <c r="A97" t="s">
        <v>245</v>
      </c>
      <c r="B97" s="3">
        <v>1260285000</v>
      </c>
      <c r="C97" s="3">
        <v>445852000</v>
      </c>
      <c r="D97" s="3">
        <v>538519000</v>
      </c>
      <c r="E97" s="3">
        <v>451262000</v>
      </c>
      <c r="F97" s="3">
        <v>275249000</v>
      </c>
      <c r="G97" s="3">
        <v>223258000</v>
      </c>
      <c r="H97" s="3">
        <v>209902000</v>
      </c>
      <c r="I97" s="3">
        <v>183478000</v>
      </c>
      <c r="J97" s="3">
        <v>289336000</v>
      </c>
      <c r="K97" s="3">
        <v>236601000</v>
      </c>
      <c r="L97" s="3">
        <v>218642000</v>
      </c>
      <c r="M97" s="3">
        <v>215435000</v>
      </c>
      <c r="N97" s="3">
        <v>247751000</v>
      </c>
      <c r="O97" s="3">
        <v>221684000</v>
      </c>
      <c r="P97" s="3">
        <v>189620000</v>
      </c>
      <c r="Q97" s="3">
        <v>171889000</v>
      </c>
      <c r="R97" s="3">
        <v>196136000</v>
      </c>
      <c r="S97" s="3">
        <v>163596000</v>
      </c>
      <c r="T97" s="3">
        <v>136120530</v>
      </c>
      <c r="U97" s="3">
        <v>132124452</v>
      </c>
      <c r="V97" s="3">
        <v>113192639</v>
      </c>
      <c r="W97" s="3">
        <v>60058777</v>
      </c>
      <c r="X97" s="3">
        <v>59655251</v>
      </c>
    </row>
    <row r="98" spans="1:24" ht="15.75" x14ac:dyDescent="0.25">
      <c r="A98" t="s">
        <v>246</v>
      </c>
      <c r="B98" s="3">
        <v>-4019000</v>
      </c>
      <c r="C98" s="3">
        <v>-95511000</v>
      </c>
      <c r="D98" s="3">
        <v>87257000</v>
      </c>
      <c r="E98" s="3">
        <v>176013000</v>
      </c>
      <c r="F98" s="3">
        <v>51991000</v>
      </c>
      <c r="G98" s="3">
        <v>13356000</v>
      </c>
      <c r="H98" s="3">
        <v>26424000</v>
      </c>
      <c r="I98" s="3">
        <v>-105858000</v>
      </c>
      <c r="J98" s="3">
        <v>52735000</v>
      </c>
      <c r="K98" s="3">
        <v>17959000</v>
      </c>
      <c r="L98" s="3">
        <v>3207000</v>
      </c>
      <c r="M98" s="3">
        <v>-32316000</v>
      </c>
      <c r="N98" s="3">
        <v>26067000</v>
      </c>
      <c r="O98" s="3">
        <v>32064000</v>
      </c>
      <c r="P98" s="3">
        <v>17731000</v>
      </c>
      <c r="Q98" s="3">
        <v>-24247000</v>
      </c>
      <c r="R98" s="3">
        <v>32540000</v>
      </c>
      <c r="S98" s="3">
        <v>27476000</v>
      </c>
      <c r="T98" s="3">
        <v>3996078</v>
      </c>
      <c r="U98" s="3">
        <v>18931813</v>
      </c>
      <c r="V98" s="3">
        <v>53133862</v>
      </c>
      <c r="W98" s="3">
        <v>403526</v>
      </c>
      <c r="X98" s="3">
        <v>-9210384</v>
      </c>
    </row>
    <row r="99" spans="1:24" ht="15.75" x14ac:dyDescent="0.25">
      <c r="A99" t="s">
        <v>247</v>
      </c>
      <c r="B99" s="3">
        <v>147351000</v>
      </c>
      <c r="C99" s="3">
        <v>128835000</v>
      </c>
      <c r="D99" s="3">
        <v>106697000</v>
      </c>
      <c r="E99" s="3">
        <v>130224000</v>
      </c>
      <c r="F99" s="3">
        <v>138197000</v>
      </c>
      <c r="G99" s="3">
        <v>115027000</v>
      </c>
      <c r="H99" s="3">
        <v>51976000</v>
      </c>
      <c r="I99" s="3">
        <v>42283000</v>
      </c>
      <c r="J99" s="3">
        <v>30406000</v>
      </c>
      <c r="K99" s="3">
        <v>24305000</v>
      </c>
      <c r="L99" s="3">
        <v>10063000</v>
      </c>
      <c r="M99" s="3">
        <v>33749000</v>
      </c>
      <c r="N99" s="3">
        <v>12297000</v>
      </c>
      <c r="O99" s="3">
        <v>5625000</v>
      </c>
      <c r="P99" s="3">
        <v>14475000</v>
      </c>
      <c r="Q99" s="3">
        <v>13654000</v>
      </c>
      <c r="R99" s="3">
        <v>30166000</v>
      </c>
      <c r="S99" s="3">
        <v>47670000</v>
      </c>
      <c r="T99" s="3">
        <v>26940489</v>
      </c>
      <c r="U99" s="3">
        <v>27264463</v>
      </c>
      <c r="V99" s="3">
        <v>7483710</v>
      </c>
      <c r="W99" s="3">
        <v>17197774</v>
      </c>
      <c r="X99" s="3">
        <v>13908163</v>
      </c>
    </row>
    <row r="100" spans="1:24" ht="15.75" x14ac:dyDescent="0.25">
      <c r="A100" t="s">
        <v>248</v>
      </c>
      <c r="B100" s="3">
        <v>502213000</v>
      </c>
      <c r="C100" s="3">
        <v>397647000</v>
      </c>
      <c r="D100" s="3">
        <v>434244000</v>
      </c>
      <c r="E100" s="3">
        <v>377795000</v>
      </c>
      <c r="F100" s="3">
        <v>328311000</v>
      </c>
      <c r="G100" s="3">
        <v>304306000</v>
      </c>
      <c r="H100" s="3">
        <v>289233000</v>
      </c>
      <c r="I100" s="3">
        <v>205577000</v>
      </c>
      <c r="J100" s="3">
        <v>118855000</v>
      </c>
      <c r="K100" s="3">
        <v>120761000</v>
      </c>
      <c r="L100" s="3">
        <v>108778000</v>
      </c>
      <c r="M100" s="3">
        <v>81053000</v>
      </c>
      <c r="N100" s="3">
        <v>88355000</v>
      </c>
      <c r="O100" s="3">
        <v>42945000</v>
      </c>
      <c r="P100" s="3">
        <v>107633000</v>
      </c>
      <c r="Q100" s="3">
        <v>219099000</v>
      </c>
      <c r="R100" s="3">
        <v>107093000</v>
      </c>
      <c r="S100" s="3">
        <v>83673000</v>
      </c>
      <c r="T100" s="3">
        <v>56275701</v>
      </c>
      <c r="U100" s="3">
        <v>18409691</v>
      </c>
      <c r="V100" s="3">
        <v>126388450</v>
      </c>
      <c r="W100" s="3">
        <v>3825659</v>
      </c>
      <c r="X100" s="3">
        <v>722226</v>
      </c>
    </row>
    <row r="101" spans="1:24" ht="15.75" x14ac:dyDescent="0.25">
      <c r="A101" t="s">
        <v>168</v>
      </c>
      <c r="B101" t="s">
        <v>169</v>
      </c>
      <c r="C101" t="s">
        <v>169</v>
      </c>
      <c r="D101" t="s">
        <v>169</v>
      </c>
      <c r="E101" t="s">
        <v>169</v>
      </c>
      <c r="F101" t="s">
        <v>169</v>
      </c>
      <c r="G101" t="s">
        <v>169</v>
      </c>
      <c r="H101" t="s">
        <v>169</v>
      </c>
      <c r="I101" t="s">
        <v>169</v>
      </c>
      <c r="J101" t="s">
        <v>169</v>
      </c>
      <c r="K101" t="s">
        <v>169</v>
      </c>
      <c r="L101" t="s">
        <v>169</v>
      </c>
      <c r="M101" t="s">
        <v>169</v>
      </c>
      <c r="N101" t="s">
        <v>169</v>
      </c>
      <c r="O101" t="s">
        <v>169</v>
      </c>
      <c r="P101" t="s">
        <v>169</v>
      </c>
      <c r="Q101" t="s">
        <v>169</v>
      </c>
      <c r="R101" t="s">
        <v>169</v>
      </c>
      <c r="S101" t="s">
        <v>169</v>
      </c>
      <c r="T101" t="s">
        <v>169</v>
      </c>
      <c r="U101" t="s">
        <v>169</v>
      </c>
      <c r="V101" t="s">
        <v>169</v>
      </c>
      <c r="W101" t="s">
        <v>169</v>
      </c>
      <c r="X101" t="s">
        <v>169</v>
      </c>
    </row>
    <row r="102" spans="1:24" ht="15.75" x14ac:dyDescent="0.25">
      <c r="A102" t="s">
        <v>170</v>
      </c>
      <c r="B102" t="s">
        <v>171</v>
      </c>
      <c r="C102" t="s">
        <v>172</v>
      </c>
      <c r="D102" t="s">
        <v>173</v>
      </c>
      <c r="E102" t="s">
        <v>174</v>
      </c>
      <c r="F102" t="s">
        <v>175</v>
      </c>
      <c r="G102" t="s">
        <v>176</v>
      </c>
      <c r="H102" t="s">
        <v>177</v>
      </c>
      <c r="I102" t="s">
        <v>178</v>
      </c>
      <c r="J102" t="s">
        <v>179</v>
      </c>
      <c r="K102" t="s">
        <v>180</v>
      </c>
      <c r="L102" t="s">
        <v>181</v>
      </c>
      <c r="M102" t="s">
        <v>182</v>
      </c>
      <c r="N102" t="s">
        <v>183</v>
      </c>
      <c r="O102" t="s">
        <v>184</v>
      </c>
      <c r="P102" t="s">
        <v>185</v>
      </c>
      <c r="Q102" t="s">
        <v>186</v>
      </c>
      <c r="R102" t="s">
        <v>187</v>
      </c>
      <c r="S102" t="s">
        <v>188</v>
      </c>
      <c r="T102" t="s">
        <v>189</v>
      </c>
      <c r="U102" t="s">
        <v>61</v>
      </c>
      <c r="V102" t="s">
        <v>62</v>
      </c>
      <c r="W102" t="s">
        <v>63</v>
      </c>
      <c r="X102" t="s">
        <v>64</v>
      </c>
    </row>
  </sheetData>
  <pageMargins left="0.7" right="0.7" top="0.75" bottom="0.75" header="0.3" footer="0.3"/>
  <ignoredErrors>
    <ignoredError sqref="A1:AA1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/>
  </sheetViews>
  <sheetFormatPr defaultRowHeight="15" x14ac:dyDescent="0.25"/>
  <cols>
    <col min="1" max="1" width="46.625" customWidth="1"/>
    <col min="2" max="2" width="25" customWidth="1"/>
    <col min="3" max="3" width="46.875" customWidth="1"/>
    <col min="4" max="4" width="61.375" customWidth="1"/>
  </cols>
  <sheetData>
    <row r="1" spans="1:7" ht="15.75" x14ac:dyDescent="0.25">
      <c r="A1" s="8" t="s">
        <v>249</v>
      </c>
      <c r="B1" s="8"/>
    </row>
    <row r="2" spans="1:7" ht="15.75" x14ac:dyDescent="0.25">
      <c r="A2" t="s">
        <v>110</v>
      </c>
    </row>
    <row r="3" spans="1:7" ht="15.75" x14ac:dyDescent="0.25">
      <c r="A3" t="s">
        <v>250</v>
      </c>
      <c r="B3" s="2">
        <f>'Helper Data'!$B$6</f>
        <v>55.790700000000001</v>
      </c>
      <c r="C3" t="s">
        <v>251</v>
      </c>
      <c r="D3" t="s">
        <v>252</v>
      </c>
    </row>
    <row r="4" spans="1:7" ht="15.75" x14ac:dyDescent="0.25">
      <c r="A4" t="s">
        <v>22</v>
      </c>
      <c r="B4" s="4">
        <f>'Helper Data'!$B$12</f>
        <v>94.83</v>
      </c>
      <c r="C4" t="s">
        <v>253</v>
      </c>
      <c r="D4" s="1">
        <v>1.9199999999999998E-2</v>
      </c>
    </row>
    <row r="5" spans="1:7" ht="15.75" x14ac:dyDescent="0.25">
      <c r="A5" t="s">
        <v>70</v>
      </c>
      <c r="B5" s="2">
        <v>1.05</v>
      </c>
      <c r="C5" t="s">
        <v>254</v>
      </c>
      <c r="D5" s="1">
        <v>0</v>
      </c>
    </row>
    <row r="6" spans="1:7" ht="15.75" x14ac:dyDescent="0.25">
      <c r="A6" t="s">
        <v>255</v>
      </c>
      <c r="B6" s="1">
        <v>1.9200000000000099E-2</v>
      </c>
    </row>
    <row r="7" spans="1:7" ht="15.75" x14ac:dyDescent="0.25">
      <c r="A7" t="s">
        <v>256</v>
      </c>
      <c r="B7" s="1">
        <v>4.7199999999999999E-2</v>
      </c>
    </row>
    <row r="9" spans="1:7" ht="15.75" x14ac:dyDescent="0.25">
      <c r="A9" t="s">
        <v>10</v>
      </c>
    </row>
    <row r="10" spans="1:7" ht="15.75" x14ac:dyDescent="0.25">
      <c r="A10" t="s">
        <v>257</v>
      </c>
      <c r="B10">
        <f>'Helper Data'!$B$4</f>
        <v>2244.4250000000002</v>
      </c>
      <c r="C10" t="s">
        <v>258</v>
      </c>
    </row>
    <row r="11" spans="1:7" ht="15.75" x14ac:dyDescent="0.25">
      <c r="A11" t="s">
        <v>259</v>
      </c>
      <c r="B11" s="4">
        <f>ABS('Helper Data'!$B$9)</f>
        <v>90.978999999999999</v>
      </c>
      <c r="C11" t="s">
        <v>260</v>
      </c>
      <c r="D11" s="4">
        <f>B11*(1-(1+B16)^(-B12))/B16+B10/(1+B16)^B12</f>
        <v>2244.4250000000002</v>
      </c>
    </row>
    <row r="12" spans="1:7" ht="15.75" x14ac:dyDescent="0.25">
      <c r="A12" t="s">
        <v>27</v>
      </c>
      <c r="C12" t="s">
        <v>261</v>
      </c>
      <c r="D12" s="4">
        <f>'DCF Valuation'!$G$9*(1-(1+B16)^(-'DCF Valuation'!$G$10))/B16+'DCF Valuation'!$G$8/(1+B16)^'DCF Valuation'!$G$10</f>
        <v>0</v>
      </c>
    </row>
    <row r="13" spans="1:7" ht="15.75" x14ac:dyDescent="0.25">
      <c r="A13" t="s">
        <v>262</v>
      </c>
      <c r="B13" s="1">
        <f>'Synthetic Credit Rating'!$B$5</f>
        <v>6.8999999999999999E-3</v>
      </c>
      <c r="C13" t="s">
        <v>263</v>
      </c>
      <c r="D13" s="4">
        <f>'DCF Valuation'!$G$11-D12</f>
        <v>0</v>
      </c>
    </row>
    <row r="14" spans="1:7" ht="15.75" x14ac:dyDescent="0.25">
      <c r="A14" t="s">
        <v>264</v>
      </c>
      <c r="B14" s="1">
        <f>B6+B13+D5</f>
        <v>2.6100000000000099E-2</v>
      </c>
      <c r="C14" t="s">
        <v>265</v>
      </c>
      <c r="D14" s="2">
        <f>B5*(1+(1-B17)*(E16/D16))</f>
        <v>1.3751694194873652</v>
      </c>
    </row>
    <row r="15" spans="1:7" ht="15.75" x14ac:dyDescent="0.25">
      <c r="A15" t="s">
        <v>266</v>
      </c>
      <c r="B15" t="str">
        <f>IF(ISBLANK('DCF Valuation'!$C$8), "Synthetic Credit Rating", "Manual Input")</f>
        <v>Synthetic Credit Rating</v>
      </c>
      <c r="D15" t="s">
        <v>110</v>
      </c>
      <c r="E15" t="s">
        <v>267</v>
      </c>
      <c r="F15" t="s">
        <v>12</v>
      </c>
      <c r="G15" t="s">
        <v>268</v>
      </c>
    </row>
    <row r="16" spans="1:7" ht="15.75" x14ac:dyDescent="0.25">
      <c r="A16" t="str">
        <f>"Pre-tax Cost of Debt"&amp;" ("&amp;B15&amp;")"</f>
        <v>Pre-tax Cost of Debt (Synthetic Credit Rating)</v>
      </c>
      <c r="B16" s="1">
        <f>IF(ISBLANK('DCF Valuation'!$C$8), B14, 'DCF Valuation'!$C$8)</f>
        <v>2.6100000000000099E-2</v>
      </c>
      <c r="C16" t="s">
        <v>269</v>
      </c>
      <c r="D16" s="4">
        <f>B3*B4+D13</f>
        <v>5290.6320809999997</v>
      </c>
      <c r="E16" s="4">
        <f>D11+D12</f>
        <v>2244.4250000000002</v>
      </c>
      <c r="F16" s="4">
        <f>'DCF Valuation'!$J$8*'DCF Valuation'!$J$9</f>
        <v>0</v>
      </c>
      <c r="G16" s="4">
        <f>SUM(D16:F16)</f>
        <v>7535.0570809999999</v>
      </c>
    </row>
    <row r="17" spans="1:7" ht="15.75" x14ac:dyDescent="0.25">
      <c r="A17" t="s">
        <v>270</v>
      </c>
      <c r="B17" s="1">
        <v>0.27</v>
      </c>
      <c r="C17" t="s">
        <v>271</v>
      </c>
      <c r="D17" s="1">
        <f>D16/G16</f>
        <v>0.70213563402732238</v>
      </c>
      <c r="E17" s="1">
        <f>E16/G16</f>
        <v>0.29786436597267768</v>
      </c>
      <c r="F17" s="1">
        <f>F16/G16</f>
        <v>0</v>
      </c>
      <c r="G17" s="1">
        <f>SUM(D17:F17)</f>
        <v>1</v>
      </c>
    </row>
    <row r="18" spans="1:7" ht="15.75" x14ac:dyDescent="0.25">
      <c r="C18" t="s">
        <v>272</v>
      </c>
      <c r="D18" s="1">
        <f>B6+D14*B7</f>
        <v>8.4107996599803725E-2</v>
      </c>
      <c r="E18" s="1">
        <f>B16*(1-B17)</f>
        <v>1.9053000000000073E-2</v>
      </c>
      <c r="F18" s="1">
        <f>IF(ISERROR('DCF Valuation'!$J$10/'DCF Valuation'!$J$9), 0, 'DCF Valuation'!$J$10/'DCF Valuation'!$J$9)</f>
        <v>0</v>
      </c>
      <c r="G18" s="1">
        <f>D17*D18+E17*E18+F17*F18</f>
        <v>6.4730431284248519E-2</v>
      </c>
    </row>
    <row r="19" spans="1:7" ht="15.75" x14ac:dyDescent="0.25"/>
    <row r="26" spans="1:7" ht="15.75" x14ac:dyDescent="0.25"/>
  </sheetData>
  <mergeCells count="1">
    <mergeCell ref="A1:B1"/>
  </mergeCells>
  <pageMargins left="0.7" right="0.7" top="0.75" bottom="0.75" header="0.3" footer="0.3"/>
  <ignoredErrors>
    <ignoredError sqref="A1:G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/>
  </sheetViews>
  <sheetFormatPr defaultRowHeight="15" x14ac:dyDescent="0.25"/>
  <cols>
    <col min="1" max="1" width="43.375" customWidth="1"/>
    <col min="2" max="2" width="27.5" customWidth="1"/>
  </cols>
  <sheetData>
    <row r="1" spans="1:2" ht="15.75" x14ac:dyDescent="0.25">
      <c r="A1" s="8" t="s">
        <v>273</v>
      </c>
      <c r="B1" s="8"/>
    </row>
    <row r="2" spans="1:2" ht="15.75" x14ac:dyDescent="0.25">
      <c r="A2" t="s">
        <v>18</v>
      </c>
    </row>
    <row r="3" spans="1:2" ht="15.75" x14ac:dyDescent="0.25">
      <c r="A3" t="s">
        <v>23</v>
      </c>
    </row>
    <row r="4" spans="1:2" ht="15.75" x14ac:dyDescent="0.25">
      <c r="A4" t="s">
        <v>27</v>
      </c>
    </row>
    <row r="5" spans="1:2" ht="15.75" x14ac:dyDescent="0.25">
      <c r="A5" t="s">
        <v>274</v>
      </c>
      <c r="B5" s="1">
        <v>0.45240000000000002</v>
      </c>
    </row>
    <row r="6" spans="1:2" ht="15.75" x14ac:dyDescent="0.25">
      <c r="A6" t="s">
        <v>275</v>
      </c>
      <c r="B6" s="1">
        <f>'Cost of Capital'!$B$6</f>
        <v>1.9200000000000099E-2</v>
      </c>
    </row>
    <row r="7" spans="1:2" ht="15.75" x14ac:dyDescent="0.25">
      <c r="A7" t="s">
        <v>276</v>
      </c>
      <c r="B7" s="2">
        <f>'Helper Data'!$B$6</f>
        <v>55.790700000000001</v>
      </c>
    </row>
    <row r="8" spans="1:2" ht="15.75" x14ac:dyDescent="0.25">
      <c r="A8" t="s">
        <v>277</v>
      </c>
      <c r="B8" s="4">
        <f>'Helper Data'!$B$12</f>
        <v>94.83</v>
      </c>
    </row>
    <row r="10" spans="1:2" ht="15.75" x14ac:dyDescent="0.25">
      <c r="A10" t="s">
        <v>278</v>
      </c>
      <c r="B10" s="2">
        <f>IFERROR((LN(B8 / B3) + (B6 + (B5 * B5) / 2) * B4) / (B5 * SQRT(B4)), 0)</f>
        <v>0</v>
      </c>
    </row>
    <row r="11" spans="1:2" ht="15.75" x14ac:dyDescent="0.25">
      <c r="A11" t="s">
        <v>279</v>
      </c>
      <c r="B11" s="2">
        <f>NORMDIST(B10, 0, 1, TRUE)</f>
        <v>0.5</v>
      </c>
    </row>
    <row r="13" spans="1:2" ht="15.75" x14ac:dyDescent="0.25">
      <c r="A13" t="s">
        <v>280</v>
      </c>
      <c r="B13" s="2">
        <f>B10 - B5 * SQRT(B4)</f>
        <v>0</v>
      </c>
    </row>
    <row r="14" spans="1:2" ht="15.75" x14ac:dyDescent="0.25">
      <c r="A14" t="s">
        <v>281</v>
      </c>
      <c r="B14" s="2">
        <f>NORMDIST(B13, 0, 1, TRUE)</f>
        <v>0.5</v>
      </c>
    </row>
    <row r="16" spans="1:2" ht="15.75" x14ac:dyDescent="0.25">
      <c r="A16" t="s">
        <v>282</v>
      </c>
      <c r="B16" s="4">
        <f>B8 * B11 - B3 * EXP(-B6 * B4) * B14</f>
        <v>47.414999999999999</v>
      </c>
    </row>
    <row r="17" spans="1:2" ht="15.75" x14ac:dyDescent="0.25">
      <c r="A17" t="s">
        <v>283</v>
      </c>
      <c r="B17" s="4">
        <f>B16*B2</f>
        <v>0</v>
      </c>
    </row>
  </sheetData>
  <mergeCells count="1">
    <mergeCell ref="A1:B1"/>
  </mergeCells>
  <pageMargins left="0.7" right="0.7" top="0.75" bottom="0.75" header="0.3" footer="0.3"/>
  <ignoredErrors>
    <ignoredError sqref="A1:B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"/>
  <sheetViews>
    <sheetView workbookViewId="0"/>
  </sheetViews>
  <sheetFormatPr defaultRowHeight="15" x14ac:dyDescent="0.25"/>
  <cols>
    <col min="1" max="1" width="47.125" customWidth="1"/>
    <col min="2" max="2" width="45.5" customWidth="1"/>
    <col min="3" max="3" width="42" customWidth="1"/>
    <col min="4" max="4" width="39.625" customWidth="1"/>
  </cols>
  <sheetData>
    <row r="1" spans="1:6" ht="15.75" x14ac:dyDescent="0.25">
      <c r="A1" s="8" t="s">
        <v>284</v>
      </c>
      <c r="B1" s="8"/>
    </row>
    <row r="2" spans="1:6" ht="15.75" x14ac:dyDescent="0.25">
      <c r="A2" t="s">
        <v>285</v>
      </c>
      <c r="B2" t="str">
        <f>IF(D4&gt;5000,"Large","Small")</f>
        <v>Large</v>
      </c>
      <c r="C2" t="s">
        <v>67</v>
      </c>
      <c r="D2">
        <f>'Helper Data'!$B$2</f>
        <v>1064.539</v>
      </c>
    </row>
    <row r="3" spans="1:6" ht="15.75" x14ac:dyDescent="0.25">
      <c r="A3" t="s">
        <v>286</v>
      </c>
      <c r="B3" s="2">
        <f>IF(D3=0,100,IF(D2&lt;0,0,D2/D3))</f>
        <v>11.700930984073247</v>
      </c>
      <c r="C3" t="s">
        <v>259</v>
      </c>
      <c r="D3" s="4">
        <f>ABS('Helper Data'!$B$9)</f>
        <v>90.978999999999999</v>
      </c>
    </row>
    <row r="4" spans="1:6" ht="15.75" x14ac:dyDescent="0.25">
      <c r="A4" t="s">
        <v>287</v>
      </c>
      <c r="B4" t="str">
        <f>IF(B2="Large",VLOOKUP(B3,A12:F26,5),IF(B2="Small", VLOOKUP(B3,C12:F26,3), 0))</f>
        <v>Aaa/AAA</v>
      </c>
      <c r="C4" t="s">
        <v>288</v>
      </c>
      <c r="D4" s="7">
        <f>'Helper Data'!$B$11*D5</f>
        <v>5290.6320809999997</v>
      </c>
    </row>
    <row r="5" spans="1:6" ht="15.75" x14ac:dyDescent="0.25">
      <c r="A5" t="s">
        <v>289</v>
      </c>
      <c r="B5" s="1">
        <f>IF(B2="Large",VLOOKUP(B3,A12:F26,6),IF(B2="Small", VLOOKUP(B3,C12:F26,4), 0))</f>
        <v>6.8999999999999999E-3</v>
      </c>
      <c r="C5" t="s">
        <v>290</v>
      </c>
      <c r="D5">
        <v>1</v>
      </c>
    </row>
    <row r="10" spans="1:6" ht="15.75" x14ac:dyDescent="0.25">
      <c r="A10" s="8" t="s">
        <v>291</v>
      </c>
      <c r="B10" s="8"/>
      <c r="C10" s="8" t="s">
        <v>292</v>
      </c>
      <c r="D10" s="8"/>
    </row>
    <row r="11" spans="1:6" ht="15.75" x14ac:dyDescent="0.25">
      <c r="A11" t="s">
        <v>293</v>
      </c>
      <c r="B11" t="s">
        <v>294</v>
      </c>
      <c r="C11" t="s">
        <v>293</v>
      </c>
      <c r="D11" t="s">
        <v>294</v>
      </c>
      <c r="E11" t="s">
        <v>295</v>
      </c>
      <c r="F11" t="s">
        <v>296</v>
      </c>
    </row>
    <row r="12" spans="1:6" ht="15.75" x14ac:dyDescent="0.25">
      <c r="A12">
        <v>0</v>
      </c>
      <c r="B12" s="2">
        <v>0.2</v>
      </c>
      <c r="C12">
        <v>0</v>
      </c>
      <c r="D12" s="2">
        <v>0.5</v>
      </c>
      <c r="E12" t="s">
        <v>297</v>
      </c>
      <c r="F12" s="1">
        <v>0.1744</v>
      </c>
    </row>
    <row r="13" spans="1:6" ht="15.75" x14ac:dyDescent="0.25">
      <c r="A13" s="2">
        <v>0.2</v>
      </c>
      <c r="B13" s="2">
        <v>0.65</v>
      </c>
      <c r="C13" s="2">
        <v>0.5</v>
      </c>
      <c r="D13" s="2">
        <v>0.8</v>
      </c>
      <c r="E13" t="s">
        <v>298</v>
      </c>
      <c r="F13" s="1">
        <v>0.13089999999999999</v>
      </c>
    </row>
    <row r="14" spans="1:6" ht="15.75" x14ac:dyDescent="0.25">
      <c r="A14" s="2">
        <v>0.65</v>
      </c>
      <c r="B14" s="2">
        <v>0.8</v>
      </c>
      <c r="C14" s="2">
        <v>0.8</v>
      </c>
      <c r="D14" s="2">
        <v>1.25</v>
      </c>
      <c r="E14" t="s">
        <v>299</v>
      </c>
      <c r="F14" s="1">
        <v>9.9699999999999997E-2</v>
      </c>
    </row>
    <row r="15" spans="1:6" ht="15.75" x14ac:dyDescent="0.25">
      <c r="A15" s="2">
        <v>0.8</v>
      </c>
      <c r="B15" s="2">
        <v>1.25</v>
      </c>
      <c r="C15" s="2">
        <v>1.25</v>
      </c>
      <c r="D15" s="2">
        <v>1.5</v>
      </c>
      <c r="E15" t="s">
        <v>300</v>
      </c>
      <c r="F15" s="1">
        <v>9.4600000000000004E-2</v>
      </c>
    </row>
    <row r="16" spans="1:6" ht="15.75" x14ac:dyDescent="0.25">
      <c r="A16" s="2">
        <v>1.25</v>
      </c>
      <c r="B16" s="2">
        <v>1.5</v>
      </c>
      <c r="C16" s="2">
        <v>1.5</v>
      </c>
      <c r="D16" s="2">
        <v>2</v>
      </c>
      <c r="E16" t="s">
        <v>301</v>
      </c>
      <c r="F16" s="1">
        <v>5.9400000000000001E-2</v>
      </c>
    </row>
    <row r="17" spans="1:6" ht="15.75" x14ac:dyDescent="0.25">
      <c r="A17" s="2">
        <v>1.5</v>
      </c>
      <c r="B17" s="2">
        <v>1.75</v>
      </c>
      <c r="C17" s="2">
        <v>2</v>
      </c>
      <c r="D17" s="2">
        <v>2.5</v>
      </c>
      <c r="E17" t="s">
        <v>302</v>
      </c>
      <c r="F17" s="1">
        <v>4.8599999999999997E-2</v>
      </c>
    </row>
    <row r="18" spans="1:6" ht="15.75" x14ac:dyDescent="0.25">
      <c r="A18" s="2">
        <v>1.75</v>
      </c>
      <c r="B18" s="2">
        <v>2</v>
      </c>
      <c r="C18" s="2">
        <v>2.5</v>
      </c>
      <c r="D18" s="2">
        <v>3</v>
      </c>
      <c r="E18" t="s">
        <v>303</v>
      </c>
      <c r="F18" s="1">
        <v>4.0500000000000001E-2</v>
      </c>
    </row>
    <row r="19" spans="1:6" ht="15.75" x14ac:dyDescent="0.25">
      <c r="A19" s="2">
        <v>2</v>
      </c>
      <c r="B19" s="2">
        <v>2.25</v>
      </c>
      <c r="C19" s="2">
        <v>3</v>
      </c>
      <c r="D19" s="2">
        <v>3.5</v>
      </c>
      <c r="E19" t="s">
        <v>304</v>
      </c>
      <c r="F19" s="1">
        <v>2.7699999999999999E-2</v>
      </c>
    </row>
    <row r="20" spans="1:6" ht="15.75" x14ac:dyDescent="0.25">
      <c r="A20" s="2">
        <v>2.25</v>
      </c>
      <c r="B20" s="2">
        <v>2.5</v>
      </c>
      <c r="C20" s="2">
        <v>3.5</v>
      </c>
      <c r="D20" s="2">
        <v>4</v>
      </c>
      <c r="E20" t="s">
        <v>305</v>
      </c>
      <c r="F20" s="1">
        <v>2.3099999999999999E-2</v>
      </c>
    </row>
    <row r="21" spans="1:6" ht="15.75" x14ac:dyDescent="0.25">
      <c r="A21" s="2">
        <v>2.5</v>
      </c>
      <c r="B21" s="2">
        <v>3</v>
      </c>
      <c r="C21" s="2">
        <v>4</v>
      </c>
      <c r="D21" s="2">
        <v>4.5</v>
      </c>
      <c r="E21" t="s">
        <v>306</v>
      </c>
      <c r="F21" s="1">
        <v>1.7100000000000001E-2</v>
      </c>
    </row>
    <row r="22" spans="1:6" ht="15.75" x14ac:dyDescent="0.25">
      <c r="A22" s="2">
        <v>3</v>
      </c>
      <c r="B22" s="2">
        <v>4.25</v>
      </c>
      <c r="C22" s="2">
        <v>4.5</v>
      </c>
      <c r="D22" s="2">
        <v>6</v>
      </c>
      <c r="E22" t="s">
        <v>307</v>
      </c>
      <c r="F22" s="1">
        <v>1.3299999999999999E-2</v>
      </c>
    </row>
    <row r="23" spans="1:6" ht="15.75" x14ac:dyDescent="0.25">
      <c r="A23" s="2">
        <v>4.25</v>
      </c>
      <c r="B23" s="2">
        <v>5.5</v>
      </c>
      <c r="C23" s="2">
        <v>6</v>
      </c>
      <c r="D23" s="2">
        <v>7.5</v>
      </c>
      <c r="E23" t="s">
        <v>308</v>
      </c>
      <c r="F23" s="1">
        <v>1.18E-2</v>
      </c>
    </row>
    <row r="24" spans="1:6" ht="15.75" x14ac:dyDescent="0.25">
      <c r="A24" s="2">
        <v>5.5</v>
      </c>
      <c r="B24" s="2">
        <v>6.5</v>
      </c>
      <c r="C24" s="2">
        <v>7.5</v>
      </c>
      <c r="D24" s="2">
        <v>9.5</v>
      </c>
      <c r="E24" t="s">
        <v>309</v>
      </c>
      <c r="F24" s="1">
        <v>1.0699999999999999E-2</v>
      </c>
    </row>
    <row r="25" spans="1:6" ht="15.75" x14ac:dyDescent="0.25">
      <c r="A25" s="2">
        <v>6.5</v>
      </c>
      <c r="B25" s="2">
        <v>8.5</v>
      </c>
      <c r="C25" s="2">
        <v>9.5</v>
      </c>
      <c r="D25" s="2">
        <v>12.5</v>
      </c>
      <c r="E25" t="s">
        <v>310</v>
      </c>
      <c r="F25" s="1">
        <v>8.5000000000000006E-3</v>
      </c>
    </row>
    <row r="26" spans="1:6" ht="15.75" x14ac:dyDescent="0.25">
      <c r="A26" s="2">
        <v>8.5</v>
      </c>
      <c r="B26">
        <v>100</v>
      </c>
      <c r="C26" s="2">
        <v>12.5</v>
      </c>
      <c r="D26">
        <v>100</v>
      </c>
      <c r="E26" t="s">
        <v>311</v>
      </c>
      <c r="F26" s="1">
        <v>6.8999999999999999E-3</v>
      </c>
    </row>
  </sheetData>
  <mergeCells count="3">
    <mergeCell ref="A1:B1"/>
    <mergeCell ref="A10:B10"/>
    <mergeCell ref="C10:D10"/>
  </mergeCells>
  <pageMargins left="0.7" right="0.7" top="0.75" bottom="0.75" header="0.3" footer="0.3"/>
  <ignoredErrors>
    <ignoredError sqref="A1:G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97"/>
  <sheetViews>
    <sheetView workbookViewId="0"/>
  </sheetViews>
  <sheetFormatPr defaultRowHeight="15" x14ac:dyDescent="0.25"/>
  <cols>
    <col min="1" max="1" width="43.875" customWidth="1"/>
  </cols>
  <sheetData>
    <row r="1" spans="1:28" ht="15.75" x14ac:dyDescent="0.25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</row>
    <row r="2" spans="1:28" ht="15.75" x14ac:dyDescent="0.25">
      <c r="A2" t="s">
        <v>340</v>
      </c>
      <c r="B2" t="s">
        <v>341</v>
      </c>
      <c r="C2">
        <v>26</v>
      </c>
      <c r="D2">
        <v>3.3500000000000002E-2</v>
      </c>
      <c r="E2">
        <v>8.48E-2</v>
      </c>
      <c r="F2">
        <v>4.3299999999999998E-2</v>
      </c>
      <c r="G2">
        <v>0.13</v>
      </c>
      <c r="H2">
        <v>0.64</v>
      </c>
      <c r="I2">
        <v>0.98</v>
      </c>
      <c r="J2">
        <v>5.5399999999999998E-2</v>
      </c>
      <c r="K2">
        <v>0.30680000000000002</v>
      </c>
      <c r="L2">
        <v>2.58E-2</v>
      </c>
      <c r="M2">
        <v>0.54530000000000001</v>
      </c>
      <c r="N2">
        <v>3.5499999999999997E-2</v>
      </c>
      <c r="O2">
        <v>0.6</v>
      </c>
      <c r="P2">
        <v>1.31</v>
      </c>
      <c r="Q2">
        <v>12.51</v>
      </c>
      <c r="R2">
        <v>15</v>
      </c>
      <c r="S2">
        <v>0.59</v>
      </c>
      <c r="T2">
        <v>28.99</v>
      </c>
      <c r="U2">
        <v>1.35E-2</v>
      </c>
      <c r="V2">
        <v>1.6000000000000001E-3</v>
      </c>
      <c r="W2">
        <v>-3.8999999999999998E-3</v>
      </c>
      <c r="X2">
        <v>2.64E-2</v>
      </c>
      <c r="Y2">
        <v>5.6099999999999997E-2</v>
      </c>
      <c r="Z2">
        <v>0.3795</v>
      </c>
      <c r="AA2">
        <v>0.3795</v>
      </c>
      <c r="AB2">
        <v>8.48E-2</v>
      </c>
    </row>
    <row r="3" spans="1:28" ht="15.75" x14ac:dyDescent="0.25">
      <c r="A3" t="s">
        <v>342</v>
      </c>
      <c r="B3" t="s">
        <v>343</v>
      </c>
      <c r="C3">
        <v>61</v>
      </c>
      <c r="D3">
        <v>8.3099999999999993E-2</v>
      </c>
      <c r="E3">
        <v>9.98E-2</v>
      </c>
      <c r="F3">
        <v>0.5151</v>
      </c>
      <c r="G3">
        <v>0.2147</v>
      </c>
      <c r="H3">
        <v>0.77</v>
      </c>
      <c r="I3">
        <v>1.08</v>
      </c>
      <c r="J3">
        <v>6.0100000000000001E-2</v>
      </c>
      <c r="K3">
        <v>0.57740000000000002</v>
      </c>
      <c r="L3">
        <v>0.03</v>
      </c>
      <c r="M3">
        <v>0.43659999999999999</v>
      </c>
      <c r="N3">
        <v>4.3400000000000001E-2</v>
      </c>
      <c r="O3">
        <v>5.17</v>
      </c>
      <c r="P3">
        <v>1.83</v>
      </c>
      <c r="Q3">
        <v>8.86</v>
      </c>
      <c r="R3">
        <v>16.079999999999998</v>
      </c>
      <c r="S3">
        <v>5.73</v>
      </c>
      <c r="T3">
        <v>45.38</v>
      </c>
      <c r="U3">
        <v>-5.7000000000000002E-3</v>
      </c>
      <c r="V3">
        <v>1.7500000000000002E-2</v>
      </c>
      <c r="W3">
        <v>-1.9099999999999999E-2</v>
      </c>
      <c r="X3">
        <v>-0.31669999999999998</v>
      </c>
      <c r="Y3">
        <v>2.93E-2</v>
      </c>
      <c r="Z3">
        <v>9.1285000000000007</v>
      </c>
      <c r="AA3">
        <v>9.1285000000000007</v>
      </c>
      <c r="AB3">
        <v>0.1031</v>
      </c>
    </row>
    <row r="4" spans="1:28" ht="15.75" x14ac:dyDescent="0.25">
      <c r="A4" t="s">
        <v>344</v>
      </c>
      <c r="B4" t="s">
        <v>345</v>
      </c>
      <c r="C4">
        <v>72</v>
      </c>
      <c r="D4">
        <v>5.28E-2</v>
      </c>
      <c r="E4">
        <v>7.5600000000000001E-2</v>
      </c>
      <c r="F4">
        <v>0.19109999999999999</v>
      </c>
      <c r="G4">
        <v>0.2462</v>
      </c>
      <c r="H4">
        <v>0.91</v>
      </c>
      <c r="I4">
        <v>1.07</v>
      </c>
      <c r="J4">
        <v>5.96E-2</v>
      </c>
      <c r="K4">
        <v>0.34889999999999999</v>
      </c>
      <c r="L4">
        <v>2.58E-2</v>
      </c>
      <c r="M4">
        <v>0.24840000000000001</v>
      </c>
      <c r="N4">
        <v>4.9500000000000002E-2</v>
      </c>
      <c r="O4">
        <v>2.61</v>
      </c>
      <c r="P4">
        <v>2.0099999999999998</v>
      </c>
      <c r="Q4">
        <v>12.15</v>
      </c>
      <c r="R4">
        <v>20.309999999999999</v>
      </c>
      <c r="S4">
        <v>4.4400000000000004</v>
      </c>
      <c r="T4">
        <v>107.38</v>
      </c>
      <c r="U4">
        <v>0.43559999999999999</v>
      </c>
      <c r="V4">
        <v>2.7699999999999999E-2</v>
      </c>
      <c r="W4">
        <v>-1.3299999999999999E-2</v>
      </c>
      <c r="X4">
        <v>0.36930000000000002</v>
      </c>
      <c r="Y4">
        <v>8.5400000000000004E-2</v>
      </c>
      <c r="Z4">
        <v>1.2055</v>
      </c>
      <c r="AA4">
        <v>1.2055</v>
      </c>
      <c r="AB4">
        <v>7.8899999999999998E-2</v>
      </c>
    </row>
    <row r="5" spans="1:28" ht="15.75" x14ac:dyDescent="0.25">
      <c r="A5" t="s">
        <v>346</v>
      </c>
      <c r="B5" t="s">
        <v>347</v>
      </c>
      <c r="C5">
        <v>97</v>
      </c>
      <c r="D5">
        <v>5.9400000000000001E-2</v>
      </c>
      <c r="E5">
        <v>0.1207</v>
      </c>
      <c r="F5">
        <v>0.11840000000000001</v>
      </c>
      <c r="G5">
        <v>0.1817</v>
      </c>
      <c r="H5">
        <v>0.82</v>
      </c>
      <c r="I5">
        <v>0.93</v>
      </c>
      <c r="J5">
        <v>5.2999999999999999E-2</v>
      </c>
      <c r="K5">
        <v>0.38540000000000002</v>
      </c>
      <c r="L5">
        <v>2.58E-2</v>
      </c>
      <c r="M5">
        <v>0.20230000000000001</v>
      </c>
      <c r="N5">
        <v>4.6100000000000002E-2</v>
      </c>
      <c r="O5">
        <v>1.04</v>
      </c>
      <c r="P5">
        <v>3.27</v>
      </c>
      <c r="Q5">
        <v>15.56</v>
      </c>
      <c r="R5">
        <v>26.53</v>
      </c>
      <c r="S5">
        <v>3.1</v>
      </c>
      <c r="T5">
        <v>58.86</v>
      </c>
      <c r="U5">
        <v>0.21290000000000001</v>
      </c>
      <c r="V5">
        <v>6.3700000000000007E-2</v>
      </c>
      <c r="W5">
        <v>2.3099999999999999E-2</v>
      </c>
      <c r="X5">
        <v>0.10489999999999999</v>
      </c>
      <c r="Y5">
        <v>2.5000000000000001E-2</v>
      </c>
      <c r="Z5">
        <v>1.6369</v>
      </c>
      <c r="AA5">
        <v>1.6369</v>
      </c>
      <c r="AB5">
        <v>0.12180000000000001</v>
      </c>
    </row>
    <row r="6" spans="1:28" ht="15.75" x14ac:dyDescent="0.25">
      <c r="A6" t="s">
        <v>348</v>
      </c>
      <c r="B6" t="s">
        <v>349</v>
      </c>
      <c r="C6">
        <v>32</v>
      </c>
      <c r="D6">
        <v>-7.7000000000000002E-3</v>
      </c>
      <c r="E6">
        <v>6.5500000000000003E-2</v>
      </c>
      <c r="F6">
        <v>9.1200000000000003E-2</v>
      </c>
      <c r="G6">
        <v>0.21870000000000001</v>
      </c>
      <c r="H6">
        <v>0.69</v>
      </c>
      <c r="I6">
        <v>0.87</v>
      </c>
      <c r="J6">
        <v>5.0599999999999999E-2</v>
      </c>
      <c r="K6">
        <v>0.45300000000000001</v>
      </c>
      <c r="L6">
        <v>0.03</v>
      </c>
      <c r="M6">
        <v>0.31059999999999999</v>
      </c>
      <c r="N6">
        <v>4.1700000000000001E-2</v>
      </c>
      <c r="O6">
        <v>1.48</v>
      </c>
      <c r="P6">
        <v>1.35</v>
      </c>
      <c r="Q6">
        <v>14.71</v>
      </c>
      <c r="R6">
        <v>20.13</v>
      </c>
      <c r="S6">
        <v>3.21</v>
      </c>
      <c r="T6">
        <v>23.82</v>
      </c>
      <c r="U6">
        <v>0.13</v>
      </c>
      <c r="V6">
        <v>3.0599999999999999E-2</v>
      </c>
      <c r="W6">
        <v>1.35E-2</v>
      </c>
      <c r="X6">
        <v>0.38729999999999998</v>
      </c>
      <c r="Y6">
        <v>0.14030000000000001</v>
      </c>
      <c r="Z6">
        <v>0.38929999999999998</v>
      </c>
      <c r="AA6">
        <v>0.38929999999999998</v>
      </c>
      <c r="AB6">
        <v>6.6100000000000006E-2</v>
      </c>
    </row>
    <row r="7" spans="1:28" ht="15.75" x14ac:dyDescent="0.25">
      <c r="A7" t="s">
        <v>350</v>
      </c>
      <c r="B7" t="s">
        <v>351</v>
      </c>
      <c r="C7">
        <v>21</v>
      </c>
      <c r="D7">
        <v>9.4200000000000006E-2</v>
      </c>
      <c r="E7">
        <v>6.2799999999999995E-2</v>
      </c>
      <c r="F7">
        <v>0.13320000000000001</v>
      </c>
      <c r="G7">
        <v>0.22370000000000001</v>
      </c>
      <c r="H7">
        <v>0.79</v>
      </c>
      <c r="I7">
        <v>0.91</v>
      </c>
      <c r="J7">
        <v>5.21E-2</v>
      </c>
      <c r="K7">
        <v>0.2868</v>
      </c>
      <c r="L7">
        <v>2.58E-2</v>
      </c>
      <c r="M7">
        <v>0.2407</v>
      </c>
      <c r="N7">
        <v>4.41E-2</v>
      </c>
      <c r="O7">
        <v>2.4500000000000002</v>
      </c>
      <c r="P7">
        <v>1.56</v>
      </c>
      <c r="Q7">
        <v>12.96</v>
      </c>
      <c r="R7">
        <v>25.63</v>
      </c>
      <c r="S7">
        <v>6.77</v>
      </c>
      <c r="T7">
        <v>48.61</v>
      </c>
      <c r="U7">
        <v>7.9699999999999993E-2</v>
      </c>
      <c r="V7">
        <v>5.8799999999999998E-2</v>
      </c>
      <c r="W7">
        <v>2.2599999999999999E-2</v>
      </c>
      <c r="X7">
        <v>0.68340000000000001</v>
      </c>
      <c r="Y7">
        <v>0.22770000000000001</v>
      </c>
      <c r="Z7">
        <v>0.5544</v>
      </c>
      <c r="AA7">
        <v>0.5544</v>
      </c>
      <c r="AB7">
        <v>6.0699999999999997E-2</v>
      </c>
    </row>
    <row r="8" spans="1:28" ht="15.75" x14ac:dyDescent="0.25">
      <c r="A8" t="s">
        <v>352</v>
      </c>
      <c r="B8" t="s">
        <v>353</v>
      </c>
      <c r="C8">
        <v>17</v>
      </c>
      <c r="D8">
        <v>-6.8199999999999997E-2</v>
      </c>
      <c r="E8">
        <v>-0.18990000000000001</v>
      </c>
      <c r="F8">
        <v>-0.16070000000000001</v>
      </c>
      <c r="G8">
        <v>0.88759999999999994</v>
      </c>
      <c r="H8">
        <v>0.92</v>
      </c>
      <c r="I8">
        <v>1.61</v>
      </c>
      <c r="J8">
        <v>8.5199999999999998E-2</v>
      </c>
      <c r="K8">
        <v>0.46150000000000002</v>
      </c>
      <c r="L8">
        <v>0.03</v>
      </c>
      <c r="M8">
        <v>0.61739999999999995</v>
      </c>
      <c r="N8">
        <v>4.6100000000000002E-2</v>
      </c>
      <c r="O8">
        <v>0.88</v>
      </c>
      <c r="P8">
        <v>1.97</v>
      </c>
      <c r="Q8">
        <v>34.43</v>
      </c>
      <c r="R8" t="s">
        <v>354</v>
      </c>
      <c r="S8">
        <v>3.22</v>
      </c>
      <c r="T8">
        <v>13.47</v>
      </c>
      <c r="U8">
        <v>1.7000000000000001E-2</v>
      </c>
      <c r="V8">
        <v>0.1183</v>
      </c>
      <c r="W8">
        <v>1.7999999999999999E-2</v>
      </c>
      <c r="X8" t="s">
        <v>354</v>
      </c>
      <c r="Y8">
        <v>-0.4703</v>
      </c>
      <c r="Z8">
        <v>8.9999999999999998E-4</v>
      </c>
      <c r="AA8">
        <v>8.9999999999999998E-4</v>
      </c>
      <c r="AB8">
        <v>-0.19350000000000001</v>
      </c>
    </row>
    <row r="9" spans="1:28" ht="15.75" x14ac:dyDescent="0.25">
      <c r="A9" t="s">
        <v>355</v>
      </c>
      <c r="B9" t="s">
        <v>356</v>
      </c>
      <c r="C9">
        <v>48</v>
      </c>
      <c r="D9">
        <v>0.22509999999999999</v>
      </c>
      <c r="E9">
        <v>7.2099999999999997E-2</v>
      </c>
      <c r="F9">
        <v>9.5299999999999996E-2</v>
      </c>
      <c r="G9">
        <v>9.1200000000000003E-2</v>
      </c>
      <c r="H9">
        <v>0.76</v>
      </c>
      <c r="I9">
        <v>0.99</v>
      </c>
      <c r="J9">
        <v>5.62E-2</v>
      </c>
      <c r="K9">
        <v>0.48060000000000003</v>
      </c>
      <c r="L9">
        <v>0.03</v>
      </c>
      <c r="M9">
        <v>0.3553</v>
      </c>
      <c r="N9">
        <v>4.3999999999999997E-2</v>
      </c>
      <c r="O9">
        <v>1.35</v>
      </c>
      <c r="P9">
        <v>1.52</v>
      </c>
      <c r="Q9">
        <v>10.01</v>
      </c>
      <c r="R9">
        <v>20.7</v>
      </c>
      <c r="S9">
        <v>2.96</v>
      </c>
      <c r="T9">
        <v>45.86</v>
      </c>
      <c r="U9">
        <v>0.1578</v>
      </c>
      <c r="V9">
        <v>6.3299999999999995E-2</v>
      </c>
      <c r="W9">
        <v>3.1600000000000003E-2</v>
      </c>
      <c r="X9">
        <v>0.18240000000000001</v>
      </c>
      <c r="Y9">
        <v>-1.8200000000000001E-2</v>
      </c>
      <c r="Z9">
        <v>4.4000000000000003E-3</v>
      </c>
      <c r="AA9">
        <v>4.4000000000000003E-3</v>
      </c>
      <c r="AB9">
        <v>7.2800000000000004E-2</v>
      </c>
    </row>
    <row r="10" spans="1:28" ht="15.75" x14ac:dyDescent="0.25">
      <c r="A10" t="s">
        <v>357</v>
      </c>
      <c r="B10" t="s">
        <v>358</v>
      </c>
      <c r="C10">
        <v>51</v>
      </c>
      <c r="D10">
        <v>-3.56E-2</v>
      </c>
      <c r="E10">
        <v>5.4899999999999997E-2</v>
      </c>
      <c r="F10">
        <v>7.5399999999999995E-2</v>
      </c>
      <c r="G10">
        <v>0.31409999999999999</v>
      </c>
      <c r="H10">
        <v>0.94</v>
      </c>
      <c r="I10">
        <v>1.1000000000000001</v>
      </c>
      <c r="J10">
        <v>6.1100000000000002E-2</v>
      </c>
      <c r="K10">
        <v>0.47839999999999999</v>
      </c>
      <c r="L10">
        <v>0.03</v>
      </c>
      <c r="M10">
        <v>0.28260000000000002</v>
      </c>
      <c r="N10">
        <v>0.05</v>
      </c>
      <c r="O10">
        <v>1.34</v>
      </c>
      <c r="P10">
        <v>2.0299999999999998</v>
      </c>
      <c r="Q10">
        <v>14.69</v>
      </c>
      <c r="R10">
        <v>33.979999999999997</v>
      </c>
      <c r="S10">
        <v>4.1100000000000003</v>
      </c>
      <c r="T10">
        <v>22.76</v>
      </c>
      <c r="U10">
        <v>0.24959999999999999</v>
      </c>
      <c r="V10">
        <v>2.52E-2</v>
      </c>
      <c r="W10">
        <v>1.6000000000000001E-3</v>
      </c>
      <c r="X10">
        <v>-1.4672000000000001</v>
      </c>
      <c r="Y10">
        <v>-8.1900000000000001E-2</v>
      </c>
      <c r="Z10">
        <v>3.2000000000000002E-3</v>
      </c>
      <c r="AA10">
        <v>3.2000000000000002E-3</v>
      </c>
      <c r="AB10">
        <v>5.91E-2</v>
      </c>
    </row>
    <row r="11" spans="1:28" ht="15.75" x14ac:dyDescent="0.25">
      <c r="A11" t="s">
        <v>359</v>
      </c>
      <c r="B11" t="s">
        <v>360</v>
      </c>
      <c r="C11">
        <v>140</v>
      </c>
      <c r="D11">
        <v>0.14180000000000001</v>
      </c>
      <c r="E11">
        <v>0.182</v>
      </c>
      <c r="F11">
        <v>0.34989999999999999</v>
      </c>
      <c r="G11">
        <v>0.2024</v>
      </c>
      <c r="H11">
        <v>0.68</v>
      </c>
      <c r="I11">
        <v>0.73</v>
      </c>
      <c r="J11">
        <v>4.3799999999999999E-2</v>
      </c>
      <c r="K11">
        <v>0.54659999999999997</v>
      </c>
      <c r="L11">
        <v>0.03</v>
      </c>
      <c r="M11">
        <v>0.1293</v>
      </c>
      <c r="N11">
        <v>4.0899999999999999E-2</v>
      </c>
      <c r="O11">
        <v>2.02</v>
      </c>
      <c r="P11">
        <v>4.09</v>
      </c>
      <c r="Q11">
        <v>17.600000000000001</v>
      </c>
      <c r="R11">
        <v>22.33</v>
      </c>
      <c r="S11">
        <v>9.06</v>
      </c>
      <c r="T11">
        <v>36.29</v>
      </c>
      <c r="U11">
        <v>8.8499999999999995E-2</v>
      </c>
      <c r="V11">
        <v>3.6499999999999998E-2</v>
      </c>
      <c r="W11">
        <v>1.2699999999999999E-2</v>
      </c>
      <c r="X11">
        <v>-2.5700000000000001E-2</v>
      </c>
      <c r="Y11">
        <v>0.316</v>
      </c>
      <c r="Z11">
        <v>0.60850000000000004</v>
      </c>
      <c r="AA11">
        <v>0.60850000000000004</v>
      </c>
      <c r="AB11">
        <v>0.1827</v>
      </c>
    </row>
    <row r="12" spans="1:28" ht="15.75" x14ac:dyDescent="0.25">
      <c r="A12" t="s">
        <v>361</v>
      </c>
      <c r="B12" t="s">
        <v>362</v>
      </c>
      <c r="C12">
        <v>388</v>
      </c>
      <c r="D12">
        <v>0.1893</v>
      </c>
      <c r="E12">
        <v>0.23300000000000001</v>
      </c>
      <c r="F12">
        <v>0.2228</v>
      </c>
      <c r="G12">
        <v>0.1414</v>
      </c>
      <c r="H12">
        <v>0.89</v>
      </c>
      <c r="I12">
        <v>0.91</v>
      </c>
      <c r="J12">
        <v>5.2299999999999999E-2</v>
      </c>
      <c r="K12">
        <v>0.47970000000000002</v>
      </c>
      <c r="L12">
        <v>0.03</v>
      </c>
      <c r="M12">
        <v>6.1499999999999999E-2</v>
      </c>
      <c r="N12">
        <v>5.0500000000000003E-2</v>
      </c>
      <c r="O12">
        <v>0.92</v>
      </c>
      <c r="P12">
        <v>11.82</v>
      </c>
      <c r="Q12">
        <v>30.42</v>
      </c>
      <c r="R12">
        <v>43.93</v>
      </c>
      <c r="S12">
        <v>14.07</v>
      </c>
      <c r="T12">
        <v>148.99</v>
      </c>
      <c r="U12">
        <v>0.13150000000000001</v>
      </c>
      <c r="V12">
        <v>6.8000000000000005E-2</v>
      </c>
      <c r="W12">
        <v>5.6000000000000001E-2</v>
      </c>
      <c r="X12">
        <v>0.33689999999999998</v>
      </c>
      <c r="Y12">
        <v>0.28089999999999998</v>
      </c>
      <c r="Z12">
        <v>0.29349999999999998</v>
      </c>
      <c r="AA12">
        <v>0.29349999999999998</v>
      </c>
      <c r="AB12">
        <v>0.249</v>
      </c>
    </row>
    <row r="13" spans="1:28" ht="15.75" x14ac:dyDescent="0.25">
      <c r="A13" t="s">
        <v>363</v>
      </c>
      <c r="B13" t="s">
        <v>364</v>
      </c>
      <c r="C13">
        <v>348</v>
      </c>
      <c r="D13">
        <v>6.4999999999999997E-3</v>
      </c>
      <c r="E13">
        <v>0.16950000000000001</v>
      </c>
      <c r="F13">
        <v>7.2400000000000006E-2</v>
      </c>
      <c r="G13">
        <v>0.1852</v>
      </c>
      <c r="H13">
        <v>0.78</v>
      </c>
      <c r="I13">
        <v>0.93</v>
      </c>
      <c r="J13">
        <v>5.3199999999999997E-2</v>
      </c>
      <c r="K13">
        <v>0.28849999999999998</v>
      </c>
      <c r="L13">
        <v>2.58E-2</v>
      </c>
      <c r="M13">
        <v>0.31140000000000001</v>
      </c>
      <c r="N13">
        <v>4.2500000000000003E-2</v>
      </c>
      <c r="O13">
        <v>0.45</v>
      </c>
      <c r="P13">
        <v>5.87</v>
      </c>
      <c r="Q13">
        <v>26.17</v>
      </c>
      <c r="R13">
        <v>30.6</v>
      </c>
      <c r="S13">
        <v>2.0499999999999998</v>
      </c>
      <c r="T13">
        <v>625.41</v>
      </c>
      <c r="U13" t="s">
        <v>354</v>
      </c>
      <c r="V13">
        <v>2.92E-2</v>
      </c>
      <c r="W13">
        <v>5.3100000000000001E-2</v>
      </c>
      <c r="X13">
        <v>0.46229999999999999</v>
      </c>
      <c r="Y13">
        <v>0.1235</v>
      </c>
      <c r="Z13">
        <v>0.52700000000000002</v>
      </c>
      <c r="AA13">
        <v>0.52700000000000002</v>
      </c>
      <c r="AB13">
        <v>0.16739999999999999</v>
      </c>
    </row>
    <row r="14" spans="1:28" ht="15.75" x14ac:dyDescent="0.25">
      <c r="A14" t="s">
        <v>365</v>
      </c>
      <c r="B14" t="s">
        <v>366</v>
      </c>
      <c r="C14">
        <v>30</v>
      </c>
      <c r="D14">
        <v>3.2000000000000001E-2</v>
      </c>
      <c r="E14">
        <v>6.4299999999999996E-2</v>
      </c>
      <c r="F14">
        <v>0.10100000000000001</v>
      </c>
      <c r="G14">
        <v>0.23180000000000001</v>
      </c>
      <c r="H14">
        <v>0.99</v>
      </c>
      <c r="I14">
        <v>1.3</v>
      </c>
      <c r="J14">
        <v>7.0599999999999996E-2</v>
      </c>
      <c r="K14">
        <v>0.42820000000000003</v>
      </c>
      <c r="L14">
        <v>0.03</v>
      </c>
      <c r="M14">
        <v>0.33210000000000001</v>
      </c>
      <c r="N14">
        <v>5.4399999999999997E-2</v>
      </c>
      <c r="O14">
        <v>2.09</v>
      </c>
      <c r="P14">
        <v>1.24</v>
      </c>
      <c r="Q14">
        <v>11.56</v>
      </c>
      <c r="R14">
        <v>19.84</v>
      </c>
      <c r="S14">
        <v>5.99</v>
      </c>
      <c r="T14">
        <v>17.52</v>
      </c>
      <c r="U14">
        <v>0.1095</v>
      </c>
      <c r="V14">
        <v>1.8100000000000002E-2</v>
      </c>
      <c r="W14">
        <v>1.72E-2</v>
      </c>
      <c r="X14">
        <v>-0.2316</v>
      </c>
      <c r="Y14">
        <v>0.36280000000000001</v>
      </c>
      <c r="Z14">
        <v>3.7199999999999997E-2</v>
      </c>
      <c r="AA14">
        <v>3.7199999999999997E-2</v>
      </c>
      <c r="AB14">
        <v>5.4800000000000001E-2</v>
      </c>
    </row>
    <row r="15" spans="1:28" ht="15.75" x14ac:dyDescent="0.25">
      <c r="A15" t="s">
        <v>38</v>
      </c>
      <c r="B15" t="s">
        <v>367</v>
      </c>
      <c r="C15">
        <v>19</v>
      </c>
      <c r="D15">
        <v>0.12189999999999999</v>
      </c>
      <c r="E15">
        <v>1.9300000000000001E-2</v>
      </c>
      <c r="F15">
        <v>1.17E-2</v>
      </c>
      <c r="G15">
        <v>0.2848</v>
      </c>
      <c r="H15">
        <v>1.05</v>
      </c>
      <c r="I15">
        <v>1.28</v>
      </c>
      <c r="J15">
        <v>6.9800000000000001E-2</v>
      </c>
      <c r="K15">
        <v>0.45240000000000002</v>
      </c>
      <c r="L15">
        <v>0.03</v>
      </c>
      <c r="M15">
        <v>0.27879999999999999</v>
      </c>
      <c r="N15">
        <v>5.6500000000000002E-2</v>
      </c>
      <c r="O15">
        <v>0.74</v>
      </c>
      <c r="P15">
        <v>3.58</v>
      </c>
      <c r="Q15">
        <v>45.73</v>
      </c>
      <c r="R15">
        <v>177.76</v>
      </c>
      <c r="S15">
        <v>7.58</v>
      </c>
      <c r="T15">
        <v>261.56</v>
      </c>
      <c r="U15">
        <v>-6.9400000000000003E-2</v>
      </c>
      <c r="V15">
        <v>0.1024</v>
      </c>
      <c r="W15">
        <v>4.6100000000000002E-2</v>
      </c>
      <c r="X15">
        <v>1.8440000000000001</v>
      </c>
      <c r="Y15">
        <v>4.4900000000000002E-2</v>
      </c>
      <c r="Z15">
        <v>0.64580000000000004</v>
      </c>
      <c r="AA15">
        <v>0.64580000000000004</v>
      </c>
      <c r="AB15">
        <v>1.7299999999999999E-2</v>
      </c>
    </row>
    <row r="16" spans="1:28" ht="15.75" x14ac:dyDescent="0.25">
      <c r="A16" t="s">
        <v>368</v>
      </c>
      <c r="B16" t="s">
        <v>369</v>
      </c>
      <c r="C16">
        <v>52</v>
      </c>
      <c r="D16">
        <v>4.02E-2</v>
      </c>
      <c r="E16">
        <v>4.0099999999999997E-2</v>
      </c>
      <c r="F16">
        <v>6.4600000000000005E-2</v>
      </c>
      <c r="G16">
        <v>0.32650000000000001</v>
      </c>
      <c r="H16">
        <v>1.0900000000000001</v>
      </c>
      <c r="I16">
        <v>1.2</v>
      </c>
      <c r="J16">
        <v>6.6100000000000006E-2</v>
      </c>
      <c r="K16">
        <v>0.43159999999999998</v>
      </c>
      <c r="L16">
        <v>0.03</v>
      </c>
      <c r="M16">
        <v>0.19600000000000001</v>
      </c>
      <c r="N16">
        <v>5.74E-2</v>
      </c>
      <c r="O16">
        <v>1.82</v>
      </c>
      <c r="P16">
        <v>1.6</v>
      </c>
      <c r="Q16">
        <v>10.07</v>
      </c>
      <c r="R16">
        <v>23.28</v>
      </c>
      <c r="S16">
        <v>4.78</v>
      </c>
      <c r="T16">
        <v>55.56</v>
      </c>
      <c r="U16">
        <v>0.1384</v>
      </c>
      <c r="V16">
        <v>3.7100000000000001E-2</v>
      </c>
      <c r="W16">
        <v>2.0899999999999998E-2</v>
      </c>
      <c r="X16">
        <v>0.30070000000000002</v>
      </c>
      <c r="Y16">
        <v>-0.1431</v>
      </c>
      <c r="Z16">
        <v>4.1999999999999997E-3</v>
      </c>
      <c r="AA16">
        <v>4.1999999999999997E-3</v>
      </c>
      <c r="AB16">
        <v>3.85E-2</v>
      </c>
    </row>
    <row r="17" spans="1:28" ht="15.75" x14ac:dyDescent="0.25">
      <c r="A17" t="s">
        <v>370</v>
      </c>
      <c r="B17" t="s">
        <v>371</v>
      </c>
      <c r="C17">
        <v>7</v>
      </c>
      <c r="D17">
        <v>-7.7999999999999996E-3</v>
      </c>
      <c r="E17">
        <v>0</v>
      </c>
      <c r="F17">
        <v>-1E-4</v>
      </c>
      <c r="G17">
        <v>0.1404</v>
      </c>
      <c r="H17">
        <v>0.6</v>
      </c>
      <c r="I17">
        <v>0.83</v>
      </c>
      <c r="J17">
        <v>4.8399999999999999E-2</v>
      </c>
      <c r="K17">
        <v>0.21590000000000001</v>
      </c>
      <c r="L17">
        <v>1.9199999999999998E-2</v>
      </c>
      <c r="M17">
        <v>0.68369999999999997</v>
      </c>
      <c r="N17">
        <v>2.4899999999999999E-2</v>
      </c>
      <c r="O17">
        <v>0.14000000000000001</v>
      </c>
      <c r="P17">
        <v>5.32</v>
      </c>
      <c r="Q17" t="s">
        <v>354</v>
      </c>
      <c r="R17" t="s">
        <v>354</v>
      </c>
      <c r="S17">
        <v>1</v>
      </c>
      <c r="T17">
        <v>14.86</v>
      </c>
      <c r="U17" t="s">
        <v>354</v>
      </c>
      <c r="V17">
        <v>1.06E-2</v>
      </c>
      <c r="W17">
        <v>1.06E-2</v>
      </c>
      <c r="X17" t="s">
        <v>354</v>
      </c>
      <c r="Y17">
        <v>7.4099999999999999E-2</v>
      </c>
      <c r="Z17">
        <v>0.46949999999999997</v>
      </c>
      <c r="AA17">
        <v>0.46949999999999997</v>
      </c>
      <c r="AB17">
        <v>-1.1000000000000001E-3</v>
      </c>
    </row>
    <row r="18" spans="1:28" ht="15.75" x14ac:dyDescent="0.25">
      <c r="A18" t="s">
        <v>372</v>
      </c>
      <c r="B18" t="s">
        <v>373</v>
      </c>
      <c r="C18">
        <v>598</v>
      </c>
      <c r="D18">
        <v>8.8200000000000001E-2</v>
      </c>
      <c r="E18">
        <v>0</v>
      </c>
      <c r="F18">
        <v>-8.0000000000000004E-4</v>
      </c>
      <c r="G18">
        <v>0.1895</v>
      </c>
      <c r="H18">
        <v>0.6</v>
      </c>
      <c r="I18">
        <v>0.64</v>
      </c>
      <c r="J18">
        <v>3.9699999999999999E-2</v>
      </c>
      <c r="K18">
        <v>0.1948</v>
      </c>
      <c r="L18">
        <v>1.9199999999999998E-2</v>
      </c>
      <c r="M18">
        <v>0.37980000000000003</v>
      </c>
      <c r="N18">
        <v>0.03</v>
      </c>
      <c r="O18">
        <v>0.24</v>
      </c>
      <c r="P18">
        <v>4.47</v>
      </c>
      <c r="Q18" t="s">
        <v>354</v>
      </c>
      <c r="R18" t="s">
        <v>354</v>
      </c>
      <c r="S18">
        <v>1.08</v>
      </c>
      <c r="T18">
        <v>15.39</v>
      </c>
      <c r="U18" t="s">
        <v>354</v>
      </c>
      <c r="V18">
        <v>4.3700000000000003E-2</v>
      </c>
      <c r="W18">
        <v>2.01E-2</v>
      </c>
      <c r="X18" t="s">
        <v>354</v>
      </c>
      <c r="Y18">
        <v>8.2199999999999995E-2</v>
      </c>
      <c r="Z18">
        <v>0.44350000000000001</v>
      </c>
      <c r="AA18">
        <v>0.44350000000000001</v>
      </c>
      <c r="AB18">
        <v>-4.1000000000000003E-3</v>
      </c>
    </row>
    <row r="19" spans="1:28" ht="15.75" x14ac:dyDescent="0.25">
      <c r="A19" t="s">
        <v>374</v>
      </c>
      <c r="B19" t="s">
        <v>375</v>
      </c>
      <c r="C19">
        <v>29</v>
      </c>
      <c r="D19">
        <v>5.1000000000000004E-3</v>
      </c>
      <c r="E19">
        <v>0.18060000000000001</v>
      </c>
      <c r="F19">
        <v>0.13439999999999999</v>
      </c>
      <c r="G19">
        <v>0.20760000000000001</v>
      </c>
      <c r="H19">
        <v>0.89</v>
      </c>
      <c r="I19">
        <v>1.02</v>
      </c>
      <c r="J19">
        <v>5.7700000000000001E-2</v>
      </c>
      <c r="K19">
        <v>0.2994</v>
      </c>
      <c r="L19">
        <v>2.58E-2</v>
      </c>
      <c r="M19">
        <v>0.22919999999999999</v>
      </c>
      <c r="N19">
        <v>4.8800000000000003E-2</v>
      </c>
      <c r="O19">
        <v>0.79</v>
      </c>
      <c r="P19">
        <v>2.8</v>
      </c>
      <c r="Q19">
        <v>11.37</v>
      </c>
      <c r="R19">
        <v>15.12</v>
      </c>
      <c r="S19">
        <v>1.86</v>
      </c>
      <c r="T19">
        <v>27.98</v>
      </c>
      <c r="U19">
        <v>1.4800000000000001E-2</v>
      </c>
      <c r="V19">
        <v>5.0799999999999998E-2</v>
      </c>
      <c r="W19">
        <v>2.9700000000000001E-2</v>
      </c>
      <c r="X19">
        <v>0.2049</v>
      </c>
      <c r="Y19">
        <v>0.1062</v>
      </c>
      <c r="Z19">
        <v>0.14319999999999999</v>
      </c>
      <c r="AA19">
        <v>0.14319999999999999</v>
      </c>
      <c r="AB19">
        <v>0.18140000000000001</v>
      </c>
    </row>
    <row r="20" spans="1:28" ht="15.75" x14ac:dyDescent="0.25">
      <c r="A20" t="s">
        <v>376</v>
      </c>
      <c r="B20" t="s">
        <v>377</v>
      </c>
      <c r="C20">
        <v>86</v>
      </c>
      <c r="D20">
        <v>4.02E-2</v>
      </c>
      <c r="E20">
        <v>0.1147</v>
      </c>
      <c r="F20">
        <v>0.1075</v>
      </c>
      <c r="G20">
        <v>0.51980000000000004</v>
      </c>
      <c r="H20">
        <v>0.82</v>
      </c>
      <c r="I20">
        <v>0.9</v>
      </c>
      <c r="J20">
        <v>5.1999999999999998E-2</v>
      </c>
      <c r="K20">
        <v>0.6784</v>
      </c>
      <c r="L20">
        <v>4.0899999999999999E-2</v>
      </c>
      <c r="M20">
        <v>0.19259999999999999</v>
      </c>
      <c r="N20">
        <v>4.7699999999999999E-2</v>
      </c>
      <c r="O20">
        <v>0.97</v>
      </c>
      <c r="P20">
        <v>3</v>
      </c>
      <c r="Q20">
        <v>13.9</v>
      </c>
      <c r="R20">
        <v>25.92</v>
      </c>
      <c r="S20">
        <v>3.29</v>
      </c>
      <c r="T20">
        <v>44.42</v>
      </c>
      <c r="U20">
        <v>0.14299999999999999</v>
      </c>
      <c r="V20">
        <v>8.9800000000000005E-2</v>
      </c>
      <c r="W20">
        <v>1.03E-2</v>
      </c>
      <c r="X20">
        <v>-7.46E-2</v>
      </c>
      <c r="Y20">
        <v>2.6700000000000002E-2</v>
      </c>
      <c r="Z20">
        <v>1.9736</v>
      </c>
      <c r="AA20">
        <v>1.9736</v>
      </c>
      <c r="AB20">
        <v>0.11260000000000001</v>
      </c>
    </row>
    <row r="21" spans="1:28" ht="15.75" x14ac:dyDescent="0.25">
      <c r="A21" t="s">
        <v>378</v>
      </c>
      <c r="B21" t="s">
        <v>379</v>
      </c>
      <c r="C21">
        <v>23</v>
      </c>
      <c r="D21">
        <v>0.1439</v>
      </c>
      <c r="E21">
        <v>0.2387</v>
      </c>
      <c r="F21">
        <v>0.14430000000000001</v>
      </c>
      <c r="G21">
        <v>0.18360000000000001</v>
      </c>
      <c r="H21">
        <v>0.68</v>
      </c>
      <c r="I21">
        <v>0.78</v>
      </c>
      <c r="J21">
        <v>4.5999999999999999E-2</v>
      </c>
      <c r="K21">
        <v>0.37009999999999998</v>
      </c>
      <c r="L21">
        <v>2.58E-2</v>
      </c>
      <c r="M21">
        <v>0.18970000000000001</v>
      </c>
      <c r="N21">
        <v>4.0899999999999999E-2</v>
      </c>
      <c r="O21">
        <v>0.64</v>
      </c>
      <c r="P21">
        <v>5.3</v>
      </c>
      <c r="Q21">
        <v>17.61</v>
      </c>
      <c r="R21">
        <v>22.21</v>
      </c>
      <c r="S21">
        <v>3.45</v>
      </c>
      <c r="T21">
        <v>32.39</v>
      </c>
      <c r="U21">
        <v>0.1525</v>
      </c>
      <c r="V21">
        <v>6.3799999999999996E-2</v>
      </c>
      <c r="W21">
        <v>4.4900000000000002E-2</v>
      </c>
      <c r="X21">
        <v>0.24110000000000001</v>
      </c>
      <c r="Y21">
        <v>0.10100000000000001</v>
      </c>
      <c r="Z21">
        <v>0.4158</v>
      </c>
      <c r="AA21">
        <v>0.4158</v>
      </c>
      <c r="AB21">
        <v>0.2384</v>
      </c>
    </row>
    <row r="22" spans="1:28" ht="15.75" x14ac:dyDescent="0.25">
      <c r="A22" t="s">
        <v>380</v>
      </c>
      <c r="B22" t="s">
        <v>381</v>
      </c>
      <c r="C22">
        <v>41</v>
      </c>
      <c r="D22">
        <v>0.27079999999999999</v>
      </c>
      <c r="E22">
        <v>0.19980000000000001</v>
      </c>
      <c r="F22">
        <v>0.26740000000000003</v>
      </c>
      <c r="G22">
        <v>0.186</v>
      </c>
      <c r="H22">
        <v>0.71</v>
      </c>
      <c r="I22">
        <v>0.79</v>
      </c>
      <c r="J22">
        <v>4.6600000000000003E-2</v>
      </c>
      <c r="K22">
        <v>0.497</v>
      </c>
      <c r="L22">
        <v>0.03</v>
      </c>
      <c r="M22">
        <v>0.17760000000000001</v>
      </c>
      <c r="N22">
        <v>4.2200000000000001E-2</v>
      </c>
      <c r="O22">
        <v>1.37</v>
      </c>
      <c r="P22">
        <v>5.08</v>
      </c>
      <c r="Q22">
        <v>20.74</v>
      </c>
      <c r="R22">
        <v>25.22</v>
      </c>
      <c r="S22">
        <v>8.5</v>
      </c>
      <c r="T22">
        <v>116.72</v>
      </c>
      <c r="U22">
        <v>-9.5399999999999999E-2</v>
      </c>
      <c r="V22">
        <v>5.4199999999999998E-2</v>
      </c>
      <c r="W22">
        <v>7.4099999999999999E-2</v>
      </c>
      <c r="X22">
        <v>0.37009999999999998</v>
      </c>
      <c r="Y22">
        <v>0.28860000000000002</v>
      </c>
      <c r="Z22">
        <v>0.7419</v>
      </c>
      <c r="AA22">
        <v>0.7419</v>
      </c>
      <c r="AB22">
        <v>0.2011</v>
      </c>
    </row>
    <row r="23" spans="1:28" ht="15.75" x14ac:dyDescent="0.25">
      <c r="A23" t="s">
        <v>382</v>
      </c>
      <c r="B23" t="s">
        <v>383</v>
      </c>
      <c r="C23">
        <v>139</v>
      </c>
      <c r="D23">
        <v>0.1502</v>
      </c>
      <c r="E23">
        <v>0.13139999999999999</v>
      </c>
      <c r="F23">
        <v>0.16350000000000001</v>
      </c>
      <c r="G23">
        <v>0.1643</v>
      </c>
      <c r="H23">
        <v>0.75</v>
      </c>
      <c r="I23">
        <v>0.79</v>
      </c>
      <c r="J23">
        <v>4.6600000000000003E-2</v>
      </c>
      <c r="K23">
        <v>0.42449999999999999</v>
      </c>
      <c r="L23">
        <v>0.03</v>
      </c>
      <c r="M23">
        <v>0.1079</v>
      </c>
      <c r="N23">
        <v>4.3999999999999997E-2</v>
      </c>
      <c r="O23">
        <v>1.24</v>
      </c>
      <c r="P23">
        <v>7.33</v>
      </c>
      <c r="Q23">
        <v>29.32</v>
      </c>
      <c r="R23">
        <v>50.49</v>
      </c>
      <c r="S23">
        <v>7.12</v>
      </c>
      <c r="T23">
        <v>162.96</v>
      </c>
      <c r="U23">
        <v>0.23069999999999999</v>
      </c>
      <c r="V23">
        <v>3.8199999999999998E-2</v>
      </c>
      <c r="W23">
        <v>6.9999999999999999E-4</v>
      </c>
      <c r="X23">
        <v>0.1028</v>
      </c>
      <c r="Y23">
        <v>0.1411</v>
      </c>
      <c r="Z23">
        <v>0.1055</v>
      </c>
      <c r="AA23">
        <v>0.1055</v>
      </c>
      <c r="AB23">
        <v>0.13689999999999999</v>
      </c>
    </row>
    <row r="24" spans="1:28" ht="15.75" x14ac:dyDescent="0.25">
      <c r="A24" t="s">
        <v>384</v>
      </c>
      <c r="B24" t="s">
        <v>385</v>
      </c>
      <c r="C24">
        <v>29</v>
      </c>
      <c r="D24">
        <v>5.8000000000000003E-2</v>
      </c>
      <c r="E24">
        <v>0.193</v>
      </c>
      <c r="F24">
        <v>0.16919999999999999</v>
      </c>
      <c r="G24">
        <v>0.2316</v>
      </c>
      <c r="H24">
        <v>0.65</v>
      </c>
      <c r="I24">
        <v>1.1299999999999999</v>
      </c>
      <c r="J24">
        <v>6.2600000000000003E-2</v>
      </c>
      <c r="K24">
        <v>0.4556</v>
      </c>
      <c r="L24">
        <v>0.03</v>
      </c>
      <c r="M24">
        <v>0.54900000000000004</v>
      </c>
      <c r="N24">
        <v>4.02E-2</v>
      </c>
      <c r="O24">
        <v>0.98</v>
      </c>
      <c r="P24">
        <v>2.08</v>
      </c>
      <c r="Q24">
        <v>7.84</v>
      </c>
      <c r="R24">
        <v>10.93</v>
      </c>
      <c r="S24">
        <v>1.58</v>
      </c>
      <c r="T24">
        <v>12.42</v>
      </c>
      <c r="U24">
        <v>0.15709999999999999</v>
      </c>
      <c r="V24">
        <v>2.7400000000000001E-2</v>
      </c>
      <c r="W24">
        <v>-1.0500000000000001E-2</v>
      </c>
      <c r="X24">
        <v>1.1106</v>
      </c>
      <c r="Y24">
        <v>2.3999999999999998E-3</v>
      </c>
      <c r="Z24">
        <v>1.6999999999999999E-3</v>
      </c>
      <c r="AA24">
        <v>1.6999999999999999E-3</v>
      </c>
      <c r="AB24">
        <v>0.1903</v>
      </c>
    </row>
    <row r="25" spans="1:28" ht="15.75" x14ac:dyDescent="0.25">
      <c r="A25" t="s">
        <v>386</v>
      </c>
      <c r="B25" t="s">
        <v>387</v>
      </c>
      <c r="C25">
        <v>42</v>
      </c>
      <c r="D25">
        <v>7.4700000000000003E-2</v>
      </c>
      <c r="E25">
        <v>0.108</v>
      </c>
      <c r="F25">
        <v>0.2417</v>
      </c>
      <c r="G25">
        <v>0.2626</v>
      </c>
      <c r="H25">
        <v>0.97</v>
      </c>
      <c r="I25">
        <v>1.0900000000000001</v>
      </c>
      <c r="J25">
        <v>6.0699999999999997E-2</v>
      </c>
      <c r="K25">
        <v>0.33989999999999998</v>
      </c>
      <c r="L25">
        <v>2.58E-2</v>
      </c>
      <c r="M25">
        <v>0.2082</v>
      </c>
      <c r="N25">
        <v>5.1999999999999998E-2</v>
      </c>
      <c r="O25">
        <v>2.59</v>
      </c>
      <c r="P25">
        <v>2</v>
      </c>
      <c r="Q25">
        <v>13.27</v>
      </c>
      <c r="R25">
        <v>18.170000000000002</v>
      </c>
      <c r="S25">
        <v>4.9800000000000004</v>
      </c>
      <c r="T25">
        <v>25.63</v>
      </c>
      <c r="U25">
        <v>0.1545</v>
      </c>
      <c r="V25">
        <v>2.4400000000000002E-2</v>
      </c>
      <c r="W25">
        <v>4.4999999999999997E-3</v>
      </c>
      <c r="X25">
        <v>-2.46E-2</v>
      </c>
      <c r="Y25">
        <v>0.2054</v>
      </c>
      <c r="Z25">
        <v>0.21490000000000001</v>
      </c>
      <c r="AA25">
        <v>0.21490000000000001</v>
      </c>
      <c r="AB25">
        <v>0.10979999999999999</v>
      </c>
    </row>
    <row r="26" spans="1:28" ht="15.75" x14ac:dyDescent="0.25">
      <c r="A26" t="s">
        <v>388</v>
      </c>
      <c r="B26" t="s">
        <v>389</v>
      </c>
      <c r="C26">
        <v>169</v>
      </c>
      <c r="D26">
        <v>7.5300000000000006E-2</v>
      </c>
      <c r="E26">
        <v>8.8800000000000004E-2</v>
      </c>
      <c r="F26">
        <v>0.18329999999999999</v>
      </c>
      <c r="G26">
        <v>0.2384</v>
      </c>
      <c r="H26">
        <v>0.83</v>
      </c>
      <c r="I26">
        <v>0.93</v>
      </c>
      <c r="J26">
        <v>5.2999999999999999E-2</v>
      </c>
      <c r="K26">
        <v>0.45650000000000002</v>
      </c>
      <c r="L26">
        <v>0.03</v>
      </c>
      <c r="M26">
        <v>0.19819999999999999</v>
      </c>
      <c r="N26">
        <v>4.6899999999999997E-2</v>
      </c>
      <c r="O26">
        <v>2.16</v>
      </c>
      <c r="P26">
        <v>2.97</v>
      </c>
      <c r="Q26">
        <v>17.399999999999999</v>
      </c>
      <c r="R26">
        <v>31.21</v>
      </c>
      <c r="S26">
        <v>5.85</v>
      </c>
      <c r="T26">
        <v>44.22</v>
      </c>
      <c r="U26">
        <v>0.1384</v>
      </c>
      <c r="V26">
        <v>3.1399999999999997E-2</v>
      </c>
      <c r="W26">
        <v>3.3999999999999998E-3</v>
      </c>
      <c r="X26">
        <v>-0.11509999999999999</v>
      </c>
      <c r="Y26">
        <v>6.8099999999999994E-2</v>
      </c>
      <c r="Z26">
        <v>0.65869999999999995</v>
      </c>
      <c r="AA26">
        <v>0.65869999999999995</v>
      </c>
      <c r="AB26">
        <v>9.1800000000000007E-2</v>
      </c>
    </row>
    <row r="27" spans="1:28" ht="15.75" x14ac:dyDescent="0.25">
      <c r="A27" t="s">
        <v>390</v>
      </c>
      <c r="B27" t="s">
        <v>391</v>
      </c>
      <c r="C27">
        <v>235</v>
      </c>
      <c r="D27">
        <v>9.0800000000000006E-2</v>
      </c>
      <c r="E27">
        <v>0.1232</v>
      </c>
      <c r="F27">
        <v>4.0000000000000001E-3</v>
      </c>
      <c r="G27">
        <v>0.19209999999999999</v>
      </c>
      <c r="H27">
        <v>0.11</v>
      </c>
      <c r="I27">
        <v>0.8</v>
      </c>
      <c r="J27">
        <v>4.6899999999999997E-2</v>
      </c>
      <c r="K27">
        <v>0.27739999999999998</v>
      </c>
      <c r="L27">
        <v>2.58E-2</v>
      </c>
      <c r="M27">
        <v>0.89959999999999996</v>
      </c>
      <c r="N27">
        <v>2.1700000000000001E-2</v>
      </c>
      <c r="O27">
        <v>0.04</v>
      </c>
      <c r="P27">
        <v>31.49</v>
      </c>
      <c r="Q27" t="s">
        <v>354</v>
      </c>
      <c r="R27" t="s">
        <v>354</v>
      </c>
      <c r="S27">
        <v>2.23</v>
      </c>
      <c r="T27">
        <v>21.86</v>
      </c>
      <c r="U27" t="s">
        <v>354</v>
      </c>
      <c r="V27">
        <v>6.9900000000000004E-2</v>
      </c>
      <c r="W27">
        <v>0.13200000000000001</v>
      </c>
      <c r="X27">
        <v>1.2262</v>
      </c>
      <c r="Y27">
        <v>0.64280000000000004</v>
      </c>
      <c r="Z27">
        <v>0.23860000000000001</v>
      </c>
      <c r="AA27">
        <v>0.23860000000000001</v>
      </c>
      <c r="AB27">
        <v>0.12230000000000001</v>
      </c>
    </row>
    <row r="28" spans="1:28" ht="15.75" x14ac:dyDescent="0.25">
      <c r="A28" t="s">
        <v>392</v>
      </c>
      <c r="B28" t="s">
        <v>393</v>
      </c>
      <c r="C28">
        <v>30</v>
      </c>
      <c r="D28">
        <v>0.13519999999999999</v>
      </c>
      <c r="E28">
        <v>0.1181</v>
      </c>
      <c r="F28">
        <v>0.1358</v>
      </c>
      <c r="G28">
        <v>0.20300000000000001</v>
      </c>
      <c r="H28">
        <v>1.33</v>
      </c>
      <c r="I28">
        <v>1.46</v>
      </c>
      <c r="J28">
        <v>7.8200000000000006E-2</v>
      </c>
      <c r="K28">
        <v>0.36559999999999998</v>
      </c>
      <c r="L28">
        <v>2.58E-2</v>
      </c>
      <c r="M28">
        <v>0.24660000000000001</v>
      </c>
      <c r="N28">
        <v>6.3500000000000001E-2</v>
      </c>
      <c r="O28">
        <v>1.37</v>
      </c>
      <c r="P28">
        <v>1.21</v>
      </c>
      <c r="Q28">
        <v>9.5399999999999991</v>
      </c>
      <c r="R28">
        <v>10.23</v>
      </c>
      <c r="S28">
        <v>1.75</v>
      </c>
      <c r="T28">
        <v>17.34</v>
      </c>
      <c r="U28">
        <v>0.66100000000000003</v>
      </c>
      <c r="V28">
        <v>7.4000000000000003E-3</v>
      </c>
      <c r="W28">
        <v>6.3E-3</v>
      </c>
      <c r="X28">
        <v>-0.10150000000000001</v>
      </c>
      <c r="Y28">
        <v>0.17699999999999999</v>
      </c>
      <c r="Z28">
        <v>7.5800000000000006E-2</v>
      </c>
      <c r="AA28">
        <v>7.5800000000000006E-2</v>
      </c>
      <c r="AB28">
        <v>0.1182</v>
      </c>
    </row>
    <row r="29" spans="1:28" ht="15.75" x14ac:dyDescent="0.25">
      <c r="A29" t="s">
        <v>394</v>
      </c>
      <c r="B29" t="s">
        <v>395</v>
      </c>
      <c r="C29">
        <v>13</v>
      </c>
      <c r="D29">
        <v>6.7000000000000004E-2</v>
      </c>
      <c r="E29">
        <v>0.18149999999999999</v>
      </c>
      <c r="F29">
        <v>0.1109</v>
      </c>
      <c r="G29">
        <v>0.2233</v>
      </c>
      <c r="H29">
        <v>0.7</v>
      </c>
      <c r="I29">
        <v>0.94</v>
      </c>
      <c r="J29">
        <v>5.3800000000000001E-2</v>
      </c>
      <c r="K29">
        <v>0.32019999999999998</v>
      </c>
      <c r="L29">
        <v>2.58E-2</v>
      </c>
      <c r="M29">
        <v>0.34189999999999998</v>
      </c>
      <c r="N29">
        <v>4.1799999999999997E-2</v>
      </c>
      <c r="O29">
        <v>0.76</v>
      </c>
      <c r="P29">
        <v>3.85</v>
      </c>
      <c r="Q29">
        <v>11.11</v>
      </c>
      <c r="R29">
        <v>20.2</v>
      </c>
      <c r="S29">
        <v>3.13</v>
      </c>
      <c r="T29">
        <v>63.68</v>
      </c>
      <c r="U29">
        <v>-1.35E-2</v>
      </c>
      <c r="V29">
        <v>0.1094</v>
      </c>
      <c r="W29">
        <v>-1.7399999999999999E-2</v>
      </c>
      <c r="X29">
        <v>-0.15010000000000001</v>
      </c>
      <c r="Y29">
        <v>0.1147</v>
      </c>
      <c r="Z29">
        <v>0.26200000000000001</v>
      </c>
      <c r="AA29">
        <v>0.26200000000000001</v>
      </c>
      <c r="AB29">
        <v>0.1807</v>
      </c>
    </row>
    <row r="30" spans="1:28" ht="15.75" x14ac:dyDescent="0.25">
      <c r="A30" t="s">
        <v>396</v>
      </c>
      <c r="B30" t="s">
        <v>397</v>
      </c>
      <c r="C30">
        <v>46</v>
      </c>
      <c r="D30">
        <v>3.5000000000000003E-2</v>
      </c>
      <c r="E30">
        <v>9.4100000000000003E-2</v>
      </c>
      <c r="F30">
        <v>9.9299999999999999E-2</v>
      </c>
      <c r="G30">
        <v>0.22989999999999999</v>
      </c>
      <c r="H30">
        <v>0.87</v>
      </c>
      <c r="I30">
        <v>1.02</v>
      </c>
      <c r="J30">
        <v>5.7500000000000002E-2</v>
      </c>
      <c r="K30">
        <v>0.33389999999999997</v>
      </c>
      <c r="L30">
        <v>2.58E-2</v>
      </c>
      <c r="M30">
        <v>0.25800000000000001</v>
      </c>
      <c r="N30">
        <v>4.7500000000000001E-2</v>
      </c>
      <c r="O30">
        <v>1.21</v>
      </c>
      <c r="P30">
        <v>2.27</v>
      </c>
      <c r="Q30">
        <v>15.23</v>
      </c>
      <c r="R30">
        <v>23.47</v>
      </c>
      <c r="S30">
        <v>3.82</v>
      </c>
      <c r="T30">
        <v>108.4</v>
      </c>
      <c r="U30">
        <v>0.17230000000000001</v>
      </c>
      <c r="V30">
        <v>5.21E-2</v>
      </c>
      <c r="W30">
        <v>1.9599999999999999E-2</v>
      </c>
      <c r="X30">
        <v>-8.2600000000000007E-2</v>
      </c>
      <c r="Y30">
        <v>0.13200000000000001</v>
      </c>
      <c r="Z30">
        <v>0.4985</v>
      </c>
      <c r="AA30">
        <v>0.4985</v>
      </c>
      <c r="AB30">
        <v>9.2499999999999999E-2</v>
      </c>
    </row>
    <row r="31" spans="1:28" ht="15.75" x14ac:dyDescent="0.25">
      <c r="A31" t="s">
        <v>398</v>
      </c>
      <c r="B31" t="s">
        <v>399</v>
      </c>
      <c r="C31">
        <v>5</v>
      </c>
      <c r="D31">
        <v>0.28989999999999999</v>
      </c>
      <c r="E31">
        <v>5.8099999999999999E-2</v>
      </c>
      <c r="F31">
        <v>5.9299999999999999E-2</v>
      </c>
      <c r="G31">
        <v>5.7000000000000002E-2</v>
      </c>
      <c r="H31">
        <v>1.04</v>
      </c>
      <c r="I31">
        <v>1.36</v>
      </c>
      <c r="J31">
        <v>7.3599999999999999E-2</v>
      </c>
      <c r="K31">
        <v>0.36159999999999998</v>
      </c>
      <c r="L31">
        <v>2.58E-2</v>
      </c>
      <c r="M31">
        <v>0.36749999999999999</v>
      </c>
      <c r="N31">
        <v>5.3499999999999999E-2</v>
      </c>
      <c r="O31">
        <v>1.03</v>
      </c>
      <c r="P31">
        <v>1.72</v>
      </c>
      <c r="Q31">
        <v>13.38</v>
      </c>
      <c r="R31">
        <v>29.25</v>
      </c>
      <c r="S31">
        <v>2.1800000000000002</v>
      </c>
      <c r="T31">
        <v>17.190000000000001</v>
      </c>
      <c r="U31">
        <v>0.17680000000000001</v>
      </c>
      <c r="V31">
        <v>5.0700000000000002E-2</v>
      </c>
      <c r="W31">
        <v>2.3900000000000001E-2</v>
      </c>
      <c r="X31">
        <v>-0.68789999999999996</v>
      </c>
      <c r="Y31">
        <v>0.13250000000000001</v>
      </c>
      <c r="Z31">
        <v>0.51839999999999997</v>
      </c>
      <c r="AA31">
        <v>0.51839999999999997</v>
      </c>
      <c r="AB31">
        <v>5.8200000000000002E-2</v>
      </c>
    </row>
    <row r="32" spans="1:28" ht="15.75" x14ac:dyDescent="0.25">
      <c r="A32" t="s">
        <v>400</v>
      </c>
      <c r="B32" t="s">
        <v>401</v>
      </c>
      <c r="C32">
        <v>85</v>
      </c>
      <c r="D32">
        <v>5.57E-2</v>
      </c>
      <c r="E32">
        <v>2.8899999999999999E-2</v>
      </c>
      <c r="F32">
        <v>5.2900000000000003E-2</v>
      </c>
      <c r="G32">
        <v>0.2455</v>
      </c>
      <c r="H32">
        <v>1.04</v>
      </c>
      <c r="I32">
        <v>1.28</v>
      </c>
      <c r="J32">
        <v>6.9800000000000001E-2</v>
      </c>
      <c r="K32">
        <v>0.49009999999999998</v>
      </c>
      <c r="L32">
        <v>0.03</v>
      </c>
      <c r="M32">
        <v>0.32550000000000001</v>
      </c>
      <c r="N32">
        <v>5.4199999999999998E-2</v>
      </c>
      <c r="O32">
        <v>2.29</v>
      </c>
      <c r="P32">
        <v>1.1000000000000001</v>
      </c>
      <c r="Q32">
        <v>11.4</v>
      </c>
      <c r="R32">
        <v>43.75</v>
      </c>
      <c r="S32">
        <v>5.51</v>
      </c>
      <c r="T32">
        <v>55.99</v>
      </c>
      <c r="U32">
        <v>4.7500000000000001E-2</v>
      </c>
      <c r="V32">
        <v>1.78E-2</v>
      </c>
      <c r="W32">
        <v>5.0000000000000001E-4</v>
      </c>
      <c r="X32">
        <v>-1.7934000000000001</v>
      </c>
      <c r="Y32">
        <v>-6.4000000000000003E-3</v>
      </c>
      <c r="Z32">
        <v>3.2000000000000002E-3</v>
      </c>
      <c r="AA32">
        <v>3.2000000000000002E-3</v>
      </c>
      <c r="AB32">
        <v>2.5100000000000001E-2</v>
      </c>
    </row>
    <row r="33" spans="1:28" ht="15.75" x14ac:dyDescent="0.25">
      <c r="A33" t="s">
        <v>402</v>
      </c>
      <c r="B33" t="s">
        <v>403</v>
      </c>
      <c r="C33">
        <v>29</v>
      </c>
      <c r="D33">
        <v>-0.14180000000000001</v>
      </c>
      <c r="E33">
        <v>-8.6999999999999994E-2</v>
      </c>
      <c r="F33">
        <v>-7.4999999999999997E-2</v>
      </c>
      <c r="G33">
        <v>0</v>
      </c>
      <c r="H33">
        <v>0.56000000000000005</v>
      </c>
      <c r="I33">
        <v>0.83</v>
      </c>
      <c r="J33">
        <v>4.8399999999999999E-2</v>
      </c>
      <c r="K33">
        <v>0.42270000000000002</v>
      </c>
      <c r="L33">
        <v>0.03</v>
      </c>
      <c r="M33">
        <v>0.48620000000000002</v>
      </c>
      <c r="N33">
        <v>3.5499999999999997E-2</v>
      </c>
      <c r="O33">
        <v>0.87</v>
      </c>
      <c r="P33">
        <v>1.08</v>
      </c>
      <c r="Q33">
        <v>5.79</v>
      </c>
      <c r="R33" t="s">
        <v>354</v>
      </c>
      <c r="S33">
        <v>1.36</v>
      </c>
      <c r="T33">
        <v>37.68</v>
      </c>
      <c r="U33">
        <v>7.7499999999999999E-2</v>
      </c>
      <c r="V33">
        <v>0.1129</v>
      </c>
      <c r="W33">
        <v>-7.1900000000000006E-2</v>
      </c>
      <c r="X33" t="s">
        <v>354</v>
      </c>
      <c r="Y33">
        <v>-0.41660000000000003</v>
      </c>
      <c r="Z33">
        <v>2.24E-2</v>
      </c>
      <c r="AA33">
        <v>2.24E-2</v>
      </c>
      <c r="AB33">
        <v>-8.6099999999999996E-2</v>
      </c>
    </row>
    <row r="34" spans="1:28" ht="15.75" x14ac:dyDescent="0.25">
      <c r="A34" t="s">
        <v>404</v>
      </c>
      <c r="B34" t="s">
        <v>405</v>
      </c>
      <c r="C34">
        <v>96</v>
      </c>
      <c r="D34">
        <v>0.3165</v>
      </c>
      <c r="E34">
        <v>0.18690000000000001</v>
      </c>
      <c r="F34">
        <v>0.218</v>
      </c>
      <c r="G34">
        <v>0.17899999999999999</v>
      </c>
      <c r="H34">
        <v>0.83</v>
      </c>
      <c r="I34">
        <v>0.87</v>
      </c>
      <c r="J34">
        <v>5.0299999999999997E-2</v>
      </c>
      <c r="K34">
        <v>0.43109999999999998</v>
      </c>
      <c r="L34">
        <v>0.03</v>
      </c>
      <c r="M34">
        <v>0.12889999999999999</v>
      </c>
      <c r="N34">
        <v>4.6699999999999998E-2</v>
      </c>
      <c r="O34">
        <v>1.2</v>
      </c>
      <c r="P34">
        <v>3.56</v>
      </c>
      <c r="Q34">
        <v>13.92</v>
      </c>
      <c r="R34">
        <v>18.52</v>
      </c>
      <c r="S34">
        <v>4.84</v>
      </c>
      <c r="T34">
        <v>50.68</v>
      </c>
      <c r="U34">
        <v>0.16839999999999999</v>
      </c>
      <c r="V34">
        <v>2.9499999999999998E-2</v>
      </c>
      <c r="W34">
        <v>3.3500000000000002E-2</v>
      </c>
      <c r="X34">
        <v>0.1171</v>
      </c>
      <c r="Y34">
        <v>0.17100000000000001</v>
      </c>
      <c r="Z34">
        <v>0.64710000000000001</v>
      </c>
      <c r="AA34">
        <v>0.64710000000000001</v>
      </c>
      <c r="AB34">
        <v>0.18859999999999999</v>
      </c>
    </row>
    <row r="35" spans="1:28" ht="15.75" x14ac:dyDescent="0.25">
      <c r="A35" t="s">
        <v>406</v>
      </c>
      <c r="B35" t="s">
        <v>407</v>
      </c>
      <c r="C35">
        <v>52</v>
      </c>
      <c r="D35">
        <v>4.0599999999999997E-2</v>
      </c>
      <c r="E35">
        <v>0.1555</v>
      </c>
      <c r="F35">
        <v>0.2782</v>
      </c>
      <c r="G35">
        <v>0.14169999999999999</v>
      </c>
      <c r="H35">
        <v>1.1399999999999999</v>
      </c>
      <c r="I35">
        <v>1.18</v>
      </c>
      <c r="J35">
        <v>6.5199999999999994E-2</v>
      </c>
      <c r="K35">
        <v>0.42870000000000003</v>
      </c>
      <c r="L35">
        <v>0.03</v>
      </c>
      <c r="M35">
        <v>8.5500000000000007E-2</v>
      </c>
      <c r="N35">
        <v>6.1499999999999999E-2</v>
      </c>
      <c r="O35">
        <v>1.81</v>
      </c>
      <c r="P35">
        <v>5.14</v>
      </c>
      <c r="Q35">
        <v>24.76</v>
      </c>
      <c r="R35">
        <v>32.89</v>
      </c>
      <c r="S35">
        <v>22.9</v>
      </c>
      <c r="T35">
        <v>27.25</v>
      </c>
      <c r="U35">
        <v>-9.0800000000000006E-2</v>
      </c>
      <c r="V35">
        <v>2.7199999999999998E-2</v>
      </c>
      <c r="W35">
        <v>1.6999999999999999E-3</v>
      </c>
      <c r="X35">
        <v>-2.3999999999999998E-3</v>
      </c>
      <c r="Y35">
        <v>0.50529999999999997</v>
      </c>
      <c r="Z35">
        <v>0.26829999999999998</v>
      </c>
      <c r="AA35">
        <v>0.26829999999999998</v>
      </c>
      <c r="AB35">
        <v>0.1598</v>
      </c>
    </row>
    <row r="36" spans="1:28" ht="15.75" x14ac:dyDescent="0.25">
      <c r="A36" t="s">
        <v>408</v>
      </c>
      <c r="B36" t="s">
        <v>409</v>
      </c>
      <c r="C36">
        <v>85</v>
      </c>
      <c r="D36">
        <v>4.6699999999999998E-2</v>
      </c>
      <c r="E36">
        <v>7.6999999999999999E-2</v>
      </c>
      <c r="F36">
        <v>0.1167</v>
      </c>
      <c r="G36">
        <v>0.25019999999999998</v>
      </c>
      <c r="H36">
        <v>0.75</v>
      </c>
      <c r="I36">
        <v>0.97</v>
      </c>
      <c r="J36">
        <v>5.5100000000000003E-2</v>
      </c>
      <c r="K36">
        <v>0.41970000000000002</v>
      </c>
      <c r="L36">
        <v>0.03</v>
      </c>
      <c r="M36">
        <v>0.31380000000000002</v>
      </c>
      <c r="N36">
        <v>4.4699999999999997E-2</v>
      </c>
      <c r="O36">
        <v>1.68</v>
      </c>
      <c r="P36">
        <v>1.49</v>
      </c>
      <c r="Q36">
        <v>13.88</v>
      </c>
      <c r="R36">
        <v>18.78</v>
      </c>
      <c r="S36">
        <v>3.39</v>
      </c>
      <c r="T36">
        <v>138.44</v>
      </c>
      <c r="U36">
        <v>0.15540000000000001</v>
      </c>
      <c r="V36">
        <v>3.6799999999999999E-2</v>
      </c>
      <c r="W36">
        <v>5.0799999999999998E-2</v>
      </c>
      <c r="X36">
        <v>0.63109999999999999</v>
      </c>
      <c r="Y36">
        <v>9.6699999999999994E-2</v>
      </c>
      <c r="Z36">
        <v>0.52370000000000005</v>
      </c>
      <c r="AA36">
        <v>0.52370000000000005</v>
      </c>
      <c r="AB36">
        <v>7.9000000000000001E-2</v>
      </c>
    </row>
    <row r="37" spans="1:28" ht="15.75" x14ac:dyDescent="0.25">
      <c r="A37" t="s">
        <v>410</v>
      </c>
      <c r="B37" t="s">
        <v>410</v>
      </c>
      <c r="C37">
        <v>22</v>
      </c>
      <c r="D37">
        <v>1.6899999999999998E-2</v>
      </c>
      <c r="E37">
        <v>1.9900000000000001E-2</v>
      </c>
      <c r="F37">
        <v>4.6600000000000003E-2</v>
      </c>
      <c r="G37">
        <v>0.1128</v>
      </c>
      <c r="H37">
        <v>1.01</v>
      </c>
      <c r="I37">
        <v>0.96</v>
      </c>
      <c r="J37">
        <v>5.4399999999999997E-2</v>
      </c>
      <c r="K37">
        <v>0.54910000000000003</v>
      </c>
      <c r="L37">
        <v>0.03</v>
      </c>
      <c r="M37">
        <v>8.6800000000000002E-2</v>
      </c>
      <c r="N37">
        <v>5.16E-2</v>
      </c>
      <c r="O37">
        <v>1.82</v>
      </c>
      <c r="P37">
        <v>1.32</v>
      </c>
      <c r="Q37">
        <v>18.96</v>
      </c>
      <c r="R37">
        <v>59.52</v>
      </c>
      <c r="S37">
        <v>4.26</v>
      </c>
      <c r="T37">
        <v>14.62</v>
      </c>
      <c r="U37">
        <v>0.1326</v>
      </c>
      <c r="V37">
        <v>1.6799999999999999E-2</v>
      </c>
      <c r="W37">
        <v>9.7000000000000003E-3</v>
      </c>
      <c r="X37">
        <v>-1.1245000000000001</v>
      </c>
      <c r="Y37">
        <v>-4.8899999999999999E-2</v>
      </c>
      <c r="Z37">
        <v>0</v>
      </c>
      <c r="AA37">
        <v>0</v>
      </c>
      <c r="AB37">
        <v>2.58E-2</v>
      </c>
    </row>
    <row r="38" spans="1:28" ht="15.75" x14ac:dyDescent="0.25">
      <c r="A38" t="s">
        <v>411</v>
      </c>
      <c r="B38" t="s">
        <v>412</v>
      </c>
      <c r="C38">
        <v>116</v>
      </c>
      <c r="D38">
        <v>9.4E-2</v>
      </c>
      <c r="E38">
        <v>7.5800000000000006E-2</v>
      </c>
      <c r="F38">
        <v>0.2298</v>
      </c>
      <c r="G38">
        <v>0.12939999999999999</v>
      </c>
      <c r="H38">
        <v>0.94</v>
      </c>
      <c r="I38">
        <v>1.1200000000000001</v>
      </c>
      <c r="J38">
        <v>6.2E-2</v>
      </c>
      <c r="K38">
        <v>0.45889999999999997</v>
      </c>
      <c r="L38">
        <v>0.03</v>
      </c>
      <c r="M38">
        <v>0.28439999999999999</v>
      </c>
      <c r="N38">
        <v>5.0599999999999999E-2</v>
      </c>
      <c r="O38">
        <v>3.03</v>
      </c>
      <c r="P38">
        <v>1.43</v>
      </c>
      <c r="Q38">
        <v>10.7</v>
      </c>
      <c r="R38">
        <v>17.96</v>
      </c>
      <c r="S38">
        <v>4</v>
      </c>
      <c r="T38">
        <v>27.86</v>
      </c>
      <c r="U38">
        <v>0.12089999999999999</v>
      </c>
      <c r="V38">
        <v>1.8100000000000002E-2</v>
      </c>
      <c r="W38">
        <v>-1.2999999999999999E-3</v>
      </c>
      <c r="X38">
        <v>-0.1658</v>
      </c>
      <c r="Y38">
        <v>0.13500000000000001</v>
      </c>
      <c r="Z38">
        <v>0.75570000000000004</v>
      </c>
      <c r="AA38">
        <v>0.75570000000000004</v>
      </c>
      <c r="AB38">
        <v>8.0199999999999994E-2</v>
      </c>
    </row>
    <row r="39" spans="1:28" ht="15.75" x14ac:dyDescent="0.25">
      <c r="A39" t="s">
        <v>413</v>
      </c>
      <c r="B39" t="s">
        <v>414</v>
      </c>
      <c r="C39">
        <v>93</v>
      </c>
      <c r="D39">
        <v>3.1699999999999999E-2</v>
      </c>
      <c r="E39">
        <v>0.21479999999999999</v>
      </c>
      <c r="F39">
        <v>9.8699999999999996E-2</v>
      </c>
      <c r="G39">
        <v>0.18129999999999999</v>
      </c>
      <c r="H39">
        <v>0.75</v>
      </c>
      <c r="I39">
        <v>0.76</v>
      </c>
      <c r="J39">
        <v>4.4999999999999998E-2</v>
      </c>
      <c r="K39">
        <v>0.67759999999999998</v>
      </c>
      <c r="L39">
        <v>4.0899999999999999E-2</v>
      </c>
      <c r="M39">
        <v>0.11260000000000001</v>
      </c>
      <c r="N39">
        <v>4.3299999999999998E-2</v>
      </c>
      <c r="O39">
        <v>0.46</v>
      </c>
      <c r="P39">
        <v>4.82</v>
      </c>
      <c r="Q39">
        <v>10.3</v>
      </c>
      <c r="R39">
        <v>21.45</v>
      </c>
      <c r="S39">
        <v>2.19</v>
      </c>
      <c r="T39">
        <v>86.45</v>
      </c>
      <c r="U39">
        <v>0.11990000000000001</v>
      </c>
      <c r="V39">
        <v>0.13</v>
      </c>
      <c r="W39">
        <v>-8.1900000000000001E-2</v>
      </c>
      <c r="X39">
        <v>-0.44219999999999998</v>
      </c>
      <c r="Y39">
        <v>8.2699999999999996E-2</v>
      </c>
      <c r="Z39">
        <v>0.31909999999999999</v>
      </c>
      <c r="AA39">
        <v>0.31909999999999999</v>
      </c>
      <c r="AB39">
        <v>0.21640000000000001</v>
      </c>
    </row>
    <row r="40" spans="1:28" ht="15.75" x14ac:dyDescent="0.25">
      <c r="A40" t="s">
        <v>415</v>
      </c>
      <c r="B40" t="s">
        <v>416</v>
      </c>
      <c r="C40">
        <v>101</v>
      </c>
      <c r="D40">
        <v>6.8500000000000005E-2</v>
      </c>
      <c r="E40">
        <v>0.128</v>
      </c>
      <c r="F40">
        <v>0.17530000000000001</v>
      </c>
      <c r="G40">
        <v>0.25019999999999998</v>
      </c>
      <c r="H40">
        <v>0.53</v>
      </c>
      <c r="I40">
        <v>0.64</v>
      </c>
      <c r="J40">
        <v>3.9300000000000002E-2</v>
      </c>
      <c r="K40">
        <v>0.3256</v>
      </c>
      <c r="L40">
        <v>2.58E-2</v>
      </c>
      <c r="M40">
        <v>0.2482</v>
      </c>
      <c r="N40">
        <v>3.4200000000000001E-2</v>
      </c>
      <c r="O40">
        <v>1.48</v>
      </c>
      <c r="P40">
        <v>2.19</v>
      </c>
      <c r="Q40">
        <v>12.88</v>
      </c>
      <c r="R40">
        <v>16.829999999999998</v>
      </c>
      <c r="S40">
        <v>2.57</v>
      </c>
      <c r="T40">
        <v>375.19</v>
      </c>
      <c r="U40">
        <v>5.2699999999999997E-2</v>
      </c>
      <c r="V40">
        <v>3.2099999999999997E-2</v>
      </c>
      <c r="W40">
        <v>2.0899999999999998E-2</v>
      </c>
      <c r="X40">
        <v>0.1512</v>
      </c>
      <c r="Y40">
        <v>0.1012</v>
      </c>
      <c r="Z40">
        <v>0.60980000000000001</v>
      </c>
      <c r="AA40">
        <v>0.60980000000000001</v>
      </c>
      <c r="AB40">
        <v>0.1295</v>
      </c>
    </row>
    <row r="41" spans="1:28" ht="15.75" x14ac:dyDescent="0.25">
      <c r="A41" t="s">
        <v>417</v>
      </c>
      <c r="B41" t="s">
        <v>418</v>
      </c>
      <c r="C41">
        <v>122</v>
      </c>
      <c r="D41">
        <v>4.2099999999999999E-2</v>
      </c>
      <c r="E41">
        <v>0.126</v>
      </c>
      <c r="F41">
        <v>0.22120000000000001</v>
      </c>
      <c r="G41">
        <v>0.1721</v>
      </c>
      <c r="H41">
        <v>1</v>
      </c>
      <c r="I41">
        <v>1.06</v>
      </c>
      <c r="J41">
        <v>5.9299999999999999E-2</v>
      </c>
      <c r="K41">
        <v>0.55120000000000002</v>
      </c>
      <c r="L41">
        <v>0.03</v>
      </c>
      <c r="M41">
        <v>0.1331</v>
      </c>
      <c r="N41">
        <v>5.4300000000000001E-2</v>
      </c>
      <c r="O41">
        <v>1.8</v>
      </c>
      <c r="P41">
        <v>3.66</v>
      </c>
      <c r="Q41">
        <v>15.96</v>
      </c>
      <c r="R41">
        <v>22.83</v>
      </c>
      <c r="S41">
        <v>6.28</v>
      </c>
      <c r="T41">
        <v>106.02</v>
      </c>
      <c r="U41">
        <v>0.21</v>
      </c>
      <c r="V41">
        <v>3.7900000000000003E-2</v>
      </c>
      <c r="W41">
        <v>4.4900000000000002E-2</v>
      </c>
      <c r="X41">
        <v>0.36520000000000002</v>
      </c>
      <c r="Y41">
        <v>0.1767</v>
      </c>
      <c r="Z41">
        <v>0.4355</v>
      </c>
      <c r="AA41">
        <v>0.4355</v>
      </c>
      <c r="AB41">
        <v>0.12839999999999999</v>
      </c>
    </row>
    <row r="42" spans="1:28" ht="15.75" x14ac:dyDescent="0.25">
      <c r="A42" t="s">
        <v>419</v>
      </c>
      <c r="B42" t="s">
        <v>420</v>
      </c>
      <c r="C42">
        <v>17</v>
      </c>
      <c r="D42">
        <v>2.41E-2</v>
      </c>
      <c r="E42">
        <v>4.6300000000000001E-2</v>
      </c>
      <c r="F42">
        <v>0.1467</v>
      </c>
      <c r="G42">
        <v>0.2442</v>
      </c>
      <c r="H42">
        <v>0.82</v>
      </c>
      <c r="I42">
        <v>0.9</v>
      </c>
      <c r="J42">
        <v>5.1700000000000003E-2</v>
      </c>
      <c r="K42">
        <v>0.3891</v>
      </c>
      <c r="L42">
        <v>2.58E-2</v>
      </c>
      <c r="M42">
        <v>0.1759</v>
      </c>
      <c r="N42">
        <v>4.5900000000000003E-2</v>
      </c>
      <c r="O42">
        <v>4.0999999999999996</v>
      </c>
      <c r="P42">
        <v>0.93</v>
      </c>
      <c r="Q42">
        <v>12.29</v>
      </c>
      <c r="R42">
        <v>22.81</v>
      </c>
      <c r="S42">
        <v>5.43</v>
      </c>
      <c r="T42">
        <v>22.7</v>
      </c>
      <c r="U42">
        <v>5.9999999999999995E-4</v>
      </c>
      <c r="V42">
        <v>2.01E-2</v>
      </c>
      <c r="W42">
        <v>2.0000000000000001E-4</v>
      </c>
      <c r="X42">
        <v>-0.42799999999999999</v>
      </c>
      <c r="Y42">
        <v>0.2064</v>
      </c>
      <c r="Z42">
        <v>0.36120000000000002</v>
      </c>
      <c r="AA42">
        <v>0.36120000000000002</v>
      </c>
      <c r="AB42">
        <v>4.0899999999999999E-2</v>
      </c>
    </row>
    <row r="43" spans="1:28" ht="15.75" x14ac:dyDescent="0.25">
      <c r="A43" t="s">
        <v>421</v>
      </c>
      <c r="B43" t="s">
        <v>422</v>
      </c>
      <c r="C43">
        <v>265</v>
      </c>
      <c r="D43">
        <v>0.13900000000000001</v>
      </c>
      <c r="E43">
        <v>0.1424</v>
      </c>
      <c r="F43">
        <v>0.13220000000000001</v>
      </c>
      <c r="G43">
        <v>0.13639999999999999</v>
      </c>
      <c r="H43">
        <v>0.8</v>
      </c>
      <c r="I43">
        <v>0.83</v>
      </c>
      <c r="J43">
        <v>4.8599999999999997E-2</v>
      </c>
      <c r="K43">
        <v>0.46189999999999998</v>
      </c>
      <c r="L43">
        <v>0.03</v>
      </c>
      <c r="M43">
        <v>9.6600000000000005E-2</v>
      </c>
      <c r="N43">
        <v>4.6100000000000002E-2</v>
      </c>
      <c r="O43">
        <v>0.96</v>
      </c>
      <c r="P43">
        <v>7.42</v>
      </c>
      <c r="Q43">
        <v>28.53</v>
      </c>
      <c r="R43">
        <v>49.25</v>
      </c>
      <c r="S43">
        <v>5.77</v>
      </c>
      <c r="T43">
        <v>317.98</v>
      </c>
      <c r="U43">
        <v>0.25159999999999999</v>
      </c>
      <c r="V43">
        <v>5.1499999999999997E-2</v>
      </c>
      <c r="W43">
        <v>0.1183</v>
      </c>
      <c r="X43">
        <v>1.1346000000000001</v>
      </c>
      <c r="Y43">
        <v>0.1055</v>
      </c>
      <c r="Z43">
        <v>0.30109999999999998</v>
      </c>
      <c r="AA43">
        <v>0.30109999999999998</v>
      </c>
      <c r="AB43">
        <v>0.1409</v>
      </c>
    </row>
    <row r="44" spans="1:28" ht="15.75" x14ac:dyDescent="0.25">
      <c r="A44" t="s">
        <v>423</v>
      </c>
      <c r="B44" t="s">
        <v>424</v>
      </c>
      <c r="C44">
        <v>58</v>
      </c>
      <c r="D44">
        <v>7.7899999999999997E-2</v>
      </c>
      <c r="E44">
        <v>0.1946</v>
      </c>
      <c r="F44">
        <v>0.13780000000000001</v>
      </c>
      <c r="G44">
        <v>0.1671</v>
      </c>
      <c r="H44">
        <v>0.42</v>
      </c>
      <c r="I44">
        <v>0.66</v>
      </c>
      <c r="J44">
        <v>4.0399999999999998E-2</v>
      </c>
      <c r="K44">
        <v>0.43530000000000002</v>
      </c>
      <c r="L44">
        <v>0.03</v>
      </c>
      <c r="M44">
        <v>0.45400000000000001</v>
      </c>
      <c r="N44">
        <v>3.2000000000000001E-2</v>
      </c>
      <c r="O44">
        <v>0.75</v>
      </c>
      <c r="P44">
        <v>2.5099999999999998</v>
      </c>
      <c r="Q44">
        <v>6.76</v>
      </c>
      <c r="R44">
        <v>13.12</v>
      </c>
      <c r="S44">
        <v>1.73</v>
      </c>
      <c r="T44">
        <v>22.27</v>
      </c>
      <c r="U44">
        <v>1.18E-2</v>
      </c>
      <c r="V44">
        <v>0.1263</v>
      </c>
      <c r="W44">
        <v>-2.3599999999999999E-2</v>
      </c>
      <c r="X44">
        <v>-2.1899999999999999E-2</v>
      </c>
      <c r="Y44">
        <v>0.11269999999999999</v>
      </c>
      <c r="Z44">
        <v>0.51919999999999999</v>
      </c>
      <c r="AA44">
        <v>0.51919999999999999</v>
      </c>
      <c r="AB44">
        <v>0.19070000000000001</v>
      </c>
    </row>
    <row r="45" spans="1:28" ht="15.75" x14ac:dyDescent="0.25">
      <c r="A45" t="s">
        <v>425</v>
      </c>
      <c r="B45" t="s">
        <v>426</v>
      </c>
      <c r="C45">
        <v>157</v>
      </c>
      <c r="D45">
        <v>2.8799999999999999E-2</v>
      </c>
      <c r="E45">
        <v>7.4700000000000003E-2</v>
      </c>
      <c r="F45">
        <v>0.1108</v>
      </c>
      <c r="G45">
        <v>0.19850000000000001</v>
      </c>
      <c r="H45">
        <v>0.86</v>
      </c>
      <c r="I45">
        <v>0.89</v>
      </c>
      <c r="J45">
        <v>5.11E-2</v>
      </c>
      <c r="K45">
        <v>0.43869999999999998</v>
      </c>
      <c r="L45">
        <v>0.03</v>
      </c>
      <c r="M45">
        <v>0.1188</v>
      </c>
      <c r="N45">
        <v>4.7600000000000003E-2</v>
      </c>
      <c r="O45">
        <v>1.49</v>
      </c>
      <c r="P45">
        <v>2.54</v>
      </c>
      <c r="Q45">
        <v>17.52</v>
      </c>
      <c r="R45">
        <v>32.119999999999997</v>
      </c>
      <c r="S45">
        <v>4.1399999999999997</v>
      </c>
      <c r="T45">
        <v>69.760000000000005</v>
      </c>
      <c r="U45">
        <v>0.20519999999999999</v>
      </c>
      <c r="V45">
        <v>4.19E-2</v>
      </c>
      <c r="W45">
        <v>4.2500000000000003E-2</v>
      </c>
      <c r="X45">
        <v>0.59960000000000002</v>
      </c>
      <c r="Y45">
        <v>6.6699999999999995E-2</v>
      </c>
      <c r="Z45">
        <v>0.4148</v>
      </c>
      <c r="AA45">
        <v>0.4148</v>
      </c>
      <c r="AB45">
        <v>7.9000000000000001E-2</v>
      </c>
    </row>
    <row r="46" spans="1:28" ht="15.75" x14ac:dyDescent="0.25">
      <c r="A46" t="s">
        <v>427</v>
      </c>
      <c r="B46" t="s">
        <v>428</v>
      </c>
      <c r="C46">
        <v>125</v>
      </c>
      <c r="D46">
        <v>3.44E-2</v>
      </c>
      <c r="E46">
        <v>0.13070000000000001</v>
      </c>
      <c r="F46">
        <v>0.2142</v>
      </c>
      <c r="G46">
        <v>0.21029999999999999</v>
      </c>
      <c r="H46">
        <v>0.96</v>
      </c>
      <c r="I46">
        <v>1.05</v>
      </c>
      <c r="J46">
        <v>5.8799999999999998E-2</v>
      </c>
      <c r="K46">
        <v>0.34279999999999999</v>
      </c>
      <c r="L46">
        <v>2.58E-2</v>
      </c>
      <c r="M46">
        <v>0.16420000000000001</v>
      </c>
      <c r="N46">
        <v>5.2200000000000003E-2</v>
      </c>
      <c r="O46">
        <v>1.78</v>
      </c>
      <c r="P46">
        <v>3.06</v>
      </c>
      <c r="Q46">
        <v>16.7</v>
      </c>
      <c r="R46">
        <v>23.08</v>
      </c>
      <c r="S46">
        <v>4.55</v>
      </c>
      <c r="T46">
        <v>46.09</v>
      </c>
      <c r="U46">
        <v>0.2331</v>
      </c>
      <c r="V46">
        <v>2.4400000000000002E-2</v>
      </c>
      <c r="W46">
        <v>3.9899999999999998E-2</v>
      </c>
      <c r="X46">
        <v>0.20619999999999999</v>
      </c>
      <c r="Y46">
        <v>0.1265</v>
      </c>
      <c r="Z46">
        <v>0.45369999999999999</v>
      </c>
      <c r="AA46">
        <v>0.45369999999999999</v>
      </c>
      <c r="AB46">
        <v>0.1321</v>
      </c>
    </row>
    <row r="47" spans="1:28" ht="15.75" x14ac:dyDescent="0.25">
      <c r="A47" t="s">
        <v>429</v>
      </c>
      <c r="B47" t="s">
        <v>430</v>
      </c>
      <c r="C47">
        <v>16</v>
      </c>
      <c r="D47">
        <v>2.2700000000000001E-2</v>
      </c>
      <c r="E47">
        <v>0.20399999999999999</v>
      </c>
      <c r="F47">
        <v>6.7900000000000002E-2</v>
      </c>
      <c r="G47">
        <v>0.1172</v>
      </c>
      <c r="H47">
        <v>0.49</v>
      </c>
      <c r="I47">
        <v>0.74</v>
      </c>
      <c r="J47">
        <v>4.4200000000000003E-2</v>
      </c>
      <c r="K47">
        <v>0.18440000000000001</v>
      </c>
      <c r="L47">
        <v>1.9199999999999998E-2</v>
      </c>
      <c r="M47">
        <v>0.42759999999999998</v>
      </c>
      <c r="N47">
        <v>3.1300000000000001E-2</v>
      </c>
      <c r="O47">
        <v>0.37</v>
      </c>
      <c r="P47">
        <v>4.1399999999999997</v>
      </c>
      <c r="Q47">
        <v>12.15</v>
      </c>
      <c r="R47">
        <v>20.53</v>
      </c>
      <c r="S47">
        <v>1.84</v>
      </c>
      <c r="T47">
        <v>18.73</v>
      </c>
      <c r="U47">
        <v>9.01E-2</v>
      </c>
      <c r="V47">
        <v>0.3115</v>
      </c>
      <c r="W47">
        <v>0.19900000000000001</v>
      </c>
      <c r="X47">
        <v>1.1040000000000001</v>
      </c>
      <c r="Y47">
        <v>7.4899999999999994E-2</v>
      </c>
      <c r="Z47">
        <v>1.0089999999999999</v>
      </c>
      <c r="AA47">
        <v>1.0089999999999999</v>
      </c>
      <c r="AB47">
        <v>0.20150000000000001</v>
      </c>
    </row>
    <row r="48" spans="1:28" ht="15.75" x14ac:dyDescent="0.25">
      <c r="A48" t="s">
        <v>431</v>
      </c>
      <c r="B48" t="s">
        <v>432</v>
      </c>
      <c r="C48">
        <v>287</v>
      </c>
      <c r="D48">
        <v>0.3266</v>
      </c>
      <c r="E48">
        <v>0.2402</v>
      </c>
      <c r="F48">
        <v>0.2031</v>
      </c>
      <c r="G48">
        <v>0.16300000000000001</v>
      </c>
      <c r="H48">
        <v>0.84</v>
      </c>
      <c r="I48">
        <v>0.91</v>
      </c>
      <c r="J48">
        <v>5.2200000000000003E-2</v>
      </c>
      <c r="K48">
        <v>0.55449999999999999</v>
      </c>
      <c r="L48">
        <v>0.03</v>
      </c>
      <c r="M48">
        <v>0.15379999999999999</v>
      </c>
      <c r="N48">
        <v>4.7500000000000001E-2</v>
      </c>
      <c r="O48">
        <v>0.81</v>
      </c>
      <c r="P48">
        <v>5.55</v>
      </c>
      <c r="Q48">
        <v>14.32</v>
      </c>
      <c r="R48">
        <v>22.27</v>
      </c>
      <c r="S48">
        <v>5.04</v>
      </c>
      <c r="T48">
        <v>34.54</v>
      </c>
      <c r="U48">
        <v>0.26229999999999998</v>
      </c>
      <c r="V48">
        <v>5.0099999999999999E-2</v>
      </c>
      <c r="W48">
        <v>9.74E-2</v>
      </c>
      <c r="X48">
        <v>0.48920000000000002</v>
      </c>
      <c r="Y48">
        <v>0.1898</v>
      </c>
      <c r="Z48">
        <v>0.60860000000000003</v>
      </c>
      <c r="AA48">
        <v>0.60860000000000003</v>
      </c>
      <c r="AB48">
        <v>0.25380000000000003</v>
      </c>
    </row>
    <row r="49" spans="1:28" ht="15.75" x14ac:dyDescent="0.25">
      <c r="A49" t="s">
        <v>433</v>
      </c>
      <c r="B49" t="s">
        <v>434</v>
      </c>
      <c r="C49">
        <v>547</v>
      </c>
      <c r="D49">
        <v>0.32640000000000002</v>
      </c>
      <c r="E49">
        <v>9.5399999999999999E-2</v>
      </c>
      <c r="F49">
        <v>6.2199999999999998E-2</v>
      </c>
      <c r="G49">
        <v>0.1195</v>
      </c>
      <c r="H49">
        <v>0.85</v>
      </c>
      <c r="I49">
        <v>0.89</v>
      </c>
      <c r="J49">
        <v>5.11E-2</v>
      </c>
      <c r="K49">
        <v>0.501</v>
      </c>
      <c r="L49">
        <v>0.03</v>
      </c>
      <c r="M49">
        <v>0.13420000000000001</v>
      </c>
      <c r="N49">
        <v>4.7199999999999999E-2</v>
      </c>
      <c r="O49">
        <v>0.48</v>
      </c>
      <c r="P49">
        <v>8.73</v>
      </c>
      <c r="Q49">
        <v>14.4</v>
      </c>
      <c r="R49">
        <v>57.63</v>
      </c>
      <c r="S49">
        <v>7.18</v>
      </c>
      <c r="T49">
        <v>480.18</v>
      </c>
      <c r="U49">
        <v>0.13139999999999999</v>
      </c>
      <c r="V49">
        <v>3.56E-2</v>
      </c>
      <c r="W49">
        <v>0.3765</v>
      </c>
      <c r="X49">
        <v>7.2154999999999996</v>
      </c>
      <c r="Y49">
        <v>-1.1900000000000001E-2</v>
      </c>
      <c r="Z49">
        <v>1.2999999999999999E-3</v>
      </c>
      <c r="AA49">
        <v>1.2999999999999999E-3</v>
      </c>
      <c r="AB49">
        <v>0.12920000000000001</v>
      </c>
    </row>
    <row r="50" spans="1:28" ht="15.75" x14ac:dyDescent="0.25">
      <c r="A50" t="s">
        <v>435</v>
      </c>
      <c r="B50" t="s">
        <v>436</v>
      </c>
      <c r="C50">
        <v>38</v>
      </c>
      <c r="D50">
        <v>1.01E-2</v>
      </c>
      <c r="E50">
        <v>9.2600000000000002E-2</v>
      </c>
      <c r="F50">
        <v>9.8900000000000002E-2</v>
      </c>
      <c r="G50">
        <v>0.16650000000000001</v>
      </c>
      <c r="H50">
        <v>1.07</v>
      </c>
      <c r="I50">
        <v>1.1499999999999999</v>
      </c>
      <c r="J50">
        <v>6.3500000000000001E-2</v>
      </c>
      <c r="K50">
        <v>0.55730000000000002</v>
      </c>
      <c r="L50">
        <v>0.03</v>
      </c>
      <c r="M50">
        <v>0.19570000000000001</v>
      </c>
      <c r="N50">
        <v>5.5300000000000002E-2</v>
      </c>
      <c r="O50">
        <v>1.17</v>
      </c>
      <c r="P50">
        <v>2.81</v>
      </c>
      <c r="Q50">
        <v>14.43</v>
      </c>
      <c r="R50">
        <v>31.21</v>
      </c>
      <c r="S50">
        <v>2.92</v>
      </c>
      <c r="T50">
        <v>26.63</v>
      </c>
      <c r="U50">
        <v>7.4700000000000003E-2</v>
      </c>
      <c r="V50">
        <v>3.8800000000000001E-2</v>
      </c>
      <c r="W50">
        <v>2.7E-2</v>
      </c>
      <c r="X50">
        <v>0.61409999999999998</v>
      </c>
      <c r="Y50">
        <v>-5.6599999999999998E-2</v>
      </c>
      <c r="Z50">
        <v>5.9999999999999995E-4</v>
      </c>
      <c r="AA50">
        <v>5.9999999999999995E-4</v>
      </c>
      <c r="AB50">
        <v>8.8200000000000001E-2</v>
      </c>
    </row>
    <row r="51" spans="1:28" ht="15.75" x14ac:dyDescent="0.25">
      <c r="A51" t="s">
        <v>437</v>
      </c>
      <c r="B51" t="s">
        <v>438</v>
      </c>
      <c r="C51">
        <v>101</v>
      </c>
      <c r="D51">
        <v>-4.1000000000000003E-3</v>
      </c>
      <c r="E51">
        <v>0.20610000000000001</v>
      </c>
      <c r="F51">
        <v>0.14729999999999999</v>
      </c>
      <c r="G51">
        <v>0.1202</v>
      </c>
      <c r="H51">
        <v>0.96</v>
      </c>
      <c r="I51">
        <v>0.96</v>
      </c>
      <c r="J51">
        <v>5.4600000000000003E-2</v>
      </c>
      <c r="K51">
        <v>0.62609999999999999</v>
      </c>
      <c r="L51">
        <v>0.03</v>
      </c>
      <c r="M51">
        <v>2.5499999999999998E-2</v>
      </c>
      <c r="N51">
        <v>5.3699999999999998E-2</v>
      </c>
      <c r="O51">
        <v>0.68</v>
      </c>
      <c r="P51">
        <v>8.16</v>
      </c>
      <c r="Q51">
        <v>25.09</v>
      </c>
      <c r="R51">
        <v>38.04</v>
      </c>
      <c r="S51">
        <v>6.23</v>
      </c>
      <c r="T51">
        <v>157.38</v>
      </c>
      <c r="U51">
        <v>5.4100000000000002E-2</v>
      </c>
      <c r="V51">
        <v>0.1404</v>
      </c>
      <c r="W51">
        <v>9.9400000000000002E-2</v>
      </c>
      <c r="X51">
        <v>0.67800000000000005</v>
      </c>
      <c r="Y51">
        <v>0.17710000000000001</v>
      </c>
      <c r="Z51">
        <v>2.5999999999999999E-3</v>
      </c>
      <c r="AA51">
        <v>2.5999999999999999E-3</v>
      </c>
      <c r="AB51">
        <v>0.21790000000000001</v>
      </c>
    </row>
    <row r="52" spans="1:28" ht="15.75" x14ac:dyDescent="0.25">
      <c r="A52" t="s">
        <v>439</v>
      </c>
      <c r="B52" t="s">
        <v>440</v>
      </c>
      <c r="C52">
        <v>61</v>
      </c>
      <c r="D52">
        <v>3.5700000000000003E-2</v>
      </c>
      <c r="E52">
        <v>4.1000000000000002E-2</v>
      </c>
      <c r="F52">
        <v>0.14849999999999999</v>
      </c>
      <c r="G52">
        <v>0.21890000000000001</v>
      </c>
      <c r="H52">
        <v>0.96</v>
      </c>
      <c r="I52">
        <v>1.06</v>
      </c>
      <c r="J52">
        <v>5.9200000000000003E-2</v>
      </c>
      <c r="K52">
        <v>0.4204</v>
      </c>
      <c r="L52">
        <v>0.03</v>
      </c>
      <c r="M52">
        <v>0.22020000000000001</v>
      </c>
      <c r="N52">
        <v>5.0999999999999997E-2</v>
      </c>
      <c r="O52">
        <v>3.8</v>
      </c>
      <c r="P52">
        <v>0.9</v>
      </c>
      <c r="Q52">
        <v>10.85</v>
      </c>
      <c r="R52">
        <v>19.8</v>
      </c>
      <c r="S52">
        <v>2.3199999999999998</v>
      </c>
      <c r="T52">
        <v>34.520000000000003</v>
      </c>
      <c r="U52">
        <v>0.1794</v>
      </c>
      <c r="V52">
        <v>1.7000000000000001E-2</v>
      </c>
      <c r="W52">
        <v>0.1032</v>
      </c>
      <c r="X52">
        <v>2.8374999999999999</v>
      </c>
      <c r="Y52">
        <v>2.5399999999999999E-2</v>
      </c>
      <c r="Z52">
        <v>0.52790000000000004</v>
      </c>
      <c r="AA52">
        <v>0.52790000000000004</v>
      </c>
      <c r="AB52">
        <v>4.3099999999999999E-2</v>
      </c>
    </row>
    <row r="53" spans="1:28" ht="15.75" x14ac:dyDescent="0.25">
      <c r="A53" t="s">
        <v>441</v>
      </c>
      <c r="B53" t="s">
        <v>442</v>
      </c>
      <c r="C53">
        <v>118</v>
      </c>
      <c r="D53">
        <v>6.3500000000000001E-2</v>
      </c>
      <c r="E53">
        <v>7.4399999999999994E-2</v>
      </c>
      <c r="F53">
        <v>7.9600000000000004E-2</v>
      </c>
      <c r="G53">
        <v>6.7299999999999999E-2</v>
      </c>
      <c r="H53">
        <v>0.84</v>
      </c>
      <c r="I53">
        <v>0.88</v>
      </c>
      <c r="J53">
        <v>5.0999999999999997E-2</v>
      </c>
      <c r="K53">
        <v>0.68059999999999998</v>
      </c>
      <c r="L53">
        <v>4.0899999999999999E-2</v>
      </c>
      <c r="M53">
        <v>0.13189999999999999</v>
      </c>
      <c r="N53">
        <v>4.82E-2</v>
      </c>
      <c r="O53">
        <v>1.07</v>
      </c>
      <c r="P53">
        <v>6.81</v>
      </c>
      <c r="Q53">
        <v>36.26</v>
      </c>
      <c r="R53">
        <v>89.24</v>
      </c>
      <c r="S53">
        <v>5.49</v>
      </c>
      <c r="T53">
        <v>1157.1300000000001</v>
      </c>
      <c r="U53">
        <v>6.4999999999999997E-3</v>
      </c>
      <c r="V53">
        <v>5.1799999999999999E-2</v>
      </c>
      <c r="W53">
        <v>2.8E-3</v>
      </c>
      <c r="X53">
        <v>0.1668</v>
      </c>
      <c r="Y53">
        <v>-2.87E-2</v>
      </c>
      <c r="Z53">
        <v>1.1000000000000001E-3</v>
      </c>
      <c r="AA53">
        <v>1.1000000000000001E-3</v>
      </c>
      <c r="AB53">
        <v>7.51E-2</v>
      </c>
    </row>
    <row r="54" spans="1:28" ht="15.75" x14ac:dyDescent="0.25">
      <c r="A54" t="s">
        <v>443</v>
      </c>
      <c r="B54" t="s">
        <v>444</v>
      </c>
      <c r="C54">
        <v>14</v>
      </c>
      <c r="D54">
        <v>6.2799999999999995E-2</v>
      </c>
      <c r="E54">
        <v>3.4799999999999998E-2</v>
      </c>
      <c r="F54">
        <v>9.6299999999999997E-2</v>
      </c>
      <c r="G54">
        <v>0.23430000000000001</v>
      </c>
      <c r="H54">
        <v>0.15</v>
      </c>
      <c r="I54">
        <v>0.24</v>
      </c>
      <c r="J54">
        <v>2.07E-2</v>
      </c>
      <c r="K54">
        <v>0.37719999999999998</v>
      </c>
      <c r="L54">
        <v>2.58E-2</v>
      </c>
      <c r="M54">
        <v>0.4854</v>
      </c>
      <c r="N54">
        <v>1.9800000000000002E-2</v>
      </c>
      <c r="O54">
        <v>4.1100000000000003</v>
      </c>
      <c r="P54">
        <v>0.39</v>
      </c>
      <c r="Q54">
        <v>5.75</v>
      </c>
      <c r="R54">
        <v>14.31</v>
      </c>
      <c r="S54">
        <v>2.5099999999999998</v>
      </c>
      <c r="T54">
        <v>14.41</v>
      </c>
      <c r="U54">
        <v>-2E-3</v>
      </c>
      <c r="V54">
        <v>2.29E-2</v>
      </c>
      <c r="W54">
        <v>1.1000000000000001E-3</v>
      </c>
      <c r="X54">
        <v>-0.1472</v>
      </c>
      <c r="Y54">
        <v>0.30630000000000002</v>
      </c>
      <c r="Z54">
        <v>0.1285</v>
      </c>
      <c r="AA54">
        <v>0.1285</v>
      </c>
      <c r="AB54">
        <v>2.7099999999999999E-2</v>
      </c>
    </row>
    <row r="55" spans="1:28" ht="15.75" x14ac:dyDescent="0.25">
      <c r="A55" t="s">
        <v>445</v>
      </c>
      <c r="B55" t="s">
        <v>446</v>
      </c>
      <c r="C55">
        <v>18</v>
      </c>
      <c r="D55">
        <v>0.1201</v>
      </c>
      <c r="E55">
        <v>1.5599999999999999E-2</v>
      </c>
      <c r="F55">
        <v>8.8900000000000007E-2</v>
      </c>
      <c r="G55">
        <v>3.8699999999999998E-2</v>
      </c>
      <c r="H55">
        <v>0.81</v>
      </c>
      <c r="I55">
        <v>1.03</v>
      </c>
      <c r="J55">
        <v>5.8099999999999999E-2</v>
      </c>
      <c r="K55">
        <v>0.58030000000000004</v>
      </c>
      <c r="L55">
        <v>0.03</v>
      </c>
      <c r="M55">
        <v>0.35899999999999999</v>
      </c>
      <c r="N55">
        <v>4.5100000000000001E-2</v>
      </c>
      <c r="O55">
        <v>5.82</v>
      </c>
      <c r="P55">
        <v>0.54</v>
      </c>
      <c r="Q55">
        <v>15.87</v>
      </c>
      <c r="R55">
        <v>35.36</v>
      </c>
      <c r="S55">
        <v>5.0199999999999996</v>
      </c>
      <c r="T55">
        <v>8.64</v>
      </c>
      <c r="U55">
        <v>5.3800000000000001E-2</v>
      </c>
      <c r="V55">
        <v>1.0200000000000001E-2</v>
      </c>
      <c r="W55">
        <v>2.6100000000000002E-2</v>
      </c>
      <c r="X55">
        <v>0.87560000000000004</v>
      </c>
      <c r="Y55">
        <v>-5.0299999999999997E-2</v>
      </c>
      <c r="Z55">
        <v>2E-3</v>
      </c>
      <c r="AA55">
        <v>2E-3</v>
      </c>
      <c r="AB55">
        <v>1.54E-2</v>
      </c>
    </row>
    <row r="56" spans="1:28" ht="15.75" x14ac:dyDescent="0.25">
      <c r="A56" t="s">
        <v>447</v>
      </c>
      <c r="B56" t="s">
        <v>448</v>
      </c>
      <c r="C56">
        <v>40</v>
      </c>
      <c r="D56">
        <v>5.0799999999999998E-2</v>
      </c>
      <c r="E56">
        <v>7.9799999999999996E-2</v>
      </c>
      <c r="F56">
        <v>0.1459</v>
      </c>
      <c r="G56">
        <v>0.18920000000000001</v>
      </c>
      <c r="H56">
        <v>0.78</v>
      </c>
      <c r="I56">
        <v>0.88</v>
      </c>
      <c r="J56">
        <v>5.0999999999999997E-2</v>
      </c>
      <c r="K56">
        <v>0.4052</v>
      </c>
      <c r="L56">
        <v>0.03</v>
      </c>
      <c r="M56">
        <v>0.25409999999999999</v>
      </c>
      <c r="N56">
        <v>4.36E-2</v>
      </c>
      <c r="O56">
        <v>1.88</v>
      </c>
      <c r="P56">
        <v>1.31</v>
      </c>
      <c r="Q56">
        <v>9.73</v>
      </c>
      <c r="R56">
        <v>15.82</v>
      </c>
      <c r="S56">
        <v>2.68</v>
      </c>
      <c r="T56">
        <v>125.5</v>
      </c>
      <c r="U56">
        <v>0.106</v>
      </c>
      <c r="V56">
        <v>2.7400000000000001E-2</v>
      </c>
      <c r="W56">
        <v>1.37E-2</v>
      </c>
      <c r="X56">
        <v>-0.26829999999999998</v>
      </c>
      <c r="Y56">
        <v>0.13370000000000001</v>
      </c>
      <c r="Z56">
        <v>0.2717</v>
      </c>
      <c r="AA56">
        <v>0.2717</v>
      </c>
      <c r="AB56">
        <v>8.1600000000000006E-2</v>
      </c>
    </row>
    <row r="57" spans="1:28" ht="15.75" x14ac:dyDescent="0.25">
      <c r="A57" t="s">
        <v>449</v>
      </c>
      <c r="B57" t="s">
        <v>450</v>
      </c>
      <c r="C57">
        <v>66</v>
      </c>
      <c r="D57">
        <v>-3.8E-3</v>
      </c>
      <c r="E57">
        <v>-0.10340000000000001</v>
      </c>
      <c r="F57">
        <v>-5.2400000000000002E-2</v>
      </c>
      <c r="G57">
        <v>0.2334</v>
      </c>
      <c r="H57">
        <v>1.19</v>
      </c>
      <c r="I57">
        <v>1.56</v>
      </c>
      <c r="J57">
        <v>8.3199999999999996E-2</v>
      </c>
      <c r="K57">
        <v>0.43690000000000001</v>
      </c>
      <c r="L57">
        <v>0.03</v>
      </c>
      <c r="M57">
        <v>0.36399999999999999</v>
      </c>
      <c r="N57">
        <v>6.0900000000000003E-2</v>
      </c>
      <c r="O57">
        <v>0.38</v>
      </c>
      <c r="P57">
        <v>8.08</v>
      </c>
      <c r="Q57">
        <v>38.32</v>
      </c>
      <c r="R57" t="s">
        <v>354</v>
      </c>
      <c r="S57">
        <v>6.1</v>
      </c>
      <c r="T57">
        <v>64.17</v>
      </c>
      <c r="U57">
        <v>0.15670000000000001</v>
      </c>
      <c r="V57">
        <v>0.18509999999999999</v>
      </c>
      <c r="W57">
        <v>0.13</v>
      </c>
      <c r="X57" t="s">
        <v>354</v>
      </c>
      <c r="Y57">
        <v>-0.30399999999999999</v>
      </c>
      <c r="Z57">
        <v>5.0000000000000001E-3</v>
      </c>
      <c r="AA57">
        <v>5.0000000000000001E-3</v>
      </c>
      <c r="AB57">
        <v>-0.1401</v>
      </c>
    </row>
    <row r="58" spans="1:28" ht="15.75" x14ac:dyDescent="0.25">
      <c r="A58" t="s">
        <v>451</v>
      </c>
      <c r="B58" t="s">
        <v>452</v>
      </c>
      <c r="C58">
        <v>77</v>
      </c>
      <c r="D58">
        <v>0.12189999999999999</v>
      </c>
      <c r="E58">
        <v>0.23400000000000001</v>
      </c>
      <c r="F58">
        <v>0.24340000000000001</v>
      </c>
      <c r="G58">
        <v>0.20349999999999999</v>
      </c>
      <c r="H58">
        <v>0.97</v>
      </c>
      <c r="I58">
        <v>1.01</v>
      </c>
      <c r="J58">
        <v>5.7000000000000002E-2</v>
      </c>
      <c r="K58">
        <v>0.42370000000000002</v>
      </c>
      <c r="L58">
        <v>0.03</v>
      </c>
      <c r="M58">
        <v>8.5599999999999996E-2</v>
      </c>
      <c r="N58">
        <v>5.3999999999999999E-2</v>
      </c>
      <c r="O58">
        <v>1.1399999999999999</v>
      </c>
      <c r="P58">
        <v>10.54</v>
      </c>
      <c r="Q58">
        <v>31.7</v>
      </c>
      <c r="R58">
        <v>44.48</v>
      </c>
      <c r="S58">
        <v>8.3800000000000008</v>
      </c>
      <c r="T58">
        <v>71.13</v>
      </c>
      <c r="U58">
        <v>6.7900000000000002E-2</v>
      </c>
      <c r="V58">
        <v>3.0700000000000002E-2</v>
      </c>
      <c r="W58">
        <v>-1.5E-3</v>
      </c>
      <c r="X58">
        <v>-7.0800000000000002E-2</v>
      </c>
      <c r="Y58">
        <v>0.14349999999999999</v>
      </c>
      <c r="Z58">
        <v>0.3241</v>
      </c>
      <c r="AA58">
        <v>0.3241</v>
      </c>
      <c r="AB58">
        <v>0.2361</v>
      </c>
    </row>
    <row r="59" spans="1:28" ht="15.75" x14ac:dyDescent="0.25">
      <c r="A59" t="s">
        <v>453</v>
      </c>
      <c r="B59" t="s">
        <v>454</v>
      </c>
      <c r="C59">
        <v>129</v>
      </c>
      <c r="D59">
        <v>0.1754</v>
      </c>
      <c r="E59">
        <v>4.9700000000000001E-2</v>
      </c>
      <c r="F59">
        <v>0.35270000000000001</v>
      </c>
      <c r="G59">
        <v>0.24049999999999999</v>
      </c>
      <c r="H59">
        <v>0.74</v>
      </c>
      <c r="I59">
        <v>0.85</v>
      </c>
      <c r="J59">
        <v>4.9500000000000002E-2</v>
      </c>
      <c r="K59">
        <v>0.44490000000000002</v>
      </c>
      <c r="L59">
        <v>0.03</v>
      </c>
      <c r="M59">
        <v>0.2407</v>
      </c>
      <c r="N59">
        <v>4.2799999999999998E-2</v>
      </c>
      <c r="O59">
        <v>7.72</v>
      </c>
      <c r="P59">
        <v>0.68</v>
      </c>
      <c r="Q59">
        <v>10.36</v>
      </c>
      <c r="R59">
        <v>13.63</v>
      </c>
      <c r="S59">
        <v>2.91</v>
      </c>
      <c r="T59">
        <v>104.18</v>
      </c>
      <c r="U59">
        <v>-5.33E-2</v>
      </c>
      <c r="V59">
        <v>7.4000000000000003E-3</v>
      </c>
      <c r="W59">
        <v>6.7999999999999996E-3</v>
      </c>
      <c r="X59">
        <v>0.19570000000000001</v>
      </c>
      <c r="Y59">
        <v>0.16600000000000001</v>
      </c>
      <c r="Z59">
        <v>0.25629999999999997</v>
      </c>
      <c r="AA59">
        <v>0.25629999999999997</v>
      </c>
      <c r="AB59">
        <v>4.8399999999999999E-2</v>
      </c>
    </row>
    <row r="60" spans="1:28" ht="15.75" x14ac:dyDescent="0.25">
      <c r="A60" t="s">
        <v>455</v>
      </c>
      <c r="B60" t="s">
        <v>456</v>
      </c>
      <c r="C60">
        <v>32</v>
      </c>
      <c r="D60">
        <v>4.24E-2</v>
      </c>
      <c r="E60">
        <v>0.10199999999999999</v>
      </c>
      <c r="F60">
        <v>0.1318</v>
      </c>
      <c r="G60">
        <v>0.20319999999999999</v>
      </c>
      <c r="H60">
        <v>0.81</v>
      </c>
      <c r="I60">
        <v>1.28</v>
      </c>
      <c r="J60">
        <v>6.9900000000000004E-2</v>
      </c>
      <c r="K60">
        <v>0.49209999999999998</v>
      </c>
      <c r="L60">
        <v>0.03</v>
      </c>
      <c r="M60">
        <v>0.4985</v>
      </c>
      <c r="N60">
        <v>4.5900000000000003E-2</v>
      </c>
      <c r="O60">
        <v>1.51</v>
      </c>
      <c r="P60">
        <v>1.54</v>
      </c>
      <c r="Q60">
        <v>8.9700000000000006</v>
      </c>
      <c r="R60">
        <v>16.18</v>
      </c>
      <c r="S60">
        <v>5.78</v>
      </c>
      <c r="T60">
        <v>44.61</v>
      </c>
      <c r="U60">
        <v>3.3700000000000001E-2</v>
      </c>
      <c r="V60">
        <v>5.9200000000000003E-2</v>
      </c>
      <c r="W60">
        <v>1.3899999999999999E-2</v>
      </c>
      <c r="X60">
        <v>-0.26100000000000001</v>
      </c>
      <c r="Y60">
        <v>0.70640000000000003</v>
      </c>
      <c r="Z60">
        <v>0.1091</v>
      </c>
      <c r="AA60">
        <v>0.1091</v>
      </c>
      <c r="AB60">
        <v>9.4899999999999998E-2</v>
      </c>
    </row>
    <row r="61" spans="1:28" ht="15.75" x14ac:dyDescent="0.25">
      <c r="A61" t="s">
        <v>457</v>
      </c>
      <c r="B61" t="s">
        <v>458</v>
      </c>
      <c r="C61">
        <v>278</v>
      </c>
      <c r="D61">
        <v>-1.17E-2</v>
      </c>
      <c r="E61">
        <v>-0.214</v>
      </c>
      <c r="F61">
        <v>-6.3299999999999995E-2</v>
      </c>
      <c r="G61">
        <v>0.28589999999999999</v>
      </c>
      <c r="H61">
        <v>0.81</v>
      </c>
      <c r="I61">
        <v>1.18</v>
      </c>
      <c r="J61">
        <v>6.5199999999999994E-2</v>
      </c>
      <c r="K61">
        <v>0.56279999999999997</v>
      </c>
      <c r="L61">
        <v>0.03</v>
      </c>
      <c r="M61">
        <v>0.41889999999999999</v>
      </c>
      <c r="N61">
        <v>4.7E-2</v>
      </c>
      <c r="O61">
        <v>0.31</v>
      </c>
      <c r="P61">
        <v>2.91</v>
      </c>
      <c r="Q61">
        <v>6.39</v>
      </c>
      <c r="R61" t="s">
        <v>354</v>
      </c>
      <c r="S61">
        <v>1.21</v>
      </c>
      <c r="T61">
        <v>26.13</v>
      </c>
      <c r="U61">
        <v>1.29E-2</v>
      </c>
      <c r="V61">
        <v>0.38819999999999999</v>
      </c>
      <c r="W61">
        <v>-0.22850000000000001</v>
      </c>
      <c r="X61" t="s">
        <v>354</v>
      </c>
      <c r="Y61">
        <v>-0.37090000000000001</v>
      </c>
      <c r="Z61">
        <v>1.6799999999999999E-2</v>
      </c>
      <c r="AA61">
        <v>1.6799999999999999E-2</v>
      </c>
      <c r="AB61">
        <v>-0.20699999999999999</v>
      </c>
    </row>
    <row r="62" spans="1:28" ht="15.75" x14ac:dyDescent="0.25">
      <c r="A62" t="s">
        <v>459</v>
      </c>
      <c r="B62" t="s">
        <v>460</v>
      </c>
      <c r="C62">
        <v>57</v>
      </c>
      <c r="D62">
        <v>0.1074</v>
      </c>
      <c r="E62">
        <v>0.17430000000000001</v>
      </c>
      <c r="F62">
        <v>9.01E-2</v>
      </c>
      <c r="G62">
        <v>8.7400000000000005E-2</v>
      </c>
      <c r="H62">
        <v>0.6</v>
      </c>
      <c r="I62">
        <v>1.1599999999999999</v>
      </c>
      <c r="J62">
        <v>6.3899999999999998E-2</v>
      </c>
      <c r="K62">
        <v>0.4078</v>
      </c>
      <c r="L62">
        <v>0.03</v>
      </c>
      <c r="M62">
        <v>0.56459999999999999</v>
      </c>
      <c r="N62">
        <v>4.02E-2</v>
      </c>
      <c r="O62">
        <v>0.54</v>
      </c>
      <c r="P62">
        <v>2.42</v>
      </c>
      <c r="Q62">
        <v>9.1199999999999992</v>
      </c>
      <c r="R62">
        <v>13.95</v>
      </c>
      <c r="S62">
        <v>1.24</v>
      </c>
      <c r="T62">
        <v>37.08</v>
      </c>
      <c r="U62">
        <v>6.9699999999999998E-2</v>
      </c>
      <c r="V62">
        <v>0.1348</v>
      </c>
      <c r="W62">
        <v>5.0099999999999999E-2</v>
      </c>
      <c r="X62">
        <v>0.36480000000000001</v>
      </c>
      <c r="Y62">
        <v>1.2800000000000001E-2</v>
      </c>
      <c r="Z62">
        <v>4.6600000000000003E-2</v>
      </c>
      <c r="AA62">
        <v>4.6600000000000003E-2</v>
      </c>
      <c r="AB62">
        <v>0.17380000000000001</v>
      </c>
    </row>
    <row r="63" spans="1:28" ht="15.75" x14ac:dyDescent="0.25">
      <c r="A63" t="s">
        <v>461</v>
      </c>
      <c r="B63" t="s">
        <v>462</v>
      </c>
      <c r="C63">
        <v>135</v>
      </c>
      <c r="D63">
        <v>-6.8599999999999994E-2</v>
      </c>
      <c r="E63">
        <v>4.7000000000000002E-3</v>
      </c>
      <c r="F63">
        <v>1.29E-2</v>
      </c>
      <c r="G63">
        <v>4.3700000000000003E-2</v>
      </c>
      <c r="H63">
        <v>0.84</v>
      </c>
      <c r="I63">
        <v>1.21</v>
      </c>
      <c r="J63">
        <v>6.6299999999999998E-2</v>
      </c>
      <c r="K63">
        <v>0.50270000000000004</v>
      </c>
      <c r="L63">
        <v>0.03</v>
      </c>
      <c r="M63">
        <v>0.43640000000000001</v>
      </c>
      <c r="N63">
        <v>4.6899999999999997E-2</v>
      </c>
      <c r="O63">
        <v>1.88</v>
      </c>
      <c r="P63">
        <v>0.73</v>
      </c>
      <c r="Q63">
        <v>11.35</v>
      </c>
      <c r="R63">
        <v>95.78</v>
      </c>
      <c r="S63">
        <v>1.3</v>
      </c>
      <c r="T63">
        <v>31.78</v>
      </c>
      <c r="U63">
        <v>0.11409999999999999</v>
      </c>
      <c r="V63">
        <v>4.1399999999999999E-2</v>
      </c>
      <c r="W63">
        <v>-8.0000000000000004E-4</v>
      </c>
      <c r="X63">
        <v>-0.39829999999999999</v>
      </c>
      <c r="Y63">
        <v>-0.26629999999999998</v>
      </c>
      <c r="Z63">
        <v>3.0000000000000001E-3</v>
      </c>
      <c r="AA63">
        <v>3.0000000000000001E-3</v>
      </c>
      <c r="AB63">
        <v>7.0000000000000001E-3</v>
      </c>
    </row>
    <row r="64" spans="1:28" ht="15.75" x14ac:dyDescent="0.25">
      <c r="A64" t="s">
        <v>463</v>
      </c>
      <c r="B64" t="s">
        <v>464</v>
      </c>
      <c r="C64">
        <v>21</v>
      </c>
      <c r="D64">
        <v>5.5100000000000003E-2</v>
      </c>
      <c r="E64">
        <v>0.1283</v>
      </c>
      <c r="F64">
        <v>9.2600000000000002E-2</v>
      </c>
      <c r="G64">
        <v>0.193</v>
      </c>
      <c r="H64">
        <v>0.56000000000000005</v>
      </c>
      <c r="I64">
        <v>0.68</v>
      </c>
      <c r="J64">
        <v>4.1500000000000002E-2</v>
      </c>
      <c r="K64">
        <v>0.30120000000000002</v>
      </c>
      <c r="L64">
        <v>2.58E-2</v>
      </c>
      <c r="M64">
        <v>0.2898</v>
      </c>
      <c r="N64">
        <v>3.49E-2</v>
      </c>
      <c r="O64">
        <v>0.82</v>
      </c>
      <c r="P64">
        <v>1.97</v>
      </c>
      <c r="Q64">
        <v>9.99</v>
      </c>
      <c r="R64">
        <v>15.01</v>
      </c>
      <c r="S64">
        <v>1.45</v>
      </c>
      <c r="T64">
        <v>50.36</v>
      </c>
      <c r="U64">
        <v>-0.15440000000000001</v>
      </c>
      <c r="V64">
        <v>7.7999999999999996E-3</v>
      </c>
      <c r="W64">
        <v>-3.1699999999999999E-2</v>
      </c>
      <c r="X64">
        <v>-0.44469999999999998</v>
      </c>
      <c r="Y64">
        <v>1.49E-2</v>
      </c>
      <c r="Z64">
        <v>1.9278999999999999</v>
      </c>
      <c r="AA64">
        <v>1.9278999999999999</v>
      </c>
      <c r="AB64">
        <v>0.12920000000000001</v>
      </c>
    </row>
    <row r="65" spans="1:28" ht="15.75" x14ac:dyDescent="0.25">
      <c r="A65" t="s">
        <v>465</v>
      </c>
      <c r="B65" t="s">
        <v>466</v>
      </c>
      <c r="C65">
        <v>55</v>
      </c>
      <c r="D65">
        <v>3.09E-2</v>
      </c>
      <c r="E65">
        <v>0.1085</v>
      </c>
      <c r="F65">
        <v>0.1074</v>
      </c>
      <c r="G65">
        <v>0.1946</v>
      </c>
      <c r="H65">
        <v>0.57999999999999996</v>
      </c>
      <c r="I65">
        <v>0.64</v>
      </c>
      <c r="J65">
        <v>3.9699999999999999E-2</v>
      </c>
      <c r="K65">
        <v>0.2293</v>
      </c>
      <c r="L65">
        <v>1.9199999999999998E-2</v>
      </c>
      <c r="M65">
        <v>0.20039999999999999</v>
      </c>
      <c r="N65">
        <v>3.4500000000000003E-2</v>
      </c>
      <c r="O65">
        <v>1.1100000000000001</v>
      </c>
      <c r="P65">
        <v>1.44</v>
      </c>
      <c r="Q65">
        <v>9.69</v>
      </c>
      <c r="R65">
        <v>12.33</v>
      </c>
      <c r="S65">
        <v>1.54</v>
      </c>
      <c r="T65">
        <v>22.12</v>
      </c>
      <c r="U65">
        <v>-0.52800000000000002</v>
      </c>
      <c r="V65">
        <v>1.06E-2</v>
      </c>
      <c r="W65">
        <v>3.7000000000000002E-3</v>
      </c>
      <c r="X65">
        <v>0.13469999999999999</v>
      </c>
      <c r="Y65">
        <v>9.1899999999999996E-2</v>
      </c>
      <c r="Z65">
        <v>0.38390000000000002</v>
      </c>
      <c r="AA65">
        <v>0.38390000000000002</v>
      </c>
      <c r="AB65">
        <v>0.1089</v>
      </c>
    </row>
    <row r="66" spans="1:28" ht="15.75" x14ac:dyDescent="0.25">
      <c r="A66" t="s">
        <v>467</v>
      </c>
      <c r="B66" t="s">
        <v>468</v>
      </c>
      <c r="C66">
        <v>2</v>
      </c>
      <c r="D66">
        <v>9.11E-2</v>
      </c>
      <c r="E66">
        <v>4.2700000000000002E-2</v>
      </c>
      <c r="F66">
        <v>3.7400000000000003E-2</v>
      </c>
      <c r="G66">
        <v>0.25140000000000001</v>
      </c>
      <c r="H66">
        <v>1.1299999999999999</v>
      </c>
      <c r="I66">
        <v>1.1599999999999999</v>
      </c>
      <c r="J66">
        <v>6.4199999999999993E-2</v>
      </c>
      <c r="K66">
        <v>0.25230000000000002</v>
      </c>
      <c r="L66">
        <v>2.58E-2</v>
      </c>
      <c r="M66">
        <v>0.27810000000000001</v>
      </c>
      <c r="N66">
        <v>5.16E-2</v>
      </c>
      <c r="O66">
        <v>1.02</v>
      </c>
      <c r="P66">
        <v>0.81</v>
      </c>
      <c r="Q66">
        <v>12.92</v>
      </c>
      <c r="R66">
        <v>19.18</v>
      </c>
      <c r="S66">
        <v>0.75</v>
      </c>
      <c r="T66">
        <v>15.2</v>
      </c>
      <c r="U66">
        <v>-7.5999999999999998E-2</v>
      </c>
      <c r="V66">
        <v>2.8999999999999998E-3</v>
      </c>
      <c r="W66">
        <v>-9.7999999999999997E-3</v>
      </c>
      <c r="X66">
        <v>-0.1714</v>
      </c>
      <c r="Y66">
        <v>2.4199999999999999E-2</v>
      </c>
      <c r="Z66">
        <v>0.36149999999999999</v>
      </c>
      <c r="AA66">
        <v>0.36149999999999999</v>
      </c>
      <c r="AB66">
        <v>4.2099999999999999E-2</v>
      </c>
    </row>
    <row r="67" spans="1:28" ht="15.75" x14ac:dyDescent="0.25">
      <c r="A67" t="s">
        <v>469</v>
      </c>
      <c r="B67" t="s">
        <v>470</v>
      </c>
      <c r="C67">
        <v>36</v>
      </c>
      <c r="D67">
        <v>0.19339999999999999</v>
      </c>
      <c r="E67">
        <v>5.0599999999999999E-2</v>
      </c>
      <c r="F67">
        <v>6.6600000000000006E-2</v>
      </c>
      <c r="G67">
        <v>5.9700000000000003E-2</v>
      </c>
      <c r="H67">
        <v>0.75</v>
      </c>
      <c r="I67">
        <v>0.77</v>
      </c>
      <c r="J67">
        <v>4.58E-2</v>
      </c>
      <c r="K67">
        <v>0.32729999999999998</v>
      </c>
      <c r="L67">
        <v>2.58E-2</v>
      </c>
      <c r="M67">
        <v>8.1100000000000005E-2</v>
      </c>
      <c r="N67">
        <v>4.36E-2</v>
      </c>
      <c r="O67">
        <v>1.01</v>
      </c>
      <c r="P67">
        <v>15.67</v>
      </c>
      <c r="Q67">
        <v>19.21</v>
      </c>
      <c r="R67">
        <v>95.44</v>
      </c>
      <c r="S67">
        <v>15.19</v>
      </c>
      <c r="T67">
        <v>67.89</v>
      </c>
      <c r="U67">
        <v>0.10580000000000001</v>
      </c>
      <c r="V67">
        <v>7.9000000000000001E-2</v>
      </c>
      <c r="W67">
        <v>6.9500000000000006E-2</v>
      </c>
      <c r="X67">
        <v>2.1724000000000001</v>
      </c>
      <c r="Y67">
        <v>-0.1123</v>
      </c>
      <c r="Z67">
        <v>1.8E-3</v>
      </c>
      <c r="AA67">
        <v>1.8E-3</v>
      </c>
      <c r="AB67">
        <v>6.7799999999999999E-2</v>
      </c>
    </row>
    <row r="68" spans="1:28" ht="15.75" x14ac:dyDescent="0.25">
      <c r="A68" t="s">
        <v>471</v>
      </c>
      <c r="B68" t="s">
        <v>472</v>
      </c>
      <c r="C68">
        <v>75</v>
      </c>
      <c r="D68">
        <v>9.2799999999999994E-2</v>
      </c>
      <c r="E68">
        <v>5.74E-2</v>
      </c>
      <c r="F68">
        <v>0.1104</v>
      </c>
      <c r="G68">
        <v>0.1613</v>
      </c>
      <c r="H68">
        <v>1.1399999999999999</v>
      </c>
      <c r="I68">
        <v>1.1599999999999999</v>
      </c>
      <c r="J68">
        <v>6.4199999999999993E-2</v>
      </c>
      <c r="K68">
        <v>0.52869999999999995</v>
      </c>
      <c r="L68">
        <v>0.03</v>
      </c>
      <c r="M68">
        <v>6.6699999999999995E-2</v>
      </c>
      <c r="N68">
        <v>6.1400000000000003E-2</v>
      </c>
      <c r="O68">
        <v>1.8</v>
      </c>
      <c r="P68">
        <v>4.71</v>
      </c>
      <c r="Q68">
        <v>33.19</v>
      </c>
      <c r="R68">
        <v>83.83</v>
      </c>
      <c r="S68">
        <v>18.62</v>
      </c>
      <c r="T68">
        <v>131.27000000000001</v>
      </c>
      <c r="U68">
        <v>-3.6999999999999998E-2</v>
      </c>
      <c r="V68">
        <v>7.7200000000000005E-2</v>
      </c>
      <c r="W68">
        <v>3.5499999999999997E-2</v>
      </c>
      <c r="X68">
        <v>0.55369999999999997</v>
      </c>
      <c r="Y68">
        <v>0.27050000000000002</v>
      </c>
      <c r="Z68">
        <v>5.6599999999999998E-2</v>
      </c>
      <c r="AA68">
        <v>5.6599999999999998E-2</v>
      </c>
      <c r="AB68">
        <v>6.2899999999999998E-2</v>
      </c>
    </row>
    <row r="69" spans="1:28" ht="15.75" x14ac:dyDescent="0.25">
      <c r="A69" t="s">
        <v>473</v>
      </c>
      <c r="B69" t="s">
        <v>474</v>
      </c>
      <c r="C69">
        <v>39</v>
      </c>
      <c r="D69">
        <v>9.5100000000000004E-2</v>
      </c>
      <c r="E69">
        <v>4.1999999999999997E-3</v>
      </c>
      <c r="F69">
        <v>0</v>
      </c>
      <c r="G69">
        <v>0.2218</v>
      </c>
      <c r="H69">
        <v>0.57999999999999996</v>
      </c>
      <c r="I69">
        <v>1.1299999999999999</v>
      </c>
      <c r="J69">
        <v>6.2700000000000006E-2</v>
      </c>
      <c r="K69">
        <v>0.35899999999999999</v>
      </c>
      <c r="L69">
        <v>2.58E-2</v>
      </c>
      <c r="M69">
        <v>0.68640000000000001</v>
      </c>
      <c r="N69">
        <v>3.2599999999999997E-2</v>
      </c>
      <c r="O69">
        <v>0.22</v>
      </c>
      <c r="P69">
        <v>4.93</v>
      </c>
      <c r="Q69" t="s">
        <v>354</v>
      </c>
      <c r="R69" t="s">
        <v>354</v>
      </c>
      <c r="S69">
        <v>1.52</v>
      </c>
      <c r="T69">
        <v>82.2</v>
      </c>
      <c r="U69" t="s">
        <v>354</v>
      </c>
      <c r="V69">
        <v>5.2400000000000002E-2</v>
      </c>
      <c r="W69">
        <v>2.7400000000000001E-2</v>
      </c>
      <c r="X69" t="s">
        <v>354</v>
      </c>
      <c r="Y69">
        <v>0.1208</v>
      </c>
      <c r="Z69">
        <v>0.2084</v>
      </c>
      <c r="AA69">
        <v>0.2084</v>
      </c>
      <c r="AB69">
        <v>-1E-4</v>
      </c>
    </row>
    <row r="70" spans="1:28" ht="15.75" x14ac:dyDescent="0.25">
      <c r="A70" t="s">
        <v>475</v>
      </c>
      <c r="B70" t="s">
        <v>476</v>
      </c>
      <c r="C70">
        <v>69</v>
      </c>
      <c r="D70">
        <v>2.6200000000000001E-2</v>
      </c>
      <c r="E70">
        <v>6.8099999999999994E-2</v>
      </c>
      <c r="F70">
        <v>8.6499999999999994E-2</v>
      </c>
      <c r="G70">
        <v>0.22559999999999999</v>
      </c>
      <c r="H70">
        <v>0.77</v>
      </c>
      <c r="I70">
        <v>0.87</v>
      </c>
      <c r="J70">
        <v>5.0200000000000002E-2</v>
      </c>
      <c r="K70">
        <v>0.56399999999999995</v>
      </c>
      <c r="L70">
        <v>0.03</v>
      </c>
      <c r="M70">
        <v>0.1968</v>
      </c>
      <c r="N70">
        <v>4.4600000000000001E-2</v>
      </c>
      <c r="O70">
        <v>1.42</v>
      </c>
      <c r="P70">
        <v>3.73</v>
      </c>
      <c r="Q70">
        <v>22.59</v>
      </c>
      <c r="R70">
        <v>52.06</v>
      </c>
      <c r="S70">
        <v>10.37</v>
      </c>
      <c r="T70">
        <v>155.38999999999999</v>
      </c>
      <c r="U70">
        <v>0.15659999999999999</v>
      </c>
      <c r="V70">
        <v>4.5600000000000002E-2</v>
      </c>
      <c r="W70">
        <v>0.1138</v>
      </c>
      <c r="X70">
        <v>2.0678000000000001</v>
      </c>
      <c r="Y70">
        <v>-7.1900000000000006E-2</v>
      </c>
      <c r="Z70">
        <v>7.1000000000000004E-3</v>
      </c>
      <c r="AA70">
        <v>7.1000000000000004E-3</v>
      </c>
      <c r="AB70">
        <v>6.4399999999999999E-2</v>
      </c>
    </row>
    <row r="71" spans="1:28" ht="15.75" x14ac:dyDescent="0.25">
      <c r="A71" t="s">
        <v>477</v>
      </c>
      <c r="B71" t="s">
        <v>478</v>
      </c>
      <c r="C71">
        <v>15</v>
      </c>
      <c r="D71">
        <v>5.1000000000000004E-3</v>
      </c>
      <c r="E71">
        <v>5.8400000000000001E-2</v>
      </c>
      <c r="F71">
        <v>8.3799999999999999E-2</v>
      </c>
      <c r="G71">
        <v>0.2109</v>
      </c>
      <c r="H71">
        <v>0.96</v>
      </c>
      <c r="I71">
        <v>1.1399999999999999</v>
      </c>
      <c r="J71">
        <v>6.3E-2</v>
      </c>
      <c r="K71">
        <v>0.35670000000000002</v>
      </c>
      <c r="L71">
        <v>2.58E-2</v>
      </c>
      <c r="M71">
        <v>0.27289999999999998</v>
      </c>
      <c r="N71">
        <v>5.0999999999999997E-2</v>
      </c>
      <c r="O71">
        <v>1.48</v>
      </c>
      <c r="P71">
        <v>0.94</v>
      </c>
      <c r="Q71">
        <v>7.71</v>
      </c>
      <c r="R71">
        <v>15.65</v>
      </c>
      <c r="S71">
        <v>1.61</v>
      </c>
      <c r="T71">
        <v>20.05</v>
      </c>
      <c r="U71">
        <v>0.154</v>
      </c>
      <c r="V71">
        <v>3.85E-2</v>
      </c>
      <c r="W71">
        <v>-2.8999999999999998E-3</v>
      </c>
      <c r="X71">
        <v>-0.27910000000000001</v>
      </c>
      <c r="Y71">
        <v>4.6899999999999997E-2</v>
      </c>
      <c r="Z71">
        <v>1.1752</v>
      </c>
      <c r="AA71">
        <v>1.1752</v>
      </c>
      <c r="AB71">
        <v>6.0100000000000001E-2</v>
      </c>
    </row>
    <row r="72" spans="1:28" ht="15.75" x14ac:dyDescent="0.25">
      <c r="A72" t="s">
        <v>479</v>
      </c>
      <c r="B72" t="s">
        <v>480</v>
      </c>
      <c r="C72">
        <v>3</v>
      </c>
      <c r="D72">
        <v>-1.24E-2</v>
      </c>
      <c r="E72">
        <v>-4.2700000000000002E-2</v>
      </c>
      <c r="F72">
        <v>-2.3300000000000001E-2</v>
      </c>
      <c r="G72">
        <v>0.25629999999999997</v>
      </c>
      <c r="H72">
        <v>0.99</v>
      </c>
      <c r="I72">
        <v>1.26</v>
      </c>
      <c r="J72">
        <v>6.88E-2</v>
      </c>
      <c r="K72">
        <v>0.26390000000000002</v>
      </c>
      <c r="L72">
        <v>2.58E-2</v>
      </c>
      <c r="M72">
        <v>0.30599999999999999</v>
      </c>
      <c r="N72">
        <v>5.3499999999999999E-2</v>
      </c>
      <c r="O72">
        <v>0.64</v>
      </c>
      <c r="P72">
        <v>1.54</v>
      </c>
      <c r="Q72">
        <v>10.77</v>
      </c>
      <c r="R72" t="s">
        <v>354</v>
      </c>
      <c r="S72">
        <v>1.05</v>
      </c>
      <c r="T72">
        <v>52.5</v>
      </c>
      <c r="U72">
        <v>5.3900000000000003E-2</v>
      </c>
      <c r="V72">
        <v>0.111</v>
      </c>
      <c r="W72">
        <v>-6.7299999999999999E-2</v>
      </c>
      <c r="X72" t="s">
        <v>354</v>
      </c>
      <c r="Y72">
        <v>-6.1899999999999997E-2</v>
      </c>
      <c r="Z72">
        <v>4.48E-2</v>
      </c>
      <c r="AA72">
        <v>4.48E-2</v>
      </c>
      <c r="AB72">
        <v>-3.9600000000000003E-2</v>
      </c>
    </row>
    <row r="73" spans="1:28" ht="15.75" x14ac:dyDescent="0.25">
      <c r="A73" t="s">
        <v>481</v>
      </c>
      <c r="B73" t="s">
        <v>482</v>
      </c>
      <c r="C73">
        <v>11</v>
      </c>
      <c r="D73">
        <v>3.1E-2</v>
      </c>
      <c r="E73">
        <v>5.11E-2</v>
      </c>
      <c r="F73">
        <v>3.7400000000000003E-2</v>
      </c>
      <c r="G73">
        <v>0.24390000000000001</v>
      </c>
      <c r="H73">
        <v>0.74</v>
      </c>
      <c r="I73">
        <v>1.04</v>
      </c>
      <c r="J73">
        <v>5.8200000000000002E-2</v>
      </c>
      <c r="K73">
        <v>0.29830000000000001</v>
      </c>
      <c r="L73">
        <v>2.58E-2</v>
      </c>
      <c r="M73">
        <v>0.38329999999999997</v>
      </c>
      <c r="N73">
        <v>4.3099999999999999E-2</v>
      </c>
      <c r="O73">
        <v>0.68</v>
      </c>
      <c r="P73">
        <v>1.74</v>
      </c>
      <c r="Q73">
        <v>10.67</v>
      </c>
      <c r="R73">
        <v>30.64</v>
      </c>
      <c r="S73">
        <v>1.1299999999999999</v>
      </c>
      <c r="T73">
        <v>49.99</v>
      </c>
      <c r="U73">
        <v>8.5699999999999998E-2</v>
      </c>
      <c r="V73">
        <v>9.7299999999999998E-2</v>
      </c>
      <c r="W73">
        <v>7.0999999999999994E-2</v>
      </c>
      <c r="X73">
        <v>1.2447999999999999</v>
      </c>
      <c r="Y73">
        <v>-5.7000000000000002E-2</v>
      </c>
      <c r="Z73">
        <v>1.6000000000000001E-3</v>
      </c>
      <c r="AA73">
        <v>1.6000000000000001E-3</v>
      </c>
      <c r="AB73">
        <v>5.6599999999999998E-2</v>
      </c>
    </row>
    <row r="74" spans="1:28" ht="15.75" x14ac:dyDescent="0.25">
      <c r="A74" t="s">
        <v>483</v>
      </c>
      <c r="B74" t="s">
        <v>484</v>
      </c>
      <c r="C74">
        <v>16</v>
      </c>
      <c r="D74">
        <v>6.5299999999999997E-2</v>
      </c>
      <c r="E74">
        <v>0.12479999999999999</v>
      </c>
      <c r="F74">
        <v>0.1022</v>
      </c>
      <c r="G74">
        <v>0.22650000000000001</v>
      </c>
      <c r="H74">
        <v>0.39</v>
      </c>
      <c r="I74">
        <v>0.53</v>
      </c>
      <c r="J74">
        <v>3.44E-2</v>
      </c>
      <c r="K74">
        <v>0.39779999999999999</v>
      </c>
      <c r="L74">
        <v>2.58E-2</v>
      </c>
      <c r="M74">
        <v>0.35299999999999998</v>
      </c>
      <c r="N74">
        <v>2.8899999999999999E-2</v>
      </c>
      <c r="O74">
        <v>0.84</v>
      </c>
      <c r="P74">
        <v>3.67</v>
      </c>
      <c r="Q74">
        <v>10.14</v>
      </c>
      <c r="R74">
        <v>29.55</v>
      </c>
      <c r="S74">
        <v>2.36</v>
      </c>
      <c r="T74">
        <v>24.68</v>
      </c>
      <c r="U74">
        <v>0.1099</v>
      </c>
      <c r="V74">
        <v>0.15329999999999999</v>
      </c>
      <c r="W74">
        <v>3.5200000000000002E-2</v>
      </c>
      <c r="X74">
        <v>1.6819999999999999</v>
      </c>
      <c r="Y74">
        <v>8.9099999999999999E-2</v>
      </c>
      <c r="Z74">
        <v>3.04E-2</v>
      </c>
      <c r="AA74">
        <v>3.04E-2</v>
      </c>
      <c r="AB74">
        <v>0.1265</v>
      </c>
    </row>
    <row r="75" spans="1:28" ht="15.75" x14ac:dyDescent="0.25">
      <c r="A75" t="s">
        <v>485</v>
      </c>
      <c r="B75" t="s">
        <v>486</v>
      </c>
      <c r="C75">
        <v>22</v>
      </c>
      <c r="D75">
        <v>7.7999999999999996E-3</v>
      </c>
      <c r="E75">
        <v>7.4999999999999997E-2</v>
      </c>
      <c r="F75">
        <v>0.12839999999999999</v>
      </c>
      <c r="G75">
        <v>0.24</v>
      </c>
      <c r="H75">
        <v>0.83</v>
      </c>
      <c r="I75">
        <v>1</v>
      </c>
      <c r="J75">
        <v>5.6500000000000002E-2</v>
      </c>
      <c r="K75">
        <v>0.31109999999999999</v>
      </c>
      <c r="L75">
        <v>2.58E-2</v>
      </c>
      <c r="M75">
        <v>0.32350000000000001</v>
      </c>
      <c r="N75">
        <v>4.4299999999999999E-2</v>
      </c>
      <c r="O75">
        <v>1.97</v>
      </c>
      <c r="P75">
        <v>1.1200000000000001</v>
      </c>
      <c r="Q75">
        <v>8.82</v>
      </c>
      <c r="R75">
        <v>14.77</v>
      </c>
      <c r="S75">
        <v>2.6</v>
      </c>
      <c r="T75">
        <v>33.03</v>
      </c>
      <c r="U75">
        <v>6.6600000000000006E-2</v>
      </c>
      <c r="V75">
        <v>2.81E-2</v>
      </c>
      <c r="W75">
        <v>3.7000000000000002E-3</v>
      </c>
      <c r="X75">
        <v>-0.1066</v>
      </c>
      <c r="Y75">
        <v>6.3600000000000004E-2</v>
      </c>
      <c r="Z75">
        <v>0.91769999999999996</v>
      </c>
      <c r="AA75">
        <v>0.91769999999999996</v>
      </c>
      <c r="AB75">
        <v>7.51E-2</v>
      </c>
    </row>
    <row r="76" spans="1:28" ht="15.75" x14ac:dyDescent="0.25">
      <c r="A76" t="s">
        <v>487</v>
      </c>
      <c r="B76" t="s">
        <v>488</v>
      </c>
      <c r="C76">
        <v>26</v>
      </c>
      <c r="D76">
        <v>2.52E-2</v>
      </c>
      <c r="E76">
        <v>9.6600000000000005E-2</v>
      </c>
      <c r="F76">
        <v>0.1225</v>
      </c>
      <c r="G76">
        <v>0.25380000000000003</v>
      </c>
      <c r="H76">
        <v>0.68</v>
      </c>
      <c r="I76">
        <v>0.92</v>
      </c>
      <c r="J76">
        <v>5.28E-2</v>
      </c>
      <c r="K76">
        <v>0.29220000000000002</v>
      </c>
      <c r="L76">
        <v>2.58E-2</v>
      </c>
      <c r="M76">
        <v>0.3553</v>
      </c>
      <c r="N76">
        <v>4.07E-2</v>
      </c>
      <c r="O76">
        <v>1.47</v>
      </c>
      <c r="P76">
        <v>1.72</v>
      </c>
      <c r="Q76">
        <v>10.34</v>
      </c>
      <c r="R76">
        <v>17.48</v>
      </c>
      <c r="S76">
        <v>3.76</v>
      </c>
      <c r="T76">
        <v>24.25</v>
      </c>
      <c r="U76">
        <v>7.2300000000000003E-2</v>
      </c>
      <c r="V76">
        <v>5.3400000000000003E-2</v>
      </c>
      <c r="W76">
        <v>2.18E-2</v>
      </c>
      <c r="X76">
        <v>0.22770000000000001</v>
      </c>
      <c r="Y76">
        <v>9.7600000000000006E-2</v>
      </c>
      <c r="Z76">
        <v>0.64939999999999998</v>
      </c>
      <c r="AA76">
        <v>0.64939999999999998</v>
      </c>
      <c r="AB76">
        <v>9.8599999999999993E-2</v>
      </c>
    </row>
    <row r="77" spans="1:28" ht="15.75" x14ac:dyDescent="0.25">
      <c r="A77" t="s">
        <v>489</v>
      </c>
      <c r="B77" t="s">
        <v>490</v>
      </c>
      <c r="C77">
        <v>86</v>
      </c>
      <c r="D77">
        <v>7.8799999999999995E-2</v>
      </c>
      <c r="E77">
        <v>0.1192</v>
      </c>
      <c r="F77">
        <v>0.19189999999999999</v>
      </c>
      <c r="G77">
        <v>0.20680000000000001</v>
      </c>
      <c r="H77">
        <v>0.82</v>
      </c>
      <c r="I77">
        <v>0.95</v>
      </c>
      <c r="J77">
        <v>5.4300000000000001E-2</v>
      </c>
      <c r="K77">
        <v>0.50429999999999997</v>
      </c>
      <c r="L77">
        <v>0.03</v>
      </c>
      <c r="M77">
        <v>0.20130000000000001</v>
      </c>
      <c r="N77">
        <v>4.7800000000000002E-2</v>
      </c>
      <c r="O77">
        <v>1.63</v>
      </c>
      <c r="P77">
        <v>3.34</v>
      </c>
      <c r="Q77">
        <v>14.98</v>
      </c>
      <c r="R77">
        <v>27.42</v>
      </c>
      <c r="S77">
        <v>4.68</v>
      </c>
      <c r="T77">
        <v>549.58000000000004</v>
      </c>
      <c r="U77">
        <v>9.5600000000000004E-2</v>
      </c>
      <c r="V77">
        <v>7.4899999999999994E-2</v>
      </c>
      <c r="W77">
        <v>2.8299999999999999E-2</v>
      </c>
      <c r="X77">
        <v>0.22500000000000001</v>
      </c>
      <c r="Y77">
        <v>6.2100000000000002E-2</v>
      </c>
      <c r="Z77">
        <v>0.9476</v>
      </c>
      <c r="AA77">
        <v>0.9476</v>
      </c>
      <c r="AB77">
        <v>0.121</v>
      </c>
    </row>
    <row r="78" spans="1:28" ht="15.75" x14ac:dyDescent="0.25">
      <c r="A78" t="s">
        <v>491</v>
      </c>
      <c r="B78" t="s">
        <v>492</v>
      </c>
      <c r="C78">
        <v>61</v>
      </c>
      <c r="D78">
        <v>2.1000000000000001E-2</v>
      </c>
      <c r="E78">
        <v>4.1300000000000003E-2</v>
      </c>
      <c r="F78">
        <v>7.9699999999999993E-2</v>
      </c>
      <c r="G78">
        <v>0.10489999999999999</v>
      </c>
      <c r="H78">
        <v>0.76</v>
      </c>
      <c r="I78">
        <v>0.92</v>
      </c>
      <c r="J78">
        <v>5.28E-2</v>
      </c>
      <c r="K78">
        <v>0.34720000000000001</v>
      </c>
      <c r="L78">
        <v>2.58E-2</v>
      </c>
      <c r="M78">
        <v>0.28970000000000001</v>
      </c>
      <c r="N78">
        <v>4.2900000000000001E-2</v>
      </c>
      <c r="O78">
        <v>2.0499999999999998</v>
      </c>
      <c r="P78">
        <v>1.56</v>
      </c>
      <c r="Q78">
        <v>14.82</v>
      </c>
      <c r="R78">
        <v>32.31</v>
      </c>
      <c r="S78">
        <v>3.21</v>
      </c>
      <c r="T78">
        <v>56.83</v>
      </c>
      <c r="U78">
        <v>0.1401</v>
      </c>
      <c r="V78">
        <v>1.2200000000000001E-2</v>
      </c>
      <c r="W78">
        <v>-6.4000000000000003E-3</v>
      </c>
      <c r="X78">
        <v>-0.93679999999999997</v>
      </c>
      <c r="Y78">
        <v>4.7100000000000003E-2</v>
      </c>
      <c r="Z78">
        <v>0.39079999999999998</v>
      </c>
      <c r="AA78">
        <v>0.39079999999999998</v>
      </c>
      <c r="AB78">
        <v>4.07E-2</v>
      </c>
    </row>
    <row r="79" spans="1:28" ht="15.75" x14ac:dyDescent="0.25">
      <c r="A79" t="s">
        <v>493</v>
      </c>
      <c r="B79" t="s">
        <v>494</v>
      </c>
      <c r="C79">
        <v>29</v>
      </c>
      <c r="D79">
        <v>3.0999999999999999E-3</v>
      </c>
      <c r="E79">
        <v>5.6399999999999999E-2</v>
      </c>
      <c r="F79">
        <v>0.1048</v>
      </c>
      <c r="G79">
        <v>0.2379</v>
      </c>
      <c r="H79">
        <v>1.1100000000000001</v>
      </c>
      <c r="I79">
        <v>1.41</v>
      </c>
      <c r="J79">
        <v>7.5800000000000006E-2</v>
      </c>
      <c r="K79">
        <v>0.37469999999999998</v>
      </c>
      <c r="L79">
        <v>2.58E-2</v>
      </c>
      <c r="M79">
        <v>0.35070000000000001</v>
      </c>
      <c r="N79">
        <v>5.5800000000000002E-2</v>
      </c>
      <c r="O79">
        <v>2.09</v>
      </c>
      <c r="P79">
        <v>1.17</v>
      </c>
      <c r="Q79">
        <v>9.77</v>
      </c>
      <c r="R79">
        <v>21.76</v>
      </c>
      <c r="S79">
        <v>2.0699999999999998</v>
      </c>
      <c r="T79">
        <v>48.94</v>
      </c>
      <c r="U79">
        <v>0.11600000000000001</v>
      </c>
      <c r="V79">
        <v>2.69E-2</v>
      </c>
      <c r="W79">
        <v>5.5999999999999999E-3</v>
      </c>
      <c r="X79">
        <v>-4.9099999999999998E-2</v>
      </c>
      <c r="Y79">
        <v>-0.14180000000000001</v>
      </c>
      <c r="Z79">
        <v>5.4000000000000003E-3</v>
      </c>
      <c r="AA79">
        <v>5.4000000000000003E-3</v>
      </c>
      <c r="AB79">
        <v>5.3100000000000001E-2</v>
      </c>
    </row>
    <row r="80" spans="1:28" ht="15.75" x14ac:dyDescent="0.25">
      <c r="A80" t="s">
        <v>495</v>
      </c>
      <c r="B80" t="s">
        <v>496</v>
      </c>
      <c r="C80">
        <v>6</v>
      </c>
      <c r="D80">
        <v>-1.47E-2</v>
      </c>
      <c r="E80">
        <v>0.39129999999999998</v>
      </c>
      <c r="F80">
        <v>0.12970000000000001</v>
      </c>
      <c r="G80">
        <v>0.23119999999999999</v>
      </c>
      <c r="H80">
        <v>0.74</v>
      </c>
      <c r="I80">
        <v>0.84</v>
      </c>
      <c r="J80">
        <v>4.9200000000000001E-2</v>
      </c>
      <c r="K80">
        <v>0.16830000000000001</v>
      </c>
      <c r="L80">
        <v>1.9199999999999998E-2</v>
      </c>
      <c r="M80">
        <v>0.18390000000000001</v>
      </c>
      <c r="N80">
        <v>4.2700000000000002E-2</v>
      </c>
      <c r="O80">
        <v>0.4</v>
      </c>
      <c r="P80">
        <v>8.1</v>
      </c>
      <c r="Q80">
        <v>15.46</v>
      </c>
      <c r="R80">
        <v>20.93</v>
      </c>
      <c r="S80">
        <v>5.82</v>
      </c>
      <c r="T80">
        <v>28.55</v>
      </c>
      <c r="U80">
        <v>1.6500000000000001E-2</v>
      </c>
      <c r="V80">
        <v>0.1636</v>
      </c>
      <c r="W80">
        <v>4.4499999999999998E-2</v>
      </c>
      <c r="X80">
        <v>0.1283</v>
      </c>
      <c r="Y80">
        <v>0.2147</v>
      </c>
      <c r="Z80">
        <v>0.4103</v>
      </c>
      <c r="AA80">
        <v>0.4103</v>
      </c>
      <c r="AB80">
        <v>0.38690000000000002</v>
      </c>
    </row>
    <row r="81" spans="1:28" ht="15.75" x14ac:dyDescent="0.25">
      <c r="A81" t="s">
        <v>497</v>
      </c>
      <c r="B81" t="s">
        <v>498</v>
      </c>
      <c r="C81">
        <v>11</v>
      </c>
      <c r="D81">
        <v>9.1999999999999998E-2</v>
      </c>
      <c r="E81">
        <v>6.93E-2</v>
      </c>
      <c r="F81">
        <v>1.9599999999999999E-2</v>
      </c>
      <c r="G81">
        <v>0.185</v>
      </c>
      <c r="H81">
        <v>0.76</v>
      </c>
      <c r="I81">
        <v>0.78</v>
      </c>
      <c r="J81">
        <v>4.6199999999999998E-2</v>
      </c>
      <c r="K81">
        <v>0.2099</v>
      </c>
      <c r="L81">
        <v>1.9199999999999998E-2</v>
      </c>
      <c r="M81">
        <v>0.2261</v>
      </c>
      <c r="N81">
        <v>3.8899999999999997E-2</v>
      </c>
      <c r="O81">
        <v>0.33</v>
      </c>
      <c r="P81">
        <v>6.81</v>
      </c>
      <c r="Q81">
        <v>25.25</v>
      </c>
      <c r="R81">
        <v>78.400000000000006</v>
      </c>
      <c r="S81">
        <v>1.19</v>
      </c>
      <c r="T81">
        <v>52.41</v>
      </c>
      <c r="U81">
        <v>3.0101</v>
      </c>
      <c r="V81">
        <v>2.5700000000000001E-2</v>
      </c>
      <c r="W81">
        <v>-2.9899999999999999E-2</v>
      </c>
      <c r="X81">
        <v>4.9744000000000002</v>
      </c>
      <c r="Y81">
        <v>0.02</v>
      </c>
      <c r="Z81">
        <v>0.67610000000000003</v>
      </c>
      <c r="AA81">
        <v>0.67610000000000003</v>
      </c>
      <c r="AB81">
        <v>6.3700000000000007E-2</v>
      </c>
    </row>
    <row r="82" spans="1:28" ht="15.75" x14ac:dyDescent="0.25">
      <c r="A82" t="s">
        <v>499</v>
      </c>
      <c r="B82" t="s">
        <v>500</v>
      </c>
      <c r="C82">
        <v>25</v>
      </c>
      <c r="D82">
        <v>-0.19919999999999999</v>
      </c>
      <c r="E82">
        <v>-3.6400000000000002E-2</v>
      </c>
      <c r="F82">
        <v>-1.41E-2</v>
      </c>
      <c r="G82">
        <v>0.2732</v>
      </c>
      <c r="H82">
        <v>0.56000000000000005</v>
      </c>
      <c r="I82">
        <v>0.85</v>
      </c>
      <c r="J82">
        <v>4.9399999999999999E-2</v>
      </c>
      <c r="K82">
        <v>0.60699999999999998</v>
      </c>
      <c r="L82">
        <v>0.03</v>
      </c>
      <c r="M82">
        <v>0.4864</v>
      </c>
      <c r="N82">
        <v>3.5999999999999997E-2</v>
      </c>
      <c r="O82">
        <v>0.22</v>
      </c>
      <c r="P82">
        <v>6</v>
      </c>
      <c r="Q82">
        <v>47.57</v>
      </c>
      <c r="R82" t="s">
        <v>354</v>
      </c>
      <c r="S82">
        <v>1.19</v>
      </c>
      <c r="T82">
        <v>15.96</v>
      </c>
      <c r="U82">
        <v>-3.4099999999999998E-2</v>
      </c>
      <c r="V82">
        <v>0.33829999999999999</v>
      </c>
      <c r="W82">
        <v>0.21690000000000001</v>
      </c>
      <c r="X82" t="s">
        <v>354</v>
      </c>
      <c r="Y82">
        <v>-1.2999999999999999E-3</v>
      </c>
      <c r="Z82">
        <v>0</v>
      </c>
      <c r="AA82">
        <v>0</v>
      </c>
      <c r="AB82">
        <v>-6.7000000000000004E-2</v>
      </c>
    </row>
    <row r="83" spans="1:28" ht="15.75" x14ac:dyDescent="0.25">
      <c r="A83" t="s">
        <v>501</v>
      </c>
      <c r="B83" t="s">
        <v>502</v>
      </c>
      <c r="C83">
        <v>238</v>
      </c>
      <c r="D83">
        <v>6.8099999999999994E-2</v>
      </c>
      <c r="E83">
        <v>0.23230000000000001</v>
      </c>
      <c r="F83">
        <v>2.0500000000000001E-2</v>
      </c>
      <c r="G83">
        <v>2.47E-2</v>
      </c>
      <c r="H83">
        <v>0.79</v>
      </c>
      <c r="I83">
        <v>1.21</v>
      </c>
      <c r="J83">
        <v>6.6199999999999995E-2</v>
      </c>
      <c r="K83">
        <v>0.32400000000000001</v>
      </c>
      <c r="L83">
        <v>2.58E-2</v>
      </c>
      <c r="M83">
        <v>0.43419999999999997</v>
      </c>
      <c r="N83">
        <v>4.5600000000000002E-2</v>
      </c>
      <c r="O83">
        <v>0.11</v>
      </c>
      <c r="P83">
        <v>12.85</v>
      </c>
      <c r="Q83">
        <v>22.72</v>
      </c>
      <c r="R83">
        <v>61.43</v>
      </c>
      <c r="S83">
        <v>2.11</v>
      </c>
      <c r="T83">
        <v>63</v>
      </c>
      <c r="U83">
        <v>0.89649999999999996</v>
      </c>
      <c r="V83">
        <v>3.2399999999999998E-2</v>
      </c>
      <c r="W83">
        <v>-0.15310000000000001</v>
      </c>
      <c r="X83">
        <v>-0.75129999999999997</v>
      </c>
      <c r="Y83">
        <v>2.1700000000000001E-2</v>
      </c>
      <c r="Z83">
        <v>4.3048999999999999</v>
      </c>
      <c r="AA83">
        <v>4.3048999999999999</v>
      </c>
      <c r="AB83">
        <v>0.1905</v>
      </c>
    </row>
    <row r="84" spans="1:28" ht="15.75" x14ac:dyDescent="0.25">
      <c r="A84" t="s">
        <v>503</v>
      </c>
      <c r="B84" t="s">
        <v>503</v>
      </c>
      <c r="C84">
        <v>79</v>
      </c>
      <c r="D84">
        <v>8.3999999999999995E-3</v>
      </c>
      <c r="E84">
        <v>0.11360000000000001</v>
      </c>
      <c r="F84">
        <v>7.2400000000000006E-2</v>
      </c>
      <c r="G84">
        <v>0.18690000000000001</v>
      </c>
      <c r="H84">
        <v>1.1100000000000001</v>
      </c>
      <c r="I84">
        <v>1.34</v>
      </c>
      <c r="J84">
        <v>7.2800000000000004E-2</v>
      </c>
      <c r="K84">
        <v>0.5363</v>
      </c>
      <c r="L84">
        <v>0.03</v>
      </c>
      <c r="M84">
        <v>0.25209999999999999</v>
      </c>
      <c r="N84">
        <v>5.9900000000000002E-2</v>
      </c>
      <c r="O84">
        <v>1.1399999999999999</v>
      </c>
      <c r="P84">
        <v>5.27</v>
      </c>
      <c r="Q84">
        <v>23.53</v>
      </c>
      <c r="R84">
        <v>80.25</v>
      </c>
      <c r="S84" t="s">
        <v>354</v>
      </c>
      <c r="T84">
        <v>58.91</v>
      </c>
      <c r="U84">
        <v>2.8400000000000002E-2</v>
      </c>
      <c r="V84">
        <v>5.8200000000000002E-2</v>
      </c>
      <c r="W84">
        <v>2.47E-2</v>
      </c>
      <c r="X84">
        <v>0.48720000000000002</v>
      </c>
      <c r="Y84" t="s">
        <v>354</v>
      </c>
      <c r="Z84">
        <v>1.1433</v>
      </c>
      <c r="AA84">
        <v>1.1433</v>
      </c>
      <c r="AB84">
        <v>6.5500000000000003E-2</v>
      </c>
    </row>
    <row r="85" spans="1:28" ht="15.75" x14ac:dyDescent="0.25">
      <c r="A85" t="s">
        <v>504</v>
      </c>
      <c r="B85" t="s">
        <v>505</v>
      </c>
      <c r="C85">
        <v>3</v>
      </c>
      <c r="D85">
        <v>-4.2099999999999999E-2</v>
      </c>
      <c r="E85">
        <v>-5.0000000000000001E-3</v>
      </c>
      <c r="F85">
        <v>1E-4</v>
      </c>
      <c r="G85">
        <v>0.159</v>
      </c>
      <c r="H85">
        <v>0.55000000000000004</v>
      </c>
      <c r="I85">
        <v>1.0900000000000001</v>
      </c>
      <c r="J85">
        <v>6.0900000000000003E-2</v>
      </c>
      <c r="K85">
        <v>0.43830000000000002</v>
      </c>
      <c r="L85">
        <v>0.03</v>
      </c>
      <c r="M85">
        <v>0.63619999999999999</v>
      </c>
      <c r="N85">
        <v>3.61E-2</v>
      </c>
      <c r="O85">
        <v>1.07</v>
      </c>
      <c r="P85">
        <v>0.74</v>
      </c>
      <c r="Q85">
        <v>9.84</v>
      </c>
      <c r="R85" t="s">
        <v>354</v>
      </c>
      <c r="S85">
        <v>1.04</v>
      </c>
      <c r="T85">
        <v>24.89</v>
      </c>
      <c r="U85">
        <v>0.1363</v>
      </c>
      <c r="V85">
        <v>5.6300000000000003E-2</v>
      </c>
      <c r="W85">
        <v>-5.3E-3</v>
      </c>
      <c r="X85" t="s">
        <v>354</v>
      </c>
      <c r="Y85">
        <v>-0.25690000000000002</v>
      </c>
      <c r="Z85">
        <v>6.9999999999999999E-4</v>
      </c>
      <c r="AA85">
        <v>6.9999999999999999E-4</v>
      </c>
      <c r="AB85">
        <v>1E-4</v>
      </c>
    </row>
    <row r="86" spans="1:28" ht="15.75" x14ac:dyDescent="0.25">
      <c r="A86" t="s">
        <v>506</v>
      </c>
      <c r="B86" t="s">
        <v>507</v>
      </c>
      <c r="C86">
        <v>70</v>
      </c>
      <c r="D86">
        <v>3.7699999999999997E-2</v>
      </c>
      <c r="E86">
        <v>0.2409</v>
      </c>
      <c r="F86">
        <v>0.1739</v>
      </c>
      <c r="G86">
        <v>0.1077</v>
      </c>
      <c r="H86">
        <v>0.96</v>
      </c>
      <c r="I86">
        <v>1</v>
      </c>
      <c r="J86">
        <v>5.6599999999999998E-2</v>
      </c>
      <c r="K86">
        <v>0.37259999999999999</v>
      </c>
      <c r="L86">
        <v>2.58E-2</v>
      </c>
      <c r="M86">
        <v>8.8499999999999995E-2</v>
      </c>
      <c r="N86">
        <v>5.33E-2</v>
      </c>
      <c r="O86">
        <v>0.75</v>
      </c>
      <c r="P86">
        <v>7.16</v>
      </c>
      <c r="Q86">
        <v>18.04</v>
      </c>
      <c r="R86">
        <v>29.3</v>
      </c>
      <c r="S86">
        <v>6.87</v>
      </c>
      <c r="T86">
        <v>726.52</v>
      </c>
      <c r="U86">
        <v>0.1744</v>
      </c>
      <c r="V86">
        <v>0.12759999999999999</v>
      </c>
      <c r="W86">
        <v>0.16059999999999999</v>
      </c>
      <c r="X86">
        <v>0.79830000000000001</v>
      </c>
      <c r="Y86">
        <v>0.2213</v>
      </c>
      <c r="Z86">
        <v>0.42099999999999999</v>
      </c>
      <c r="AA86">
        <v>0.42099999999999999</v>
      </c>
      <c r="AB86">
        <v>0.24790000000000001</v>
      </c>
    </row>
    <row r="87" spans="1:28" ht="15.75" x14ac:dyDescent="0.25">
      <c r="A87" t="s">
        <v>508</v>
      </c>
      <c r="B87" t="s">
        <v>509</v>
      </c>
      <c r="C87">
        <v>40</v>
      </c>
      <c r="D87">
        <v>8.4900000000000003E-2</v>
      </c>
      <c r="E87">
        <v>0.22209999999999999</v>
      </c>
      <c r="F87">
        <v>0.27889999999999998</v>
      </c>
      <c r="G87">
        <v>0.1283</v>
      </c>
      <c r="H87">
        <v>1.07</v>
      </c>
      <c r="I87">
        <v>1.07</v>
      </c>
      <c r="J87">
        <v>5.9799999999999999E-2</v>
      </c>
      <c r="K87">
        <v>0.35909999999999997</v>
      </c>
      <c r="L87">
        <v>2.58E-2</v>
      </c>
      <c r="M87">
        <v>7.4399999999999994E-2</v>
      </c>
      <c r="N87">
        <v>5.6800000000000003E-2</v>
      </c>
      <c r="O87">
        <v>1.3</v>
      </c>
      <c r="P87">
        <v>5.14</v>
      </c>
      <c r="Q87">
        <v>18.690000000000001</v>
      </c>
      <c r="R87">
        <v>22.86</v>
      </c>
      <c r="S87">
        <v>7.87</v>
      </c>
      <c r="T87">
        <v>55.87</v>
      </c>
      <c r="U87">
        <v>0.2782</v>
      </c>
      <c r="V87">
        <v>3.7100000000000001E-2</v>
      </c>
      <c r="W87">
        <v>1.1599999999999999E-2</v>
      </c>
      <c r="X87">
        <v>0.28589999999999999</v>
      </c>
      <c r="Y87">
        <v>0.32229999999999998</v>
      </c>
      <c r="Z87">
        <v>0.2331</v>
      </c>
      <c r="AA87">
        <v>0.2331</v>
      </c>
      <c r="AB87">
        <v>0.23180000000000001</v>
      </c>
    </row>
    <row r="88" spans="1:28" ht="15.75" x14ac:dyDescent="0.25">
      <c r="A88" t="s">
        <v>510</v>
      </c>
      <c r="B88" t="s">
        <v>511</v>
      </c>
      <c r="C88">
        <v>15</v>
      </c>
      <c r="D88">
        <v>6.4199999999999993E-2</v>
      </c>
      <c r="E88">
        <v>0.12790000000000001</v>
      </c>
      <c r="F88">
        <v>0.37469999999999998</v>
      </c>
      <c r="G88">
        <v>0.2394</v>
      </c>
      <c r="H88">
        <v>1.44</v>
      </c>
      <c r="I88">
        <v>1.54</v>
      </c>
      <c r="J88">
        <v>8.2199999999999995E-2</v>
      </c>
      <c r="K88">
        <v>0.40600000000000003</v>
      </c>
      <c r="L88">
        <v>0.03</v>
      </c>
      <c r="M88">
        <v>0.15310000000000001</v>
      </c>
      <c r="N88">
        <v>7.2999999999999995E-2</v>
      </c>
      <c r="O88">
        <v>3.46</v>
      </c>
      <c r="P88">
        <v>2.06</v>
      </c>
      <c r="Q88">
        <v>12.59</v>
      </c>
      <c r="R88">
        <v>16.489999999999998</v>
      </c>
      <c r="S88">
        <v>40.07</v>
      </c>
      <c r="T88">
        <v>140.11000000000001</v>
      </c>
      <c r="U88">
        <v>4.4600000000000001E-2</v>
      </c>
      <c r="V88">
        <v>2.07E-2</v>
      </c>
      <c r="W88">
        <v>2E-3</v>
      </c>
      <c r="X88">
        <v>-0.26450000000000001</v>
      </c>
      <c r="Y88">
        <v>2.7000000000000001E-3</v>
      </c>
      <c r="Z88">
        <v>0.4551</v>
      </c>
      <c r="AA88">
        <v>0.4551</v>
      </c>
      <c r="AB88">
        <v>0.12509999999999999</v>
      </c>
    </row>
    <row r="89" spans="1:28" ht="15.75" x14ac:dyDescent="0.25">
      <c r="A89" t="s">
        <v>512</v>
      </c>
      <c r="B89" t="s">
        <v>513</v>
      </c>
      <c r="C89">
        <v>25</v>
      </c>
      <c r="D89">
        <v>-8.9999999999999998E-4</v>
      </c>
      <c r="E89">
        <v>0.26119999999999999</v>
      </c>
      <c r="F89">
        <v>6.8900000000000003E-2</v>
      </c>
      <c r="G89">
        <v>0.43030000000000002</v>
      </c>
      <c r="H89">
        <v>0.68</v>
      </c>
      <c r="I89">
        <v>0.98</v>
      </c>
      <c r="J89">
        <v>5.5599999999999997E-2</v>
      </c>
      <c r="K89">
        <v>0.56040000000000001</v>
      </c>
      <c r="L89">
        <v>0.03</v>
      </c>
      <c r="M89">
        <v>0.39050000000000001</v>
      </c>
      <c r="N89">
        <v>4.2500000000000003E-2</v>
      </c>
      <c r="O89">
        <v>0.27</v>
      </c>
      <c r="P89">
        <v>13.15</v>
      </c>
      <c r="Q89">
        <v>22.94</v>
      </c>
      <c r="R89">
        <v>50.76</v>
      </c>
      <c r="S89">
        <v>1.68</v>
      </c>
      <c r="T89">
        <v>40.67</v>
      </c>
      <c r="U89">
        <v>-1.5825</v>
      </c>
      <c r="V89">
        <v>0.3569</v>
      </c>
      <c r="W89">
        <v>0.25819999999999999</v>
      </c>
      <c r="X89">
        <v>1.1011</v>
      </c>
      <c r="Y89">
        <v>-0.2059</v>
      </c>
      <c r="Z89">
        <v>1.5E-3</v>
      </c>
      <c r="AA89">
        <v>1.5E-3</v>
      </c>
      <c r="AB89">
        <v>0.25879999999999997</v>
      </c>
    </row>
    <row r="90" spans="1:28" ht="15.75" x14ac:dyDescent="0.25">
      <c r="A90" t="s">
        <v>514</v>
      </c>
      <c r="B90" t="s">
        <v>515</v>
      </c>
      <c r="C90">
        <v>32</v>
      </c>
      <c r="D90">
        <v>4.7000000000000002E-3</v>
      </c>
      <c r="E90">
        <v>3.5499999999999997E-2</v>
      </c>
      <c r="F90">
        <v>5.8099999999999999E-2</v>
      </c>
      <c r="G90">
        <v>0.24529999999999999</v>
      </c>
      <c r="H90">
        <v>0.78</v>
      </c>
      <c r="I90">
        <v>0.95</v>
      </c>
      <c r="J90">
        <v>5.4300000000000001E-2</v>
      </c>
      <c r="K90">
        <v>0.39319999999999999</v>
      </c>
      <c r="L90">
        <v>2.58E-2</v>
      </c>
      <c r="M90">
        <v>0.33439999999999998</v>
      </c>
      <c r="N90">
        <v>4.24E-2</v>
      </c>
      <c r="O90">
        <v>1.7</v>
      </c>
      <c r="P90">
        <v>0.93</v>
      </c>
      <c r="Q90">
        <v>9.74</v>
      </c>
      <c r="R90">
        <v>23.06</v>
      </c>
      <c r="S90">
        <v>1.55</v>
      </c>
      <c r="T90">
        <v>35.729999999999997</v>
      </c>
      <c r="U90">
        <v>0.21690000000000001</v>
      </c>
      <c r="V90">
        <v>6.9599999999999995E-2</v>
      </c>
      <c r="W90">
        <v>5.57E-2</v>
      </c>
      <c r="X90">
        <v>0.28489999999999999</v>
      </c>
      <c r="Y90">
        <v>-2.8400000000000002E-2</v>
      </c>
      <c r="Z90">
        <v>6.4999999999999997E-3</v>
      </c>
      <c r="AA90">
        <v>6.4999999999999997E-3</v>
      </c>
      <c r="AB90">
        <v>3.6299999999999999E-2</v>
      </c>
    </row>
    <row r="91" spans="1:28" ht="15.75" x14ac:dyDescent="0.25">
      <c r="A91" t="s">
        <v>516</v>
      </c>
      <c r="B91" t="s">
        <v>517</v>
      </c>
      <c r="C91">
        <v>11</v>
      </c>
      <c r="D91">
        <v>-1.1000000000000001E-3</v>
      </c>
      <c r="E91">
        <v>9.2200000000000004E-2</v>
      </c>
      <c r="F91">
        <v>0.20899999999999999</v>
      </c>
      <c r="G91">
        <v>0.13439999999999999</v>
      </c>
      <c r="H91">
        <v>0.98</v>
      </c>
      <c r="I91">
        <v>0.98</v>
      </c>
      <c r="J91">
        <v>5.57E-2</v>
      </c>
      <c r="K91">
        <v>0.315</v>
      </c>
      <c r="L91">
        <v>2.58E-2</v>
      </c>
      <c r="M91">
        <v>6.4299999999999996E-2</v>
      </c>
      <c r="N91">
        <v>5.33E-2</v>
      </c>
      <c r="O91">
        <v>2.5</v>
      </c>
      <c r="P91">
        <v>5.05</v>
      </c>
      <c r="Q91">
        <v>35.83</v>
      </c>
      <c r="R91">
        <v>56.49</v>
      </c>
      <c r="S91">
        <v>14.87</v>
      </c>
      <c r="T91">
        <v>46.18</v>
      </c>
      <c r="U91">
        <v>0.20380000000000001</v>
      </c>
      <c r="V91">
        <v>7.6E-3</v>
      </c>
      <c r="W91">
        <v>-2.1299999999999999E-2</v>
      </c>
      <c r="X91">
        <v>-0.30659999999999998</v>
      </c>
      <c r="Y91">
        <v>0.23699999999999999</v>
      </c>
      <c r="Z91">
        <v>0.48270000000000002</v>
      </c>
      <c r="AA91">
        <v>0.48270000000000002</v>
      </c>
      <c r="AB91">
        <v>8.9300000000000004E-2</v>
      </c>
    </row>
    <row r="92" spans="1:28" ht="15.75" x14ac:dyDescent="0.25">
      <c r="A92" t="s">
        <v>518</v>
      </c>
      <c r="B92" t="s">
        <v>519</v>
      </c>
      <c r="C92">
        <v>15</v>
      </c>
      <c r="D92">
        <v>0.5282</v>
      </c>
      <c r="E92">
        <v>0.42799999999999999</v>
      </c>
      <c r="F92">
        <v>0.45329999999999998</v>
      </c>
      <c r="G92">
        <v>0.34670000000000001</v>
      </c>
      <c r="H92">
        <v>0.61</v>
      </c>
      <c r="I92">
        <v>0.72</v>
      </c>
      <c r="J92">
        <v>4.3400000000000001E-2</v>
      </c>
      <c r="K92">
        <v>0.24490000000000001</v>
      </c>
      <c r="L92">
        <v>1.9199999999999998E-2</v>
      </c>
      <c r="M92">
        <v>0.2326</v>
      </c>
      <c r="N92">
        <v>3.6499999999999998E-2</v>
      </c>
      <c r="O92">
        <v>1.1599999999999999</v>
      </c>
      <c r="P92">
        <v>4.82</v>
      </c>
      <c r="Q92">
        <v>10.48</v>
      </c>
      <c r="R92">
        <v>11.2</v>
      </c>
      <c r="S92" t="s">
        <v>354</v>
      </c>
      <c r="T92">
        <v>54.62</v>
      </c>
      <c r="U92">
        <v>0.13100000000000001</v>
      </c>
      <c r="V92">
        <v>1.7500000000000002E-2</v>
      </c>
      <c r="W92">
        <v>1.24E-2</v>
      </c>
      <c r="X92">
        <v>6.8999999999999999E-3</v>
      </c>
      <c r="Y92">
        <v>-2.3E-3</v>
      </c>
      <c r="Z92">
        <v>1.6495</v>
      </c>
      <c r="AA92">
        <v>1.6495</v>
      </c>
      <c r="AB92">
        <v>0.42920000000000003</v>
      </c>
    </row>
    <row r="93" spans="1:28" ht="15.75" x14ac:dyDescent="0.25">
      <c r="A93" t="s">
        <v>520</v>
      </c>
      <c r="B93" t="s">
        <v>521</v>
      </c>
      <c r="C93">
        <v>35</v>
      </c>
      <c r="D93">
        <v>3.0599999999999999E-2</v>
      </c>
      <c r="E93">
        <v>-2.8799999999999999E-2</v>
      </c>
      <c r="F93">
        <v>-4.0399999999999998E-2</v>
      </c>
      <c r="G93">
        <v>0.21679999999999999</v>
      </c>
      <c r="H93">
        <v>0.95</v>
      </c>
      <c r="I93">
        <v>1.1100000000000001</v>
      </c>
      <c r="J93">
        <v>6.1800000000000001E-2</v>
      </c>
      <c r="K93">
        <v>0.38779999999999998</v>
      </c>
      <c r="L93">
        <v>2.58E-2</v>
      </c>
      <c r="M93">
        <v>0.25240000000000001</v>
      </c>
      <c r="N93">
        <v>5.0900000000000001E-2</v>
      </c>
      <c r="O93">
        <v>0.84</v>
      </c>
      <c r="P93">
        <v>2.73</v>
      </c>
      <c r="Q93">
        <v>10.06</v>
      </c>
      <c r="R93" t="s">
        <v>354</v>
      </c>
      <c r="S93">
        <v>4.8099999999999996</v>
      </c>
      <c r="T93">
        <v>46.74</v>
      </c>
      <c r="U93">
        <v>6.0699999999999997E-2</v>
      </c>
      <c r="V93">
        <v>-8.0000000000000002E-3</v>
      </c>
      <c r="W93">
        <v>-8.6699999999999999E-2</v>
      </c>
      <c r="X93" t="s">
        <v>354</v>
      </c>
      <c r="Y93">
        <v>-0.17699999999999999</v>
      </c>
      <c r="Z93">
        <v>2.7000000000000001E-3</v>
      </c>
      <c r="AA93">
        <v>2.7000000000000001E-3</v>
      </c>
      <c r="AB93">
        <v>-5.0700000000000002E-2</v>
      </c>
    </row>
    <row r="94" spans="1:28" ht="15.75" x14ac:dyDescent="0.25">
      <c r="A94" t="s">
        <v>522</v>
      </c>
      <c r="B94" t="s">
        <v>523</v>
      </c>
      <c r="C94">
        <v>55</v>
      </c>
      <c r="D94">
        <v>1.01E-2</v>
      </c>
      <c r="E94">
        <v>0.19819999999999999</v>
      </c>
      <c r="F94">
        <v>6.8000000000000005E-2</v>
      </c>
      <c r="G94">
        <v>0.11020000000000001</v>
      </c>
      <c r="H94">
        <v>0.43</v>
      </c>
      <c r="I94">
        <v>0.67</v>
      </c>
      <c r="J94">
        <v>4.0800000000000003E-2</v>
      </c>
      <c r="K94">
        <v>0.1986</v>
      </c>
      <c r="L94">
        <v>1.9199999999999998E-2</v>
      </c>
      <c r="M94">
        <v>0.4385</v>
      </c>
      <c r="N94">
        <v>2.9000000000000001E-2</v>
      </c>
      <c r="O94">
        <v>0.38</v>
      </c>
      <c r="P94">
        <v>4.37</v>
      </c>
      <c r="Q94">
        <v>11.89</v>
      </c>
      <c r="R94">
        <v>22.26</v>
      </c>
      <c r="S94">
        <v>1.9</v>
      </c>
      <c r="T94">
        <v>21.95</v>
      </c>
      <c r="U94">
        <v>2.5700000000000001E-2</v>
      </c>
      <c r="V94">
        <v>0.35110000000000002</v>
      </c>
      <c r="W94">
        <v>0.20549999999999999</v>
      </c>
      <c r="X94">
        <v>1.1953</v>
      </c>
      <c r="Y94">
        <v>7.6899999999999996E-2</v>
      </c>
      <c r="Z94">
        <v>0.87590000000000001</v>
      </c>
      <c r="AA94">
        <v>0.87590000000000001</v>
      </c>
      <c r="AB94">
        <v>0.1961</v>
      </c>
    </row>
    <row r="95" spans="1:28" ht="15.75" x14ac:dyDescent="0.25">
      <c r="A95" t="s">
        <v>524</v>
      </c>
      <c r="B95" t="s">
        <v>525</v>
      </c>
      <c r="C95">
        <v>17</v>
      </c>
      <c r="D95">
        <v>0.12740000000000001</v>
      </c>
      <c r="E95">
        <v>0.30459999999999998</v>
      </c>
      <c r="F95">
        <v>8.0500000000000002E-2</v>
      </c>
      <c r="G95">
        <v>0.1875</v>
      </c>
      <c r="H95">
        <v>0.56999999999999995</v>
      </c>
      <c r="I95">
        <v>0.73</v>
      </c>
      <c r="J95">
        <v>4.3900000000000002E-2</v>
      </c>
      <c r="K95">
        <v>0.35959999999999998</v>
      </c>
      <c r="L95">
        <v>2.58E-2</v>
      </c>
      <c r="M95">
        <v>0.28810000000000002</v>
      </c>
      <c r="N95">
        <v>3.6700000000000003E-2</v>
      </c>
      <c r="O95">
        <v>0.3</v>
      </c>
      <c r="P95">
        <v>9.7899999999999991</v>
      </c>
      <c r="Q95">
        <v>20.92</v>
      </c>
      <c r="R95">
        <v>32.159999999999997</v>
      </c>
      <c r="S95">
        <v>3.51</v>
      </c>
      <c r="T95">
        <v>62.39</v>
      </c>
      <c r="U95">
        <v>0.16950000000000001</v>
      </c>
      <c r="V95">
        <v>0.4728</v>
      </c>
      <c r="W95">
        <v>0.96619999999999995</v>
      </c>
      <c r="X95">
        <v>3.9453999999999998</v>
      </c>
      <c r="Y95">
        <v>8.2500000000000004E-2</v>
      </c>
      <c r="Z95">
        <v>0.66369999999999996</v>
      </c>
      <c r="AA95">
        <v>0.71309999999999996</v>
      </c>
      <c r="AB95">
        <v>0.30209999999999998</v>
      </c>
    </row>
    <row r="96" spans="1:28" ht="15.75" x14ac:dyDescent="0.25">
      <c r="A96" t="s">
        <v>526</v>
      </c>
      <c r="B96">
        <v>7582</v>
      </c>
      <c r="C96">
        <v>8.8599999999999998E-2</v>
      </c>
      <c r="D96">
        <v>9.6199999999999994E-2</v>
      </c>
      <c r="E96">
        <v>6.0499999999999998E-2</v>
      </c>
      <c r="F96">
        <v>0.17760000000000001</v>
      </c>
      <c r="G96">
        <v>0.75</v>
      </c>
      <c r="H96">
        <v>0.94</v>
      </c>
      <c r="I96">
        <v>5.3699999999999998E-2</v>
      </c>
      <c r="J96">
        <v>0.41210000000000002</v>
      </c>
      <c r="K96">
        <v>0.03</v>
      </c>
      <c r="L96">
        <v>0.32579999999999998</v>
      </c>
      <c r="M96">
        <v>4.3400000000000001E-2</v>
      </c>
      <c r="N96">
        <v>0.67</v>
      </c>
      <c r="O96">
        <v>3.65</v>
      </c>
      <c r="P96">
        <v>20.02</v>
      </c>
      <c r="Q96">
        <v>36.46</v>
      </c>
      <c r="R96">
        <v>3.81</v>
      </c>
      <c r="S96">
        <v>103.25</v>
      </c>
      <c r="T96">
        <v>-0.36099999999999999</v>
      </c>
      <c r="U96">
        <v>5.6000000000000001E-2</v>
      </c>
      <c r="V96">
        <v>2.5700000000000001E-2</v>
      </c>
      <c r="W96">
        <v>0.33160000000000001</v>
      </c>
      <c r="X96">
        <v>8.2500000000000004E-2</v>
      </c>
      <c r="Y96">
        <v>0.71309999999999996</v>
      </c>
      <c r="Z96">
        <v>0.71309999999999996</v>
      </c>
      <c r="AA96">
        <v>9.6100000000000005E-2</v>
      </c>
    </row>
    <row r="97" spans="1:27" ht="15.75" x14ac:dyDescent="0.25">
      <c r="A97" t="s">
        <v>527</v>
      </c>
      <c r="B97">
        <v>6253</v>
      </c>
      <c r="C97">
        <v>9.4E-2</v>
      </c>
      <c r="D97">
        <v>9.9299999999999999E-2</v>
      </c>
      <c r="E97">
        <v>0.10580000000000001</v>
      </c>
      <c r="F97">
        <v>0.1774</v>
      </c>
      <c r="G97">
        <v>0.86</v>
      </c>
      <c r="H97">
        <v>0.98</v>
      </c>
      <c r="I97">
        <v>5.5500000000000001E-2</v>
      </c>
      <c r="J97">
        <v>0.44769999999999999</v>
      </c>
      <c r="K97">
        <v>0.03</v>
      </c>
      <c r="L97">
        <v>0.20069999999999999</v>
      </c>
      <c r="M97">
        <v>4.87E-2</v>
      </c>
      <c r="N97">
        <v>1.1100000000000001</v>
      </c>
      <c r="O97">
        <v>3.2</v>
      </c>
      <c r="P97">
        <v>16.52</v>
      </c>
      <c r="Q97">
        <v>30.62</v>
      </c>
      <c r="R97">
        <v>4.75</v>
      </c>
      <c r="S97">
        <v>87.08</v>
      </c>
      <c r="T97">
        <v>8.2799999999999999E-2</v>
      </c>
      <c r="U97">
        <v>5.91E-2</v>
      </c>
      <c r="V97">
        <v>2.5399999999999999E-2</v>
      </c>
      <c r="W97">
        <v>0.29399999999999998</v>
      </c>
      <c r="X97">
        <v>7.7799999999999994E-2</v>
      </c>
      <c r="Y97">
        <v>0.8397</v>
      </c>
      <c r="Z97">
        <v>0.8397</v>
      </c>
      <c r="AA97">
        <v>9.9299999999999999E-2</v>
      </c>
    </row>
  </sheetData>
  <pageMargins left="0.7" right="0.7" top="0.75" bottom="0.75" header="0.3" footer="0.3"/>
  <ignoredErrors>
    <ignoredError sqref="A1:AB9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97"/>
  <sheetViews>
    <sheetView workbookViewId="0"/>
  </sheetViews>
  <sheetFormatPr defaultRowHeight="15" x14ac:dyDescent="0.25"/>
  <cols>
    <col min="1" max="1" width="43.875" customWidth="1"/>
  </cols>
  <sheetData>
    <row r="1" spans="1:28" ht="15.75" x14ac:dyDescent="0.25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</row>
    <row r="2" spans="1:28" ht="15.75" x14ac:dyDescent="0.25">
      <c r="A2" t="s">
        <v>340</v>
      </c>
      <c r="B2" t="s">
        <v>341</v>
      </c>
      <c r="C2">
        <v>133</v>
      </c>
      <c r="D2">
        <v>9.3200000000000005E-2</v>
      </c>
      <c r="E2">
        <v>9.6799999999999997E-2</v>
      </c>
      <c r="F2">
        <v>0.107</v>
      </c>
      <c r="G2">
        <v>0.161</v>
      </c>
      <c r="H2">
        <v>0.96</v>
      </c>
      <c r="I2">
        <v>1</v>
      </c>
      <c r="J2">
        <v>6.7000000000000004E-2</v>
      </c>
      <c r="K2">
        <v>0.23849999999999999</v>
      </c>
      <c r="L2">
        <v>2.87E-2</v>
      </c>
      <c r="M2">
        <v>0.4924</v>
      </c>
      <c r="N2">
        <v>4.4400000000000002E-2</v>
      </c>
      <c r="O2">
        <v>1.3</v>
      </c>
      <c r="P2">
        <v>0.91</v>
      </c>
      <c r="Q2">
        <v>8.59</v>
      </c>
      <c r="R2">
        <v>9.2100000000000009</v>
      </c>
      <c r="S2">
        <v>0.95</v>
      </c>
      <c r="T2">
        <v>52.07</v>
      </c>
      <c r="U2">
        <v>-1.044</v>
      </c>
      <c r="V2">
        <v>5.5999999999999999E-3</v>
      </c>
      <c r="W2">
        <v>4.4000000000000003E-3</v>
      </c>
      <c r="X2">
        <v>0.63239999999999996</v>
      </c>
      <c r="Y2">
        <v>7.8899999999999998E-2</v>
      </c>
      <c r="Z2">
        <v>0.45639999999999997</v>
      </c>
      <c r="AA2">
        <v>0.45639999999999997</v>
      </c>
      <c r="AB2">
        <v>9.6799999999999997E-2</v>
      </c>
    </row>
    <row r="3" spans="1:28" ht="15.75" x14ac:dyDescent="0.25">
      <c r="A3" t="s">
        <v>342</v>
      </c>
      <c r="B3" t="s">
        <v>343</v>
      </c>
      <c r="C3">
        <v>348</v>
      </c>
      <c r="D3">
        <v>4.9700000000000001E-2</v>
      </c>
      <c r="E3">
        <v>4.6399999999999997E-2</v>
      </c>
      <c r="F3">
        <v>9.3399999999999997E-2</v>
      </c>
      <c r="G3">
        <v>0.24990000000000001</v>
      </c>
      <c r="H3">
        <v>0.99</v>
      </c>
      <c r="I3">
        <v>1.1299999999999999</v>
      </c>
      <c r="J3">
        <v>7.4499999999999997E-2</v>
      </c>
      <c r="K3">
        <v>0.37240000000000001</v>
      </c>
      <c r="L3">
        <v>3.5299999999999998E-2</v>
      </c>
      <c r="M3">
        <v>0.29049999999999998</v>
      </c>
      <c r="N3">
        <v>6.0400000000000002E-2</v>
      </c>
      <c r="O3">
        <v>2.14</v>
      </c>
      <c r="P3">
        <v>1.71</v>
      </c>
      <c r="Q3">
        <v>12.74</v>
      </c>
      <c r="R3">
        <v>29.57</v>
      </c>
      <c r="S3">
        <v>2.5099999999999998</v>
      </c>
      <c r="T3">
        <v>69.03</v>
      </c>
      <c r="U3">
        <v>-2.8799999999999999E-2</v>
      </c>
      <c r="V3">
        <v>1.9E-2</v>
      </c>
      <c r="W3">
        <v>1.18E-2</v>
      </c>
      <c r="X3">
        <v>-0.1061</v>
      </c>
      <c r="Y3">
        <v>-3.95E-2</v>
      </c>
      <c r="Z3">
        <v>8.9999999999999993E-3</v>
      </c>
      <c r="AA3">
        <v>8.9999999999999993E-3</v>
      </c>
      <c r="AB3">
        <v>4.9599999999999998E-2</v>
      </c>
    </row>
    <row r="4" spans="1:28" ht="15.75" x14ac:dyDescent="0.25">
      <c r="A4" t="s">
        <v>344</v>
      </c>
      <c r="B4" t="s">
        <v>345</v>
      </c>
      <c r="C4">
        <v>255</v>
      </c>
      <c r="D4">
        <v>7.8399999999999997E-2</v>
      </c>
      <c r="E4">
        <v>5.4699999999999999E-2</v>
      </c>
      <c r="F4">
        <v>0.1142</v>
      </c>
      <c r="G4">
        <v>0.21360000000000001</v>
      </c>
      <c r="H4">
        <v>1</v>
      </c>
      <c r="I4">
        <v>1.1299999999999999</v>
      </c>
      <c r="J4">
        <v>7.4499999999999997E-2</v>
      </c>
      <c r="K4">
        <v>0.3256</v>
      </c>
      <c r="L4">
        <v>3.5299999999999998E-2</v>
      </c>
      <c r="M4">
        <v>0.2306</v>
      </c>
      <c r="N4">
        <v>6.3399999999999998E-2</v>
      </c>
      <c r="O4">
        <v>2.11</v>
      </c>
      <c r="P4">
        <v>1.93</v>
      </c>
      <c r="Q4">
        <v>14.01</v>
      </c>
      <c r="R4">
        <v>26.86</v>
      </c>
      <c r="S4">
        <v>4.62</v>
      </c>
      <c r="T4">
        <v>76.25</v>
      </c>
      <c r="U4">
        <v>0.39360000000000001</v>
      </c>
      <c r="V4">
        <v>3.3000000000000002E-2</v>
      </c>
      <c r="W4">
        <v>-2E-3</v>
      </c>
      <c r="X4">
        <v>0.66510000000000002</v>
      </c>
      <c r="Y4">
        <v>-1.8E-3</v>
      </c>
      <c r="Z4">
        <v>1.03E-2</v>
      </c>
      <c r="AA4">
        <v>1.03E-2</v>
      </c>
      <c r="AB4">
        <v>5.9299999999999999E-2</v>
      </c>
    </row>
    <row r="5" spans="1:28" ht="15.75" x14ac:dyDescent="0.25">
      <c r="A5" t="s">
        <v>346</v>
      </c>
      <c r="B5" t="s">
        <v>347</v>
      </c>
      <c r="C5">
        <v>861</v>
      </c>
      <c r="D5">
        <v>5.3699999999999998E-2</v>
      </c>
      <c r="E5">
        <v>9.7100000000000006E-2</v>
      </c>
      <c r="F5">
        <v>8.8300000000000003E-2</v>
      </c>
      <c r="G5">
        <v>0.21579999999999999</v>
      </c>
      <c r="H5">
        <v>0.99</v>
      </c>
      <c r="I5">
        <v>1.08</v>
      </c>
      <c r="J5">
        <v>7.1599999999999997E-2</v>
      </c>
      <c r="K5">
        <v>0.30270000000000002</v>
      </c>
      <c r="L5">
        <v>3.5299999999999998E-2</v>
      </c>
      <c r="M5">
        <v>0.17799999999999999</v>
      </c>
      <c r="N5">
        <v>6.3500000000000001E-2</v>
      </c>
      <c r="O5">
        <v>1.06</v>
      </c>
      <c r="P5">
        <v>2.75</v>
      </c>
      <c r="Q5">
        <v>15.89</v>
      </c>
      <c r="R5">
        <v>27.73</v>
      </c>
      <c r="S5">
        <v>2.87</v>
      </c>
      <c r="T5">
        <v>61.44</v>
      </c>
      <c r="U5">
        <v>0.17879999999999999</v>
      </c>
      <c r="V5">
        <v>7.5899999999999995E-2</v>
      </c>
      <c r="W5">
        <v>3.4700000000000002E-2</v>
      </c>
      <c r="X5">
        <v>0.35</v>
      </c>
      <c r="Y5">
        <v>5.33E-2</v>
      </c>
      <c r="Z5">
        <v>0.89610000000000001</v>
      </c>
      <c r="AA5">
        <v>0.89610000000000001</v>
      </c>
      <c r="AB5">
        <v>9.8000000000000004E-2</v>
      </c>
    </row>
    <row r="6" spans="1:28" ht="15.75" x14ac:dyDescent="0.25">
      <c r="A6" t="s">
        <v>348</v>
      </c>
      <c r="B6" t="s">
        <v>349</v>
      </c>
      <c r="C6">
        <v>410</v>
      </c>
      <c r="D6">
        <v>6.1899999999999997E-2</v>
      </c>
      <c r="E6">
        <v>6.7599999999999993E-2</v>
      </c>
      <c r="F6">
        <v>7.4200000000000002E-2</v>
      </c>
      <c r="G6">
        <v>0.19350000000000001</v>
      </c>
      <c r="H6">
        <v>0.71</v>
      </c>
      <c r="I6">
        <v>0.89</v>
      </c>
      <c r="J6">
        <v>6.08E-2</v>
      </c>
      <c r="K6">
        <v>0.30719999999999997</v>
      </c>
      <c r="L6">
        <v>3.5299999999999998E-2</v>
      </c>
      <c r="M6">
        <v>0.31690000000000002</v>
      </c>
      <c r="N6">
        <v>4.9799999999999997E-2</v>
      </c>
      <c r="O6">
        <v>1.22</v>
      </c>
      <c r="P6">
        <v>1.45</v>
      </c>
      <c r="Q6">
        <v>14.11</v>
      </c>
      <c r="R6">
        <v>20.68</v>
      </c>
      <c r="S6">
        <v>2.2999999999999998</v>
      </c>
      <c r="T6">
        <v>50.26</v>
      </c>
      <c r="U6">
        <v>0.15490000000000001</v>
      </c>
      <c r="V6">
        <v>5.8000000000000003E-2</v>
      </c>
      <c r="W6">
        <v>3.6799999999999999E-2</v>
      </c>
      <c r="X6">
        <v>0.53800000000000003</v>
      </c>
      <c r="Y6">
        <v>9.4500000000000001E-2</v>
      </c>
      <c r="Z6">
        <v>0.40749999999999997</v>
      </c>
      <c r="AA6">
        <v>0.40749999999999997</v>
      </c>
      <c r="AB6">
        <v>6.88E-2</v>
      </c>
    </row>
    <row r="7" spans="1:28" ht="15.75" x14ac:dyDescent="0.25">
      <c r="A7" t="s">
        <v>350</v>
      </c>
      <c r="B7" t="s">
        <v>351</v>
      </c>
      <c r="C7">
        <v>284</v>
      </c>
      <c r="D7">
        <v>5.6399999999999999E-2</v>
      </c>
      <c r="E7">
        <v>5.8900000000000001E-2</v>
      </c>
      <c r="F7">
        <v>7.7700000000000005E-2</v>
      </c>
      <c r="G7">
        <v>0.2301</v>
      </c>
      <c r="H7">
        <v>0.77</v>
      </c>
      <c r="I7">
        <v>0.95</v>
      </c>
      <c r="J7">
        <v>6.3799999999999996E-2</v>
      </c>
      <c r="K7">
        <v>0.26019999999999999</v>
      </c>
      <c r="L7">
        <v>3.5299999999999998E-2</v>
      </c>
      <c r="M7">
        <v>0.31490000000000001</v>
      </c>
      <c r="N7">
        <v>5.1900000000000002E-2</v>
      </c>
      <c r="O7">
        <v>1.55</v>
      </c>
      <c r="P7">
        <v>1.53</v>
      </c>
      <c r="Q7">
        <v>13.2</v>
      </c>
      <c r="R7">
        <v>25.13</v>
      </c>
      <c r="S7">
        <v>2.94</v>
      </c>
      <c r="T7">
        <v>37.67</v>
      </c>
      <c r="U7">
        <v>3.9600000000000003E-2</v>
      </c>
      <c r="V7">
        <v>4.6699999999999998E-2</v>
      </c>
      <c r="W7">
        <v>6.7999999999999996E-3</v>
      </c>
      <c r="X7">
        <v>0.21490000000000001</v>
      </c>
      <c r="Y7">
        <v>8.2600000000000007E-2</v>
      </c>
      <c r="Z7">
        <v>0.7954</v>
      </c>
      <c r="AA7">
        <v>0.7954</v>
      </c>
      <c r="AB7">
        <v>6.0299999999999999E-2</v>
      </c>
    </row>
    <row r="8" spans="1:28" ht="15.75" x14ac:dyDescent="0.25">
      <c r="A8" t="s">
        <v>352</v>
      </c>
      <c r="B8" t="s">
        <v>353</v>
      </c>
      <c r="C8">
        <v>156</v>
      </c>
      <c r="D8">
        <v>-2.6200000000000001E-2</v>
      </c>
      <c r="E8">
        <v>-0.1464</v>
      </c>
      <c r="F8">
        <v>-9.2399999999999996E-2</v>
      </c>
      <c r="G8">
        <v>0.31440000000000001</v>
      </c>
      <c r="H8">
        <v>0.92</v>
      </c>
      <c r="I8">
        <v>1.56</v>
      </c>
      <c r="J8">
        <v>9.8900000000000002E-2</v>
      </c>
      <c r="K8">
        <v>0.3276</v>
      </c>
      <c r="L8">
        <v>3.5299999999999998E-2</v>
      </c>
      <c r="M8">
        <v>0.5524</v>
      </c>
      <c r="N8">
        <v>5.8700000000000002E-2</v>
      </c>
      <c r="O8">
        <v>0.65</v>
      </c>
      <c r="P8">
        <v>2.4900000000000002</v>
      </c>
      <c r="Q8">
        <v>24.89</v>
      </c>
      <c r="R8" t="s">
        <v>354</v>
      </c>
      <c r="S8">
        <v>2.62</v>
      </c>
      <c r="T8">
        <v>140.69999999999999</v>
      </c>
      <c r="U8">
        <v>-7.4200000000000002E-2</v>
      </c>
      <c r="V8">
        <v>0.12670000000000001</v>
      </c>
      <c r="W8">
        <v>4.4000000000000003E-3</v>
      </c>
      <c r="X8" t="s">
        <v>354</v>
      </c>
      <c r="Y8">
        <v>-0.35470000000000002</v>
      </c>
      <c r="Z8">
        <v>2.0899999999999998E-2</v>
      </c>
      <c r="AA8">
        <v>2.0899999999999998E-2</v>
      </c>
      <c r="AB8">
        <v>-0.1515</v>
      </c>
    </row>
    <row r="9" spans="1:28" ht="15.75" x14ac:dyDescent="0.25">
      <c r="A9" t="s">
        <v>355</v>
      </c>
      <c r="B9" t="s">
        <v>356</v>
      </c>
      <c r="C9">
        <v>844</v>
      </c>
      <c r="D9">
        <v>5.6099999999999997E-2</v>
      </c>
      <c r="E9">
        <v>6.4899999999999999E-2</v>
      </c>
      <c r="F9">
        <v>5.8299999999999998E-2</v>
      </c>
      <c r="G9">
        <v>0.22470000000000001</v>
      </c>
      <c r="H9">
        <v>0.93</v>
      </c>
      <c r="I9">
        <v>1.07</v>
      </c>
      <c r="J9">
        <v>7.0900000000000005E-2</v>
      </c>
      <c r="K9">
        <v>0.28520000000000001</v>
      </c>
      <c r="L9">
        <v>3.5299999999999998E-2</v>
      </c>
      <c r="M9">
        <v>0.25800000000000001</v>
      </c>
      <c r="N9">
        <v>5.9299999999999999E-2</v>
      </c>
      <c r="O9">
        <v>1.04</v>
      </c>
      <c r="P9">
        <v>1.76</v>
      </c>
      <c r="Q9">
        <v>13.32</v>
      </c>
      <c r="R9">
        <v>26.3</v>
      </c>
      <c r="S9">
        <v>1.9</v>
      </c>
      <c r="T9">
        <v>47.06</v>
      </c>
      <c r="U9">
        <v>0.1217</v>
      </c>
      <c r="V9">
        <v>8.9899999999999994E-2</v>
      </c>
      <c r="W9">
        <v>5.7000000000000002E-2</v>
      </c>
      <c r="X9">
        <v>1.0407999999999999</v>
      </c>
      <c r="Y9">
        <v>3.9699999999999999E-2</v>
      </c>
      <c r="Z9">
        <v>1.3594999999999999</v>
      </c>
      <c r="AA9">
        <v>1.3594999999999999</v>
      </c>
      <c r="AB9">
        <v>6.6000000000000003E-2</v>
      </c>
    </row>
    <row r="10" spans="1:28" ht="15.75" x14ac:dyDescent="0.25">
      <c r="A10" t="s">
        <v>357</v>
      </c>
      <c r="B10" t="s">
        <v>358</v>
      </c>
      <c r="C10">
        <v>1188</v>
      </c>
      <c r="D10">
        <v>-1.9400000000000001E-2</v>
      </c>
      <c r="E10">
        <v>7.9000000000000001E-2</v>
      </c>
      <c r="F10">
        <v>8.7499999999999994E-2</v>
      </c>
      <c r="G10">
        <v>0.27629999999999999</v>
      </c>
      <c r="H10">
        <v>0.85</v>
      </c>
      <c r="I10">
        <v>0.92</v>
      </c>
      <c r="J10">
        <v>6.2300000000000001E-2</v>
      </c>
      <c r="K10">
        <v>0.31180000000000002</v>
      </c>
      <c r="L10">
        <v>3.5299999999999998E-2</v>
      </c>
      <c r="M10">
        <v>0.1804</v>
      </c>
      <c r="N10">
        <v>5.57E-2</v>
      </c>
      <c r="O10">
        <v>1.23</v>
      </c>
      <c r="P10">
        <v>2.9</v>
      </c>
      <c r="Q10">
        <v>21.19</v>
      </c>
      <c r="R10">
        <v>35.17</v>
      </c>
      <c r="S10">
        <v>3.65</v>
      </c>
      <c r="T10">
        <v>95.19</v>
      </c>
      <c r="U10">
        <v>0.24690000000000001</v>
      </c>
      <c r="V10">
        <v>4.3400000000000001E-2</v>
      </c>
      <c r="W10">
        <v>1.3100000000000001E-2</v>
      </c>
      <c r="X10">
        <v>0.24779999999999999</v>
      </c>
      <c r="Y10">
        <v>2.4400000000000002E-2</v>
      </c>
      <c r="Z10">
        <v>1.7153</v>
      </c>
      <c r="AA10">
        <v>1.7153</v>
      </c>
      <c r="AB10">
        <v>8.0299999999999996E-2</v>
      </c>
    </row>
    <row r="11" spans="1:28" ht="15.75" x14ac:dyDescent="0.25">
      <c r="A11" t="s">
        <v>359</v>
      </c>
      <c r="B11" t="s">
        <v>360</v>
      </c>
      <c r="C11">
        <v>568</v>
      </c>
      <c r="D11">
        <v>5.9499999999999997E-2</v>
      </c>
      <c r="E11">
        <v>0.15820000000000001</v>
      </c>
      <c r="F11">
        <v>0.22370000000000001</v>
      </c>
      <c r="G11">
        <v>0.2356</v>
      </c>
      <c r="H11">
        <v>0.87</v>
      </c>
      <c r="I11">
        <v>0.91</v>
      </c>
      <c r="J11">
        <v>6.1699999999999998E-2</v>
      </c>
      <c r="K11">
        <v>0.35239999999999999</v>
      </c>
      <c r="L11">
        <v>3.5299999999999998E-2</v>
      </c>
      <c r="M11">
        <v>0.10630000000000001</v>
      </c>
      <c r="N11">
        <v>5.79E-2</v>
      </c>
      <c r="O11">
        <v>1.59</v>
      </c>
      <c r="P11">
        <v>3.84</v>
      </c>
      <c r="Q11">
        <v>18.64</v>
      </c>
      <c r="R11">
        <v>23.87</v>
      </c>
      <c r="S11">
        <v>6.13</v>
      </c>
      <c r="T11">
        <v>73.09</v>
      </c>
      <c r="U11">
        <v>5.6300000000000003E-2</v>
      </c>
      <c r="V11">
        <v>3.5999999999999997E-2</v>
      </c>
      <c r="W11">
        <v>3.1399999999999997E-2</v>
      </c>
      <c r="X11">
        <v>0.1993</v>
      </c>
      <c r="Y11">
        <v>0.16800000000000001</v>
      </c>
      <c r="Z11">
        <v>0.6542</v>
      </c>
      <c r="AA11">
        <v>0.6542</v>
      </c>
      <c r="AB11">
        <v>0.15890000000000001</v>
      </c>
    </row>
    <row r="12" spans="1:28" ht="15.75" x14ac:dyDescent="0.25">
      <c r="A12" t="s">
        <v>361</v>
      </c>
      <c r="B12" t="s">
        <v>362</v>
      </c>
      <c r="C12">
        <v>1478</v>
      </c>
      <c r="D12">
        <v>0.14369999999999999</v>
      </c>
      <c r="E12">
        <v>0.19819999999999999</v>
      </c>
      <c r="F12">
        <v>0.19309999999999999</v>
      </c>
      <c r="G12">
        <v>0.1588</v>
      </c>
      <c r="H12">
        <v>1.06</v>
      </c>
      <c r="I12">
        <v>1.08</v>
      </c>
      <c r="J12">
        <v>7.1199999999999999E-2</v>
      </c>
      <c r="K12">
        <v>0.40589999999999998</v>
      </c>
      <c r="L12">
        <v>3.95E-2</v>
      </c>
      <c r="M12">
        <v>0.06</v>
      </c>
      <c r="N12">
        <v>6.8699999999999997E-2</v>
      </c>
      <c r="O12">
        <v>0.98</v>
      </c>
      <c r="P12">
        <v>10.19</v>
      </c>
      <c r="Q12">
        <v>30.92</v>
      </c>
      <c r="R12">
        <v>44.66</v>
      </c>
      <c r="S12">
        <v>11.12</v>
      </c>
      <c r="T12">
        <v>187.92</v>
      </c>
      <c r="U12">
        <v>0.13519999999999999</v>
      </c>
      <c r="V12">
        <v>5.6500000000000002E-2</v>
      </c>
      <c r="W12">
        <v>5.9900000000000002E-2</v>
      </c>
      <c r="X12">
        <v>0.43790000000000001</v>
      </c>
      <c r="Y12">
        <v>0.20369999999999999</v>
      </c>
      <c r="Z12">
        <v>0.33250000000000002</v>
      </c>
      <c r="AA12">
        <v>0.33250000000000002</v>
      </c>
      <c r="AB12">
        <v>0.21440000000000001</v>
      </c>
    </row>
    <row r="13" spans="1:28" ht="15.75" x14ac:dyDescent="0.25">
      <c r="A13" t="s">
        <v>363</v>
      </c>
      <c r="B13" t="s">
        <v>364</v>
      </c>
      <c r="C13">
        <v>1234</v>
      </c>
      <c r="D13">
        <v>9.6100000000000005E-2</v>
      </c>
      <c r="E13">
        <v>0.17100000000000001</v>
      </c>
      <c r="F13">
        <v>4.6199999999999998E-2</v>
      </c>
      <c r="G13">
        <v>0.2114</v>
      </c>
      <c r="H13">
        <v>0.55000000000000004</v>
      </c>
      <c r="I13">
        <v>0.78</v>
      </c>
      <c r="J13">
        <v>5.45E-2</v>
      </c>
      <c r="K13">
        <v>0.30370000000000003</v>
      </c>
      <c r="L13">
        <v>3.5299999999999998E-2</v>
      </c>
      <c r="M13">
        <v>0.4481</v>
      </c>
      <c r="N13">
        <v>4.1799999999999997E-2</v>
      </c>
      <c r="O13">
        <v>0.28999999999999998</v>
      </c>
      <c r="P13">
        <v>5.79</v>
      </c>
      <c r="Q13">
        <v>18.309999999999999</v>
      </c>
      <c r="R13">
        <v>23.24</v>
      </c>
      <c r="S13">
        <v>1.54</v>
      </c>
      <c r="T13">
        <v>198.87</v>
      </c>
      <c r="U13" t="s">
        <v>354</v>
      </c>
      <c r="V13">
        <v>2.4299999999999999E-2</v>
      </c>
      <c r="W13">
        <v>6.2199999999999998E-2</v>
      </c>
      <c r="X13">
        <v>0.57930000000000004</v>
      </c>
      <c r="Y13">
        <v>7.2400000000000006E-2</v>
      </c>
      <c r="Z13">
        <v>0.67269999999999996</v>
      </c>
      <c r="AA13">
        <v>0.67269999999999996</v>
      </c>
      <c r="AB13">
        <v>0.17019999999999999</v>
      </c>
    </row>
    <row r="14" spans="1:28" ht="15.75" x14ac:dyDescent="0.25">
      <c r="A14" t="s">
        <v>365</v>
      </c>
      <c r="B14" t="s">
        <v>366</v>
      </c>
      <c r="C14">
        <v>185</v>
      </c>
      <c r="D14">
        <v>3.5000000000000003E-2</v>
      </c>
      <c r="E14">
        <v>4.9000000000000002E-2</v>
      </c>
      <c r="F14">
        <v>8.4000000000000005E-2</v>
      </c>
      <c r="G14">
        <v>0.2366</v>
      </c>
      <c r="H14">
        <v>0.82</v>
      </c>
      <c r="I14">
        <v>1.07</v>
      </c>
      <c r="J14">
        <v>7.0900000000000005E-2</v>
      </c>
      <c r="K14">
        <v>0.30480000000000002</v>
      </c>
      <c r="L14">
        <v>3.5299999999999998E-2</v>
      </c>
      <c r="M14">
        <v>0.34599999999999997</v>
      </c>
      <c r="N14">
        <v>5.5399999999999998E-2</v>
      </c>
      <c r="O14">
        <v>2.2799999999999998</v>
      </c>
      <c r="P14">
        <v>0.96</v>
      </c>
      <c r="Q14">
        <v>11.89</v>
      </c>
      <c r="R14">
        <v>19.809999999999999</v>
      </c>
      <c r="S14">
        <v>3.38</v>
      </c>
      <c r="T14">
        <v>43.31</v>
      </c>
      <c r="U14">
        <v>0.11509999999999999</v>
      </c>
      <c r="V14">
        <v>2.3E-2</v>
      </c>
      <c r="W14">
        <v>1.54E-2</v>
      </c>
      <c r="X14">
        <v>3.8999999999999998E-3</v>
      </c>
      <c r="Y14">
        <v>0.1399</v>
      </c>
      <c r="Z14">
        <v>0.36420000000000002</v>
      </c>
      <c r="AA14">
        <v>0.36420000000000002</v>
      </c>
      <c r="AB14">
        <v>4.4499999999999998E-2</v>
      </c>
    </row>
    <row r="15" spans="1:28" ht="15.75" x14ac:dyDescent="0.25">
      <c r="A15" t="s">
        <v>38</v>
      </c>
      <c r="B15" t="s">
        <v>367</v>
      </c>
      <c r="C15">
        <v>144</v>
      </c>
      <c r="D15">
        <v>8.9999999999999993E-3</v>
      </c>
      <c r="E15">
        <v>2.6100000000000002E-2</v>
      </c>
      <c r="F15">
        <v>2.0199999999999999E-2</v>
      </c>
      <c r="G15">
        <v>0.26400000000000001</v>
      </c>
      <c r="H15">
        <v>1.01</v>
      </c>
      <c r="I15">
        <v>1.39</v>
      </c>
      <c r="J15">
        <v>8.9399999999999993E-2</v>
      </c>
      <c r="K15">
        <v>0.30830000000000002</v>
      </c>
      <c r="L15">
        <v>3.5299999999999998E-2</v>
      </c>
      <c r="M15">
        <v>0.42909999999999998</v>
      </c>
      <c r="N15">
        <v>6.2199999999999998E-2</v>
      </c>
      <c r="O15">
        <v>0.86</v>
      </c>
      <c r="P15">
        <v>1.53</v>
      </c>
      <c r="Q15">
        <v>19.79</v>
      </c>
      <c r="R15">
        <v>53.78</v>
      </c>
      <c r="S15">
        <v>1.76</v>
      </c>
      <c r="T15">
        <v>156.27000000000001</v>
      </c>
      <c r="U15">
        <v>6.1999999999999998E-3</v>
      </c>
      <c r="V15">
        <v>6.7599999999999993E-2</v>
      </c>
      <c r="W15">
        <v>3.3099999999999997E-2</v>
      </c>
      <c r="X15">
        <v>1.0702</v>
      </c>
      <c r="Y15">
        <v>1.9099999999999999E-2</v>
      </c>
      <c r="Z15">
        <v>1.2162999999999999</v>
      </c>
      <c r="AA15">
        <v>1.2162999999999999</v>
      </c>
      <c r="AB15">
        <v>2.7099999999999999E-2</v>
      </c>
    </row>
    <row r="16" spans="1:28" ht="15.75" x14ac:dyDescent="0.25">
      <c r="A16" t="s">
        <v>368</v>
      </c>
      <c r="B16" t="s">
        <v>369</v>
      </c>
      <c r="C16">
        <v>709</v>
      </c>
      <c r="D16">
        <v>1.8499999999999999E-2</v>
      </c>
      <c r="E16">
        <v>2.6200000000000001E-2</v>
      </c>
      <c r="F16">
        <v>3.4000000000000002E-2</v>
      </c>
      <c r="G16">
        <v>0.24179999999999999</v>
      </c>
      <c r="H16">
        <v>1.28</v>
      </c>
      <c r="I16">
        <v>1.4</v>
      </c>
      <c r="J16">
        <v>0.09</v>
      </c>
      <c r="K16">
        <v>0.2994</v>
      </c>
      <c r="L16">
        <v>3.5299999999999998E-2</v>
      </c>
      <c r="M16">
        <v>0.25580000000000003</v>
      </c>
      <c r="N16">
        <v>7.3700000000000002E-2</v>
      </c>
      <c r="O16">
        <v>1.38</v>
      </c>
      <c r="P16">
        <v>1.05</v>
      </c>
      <c r="Q16">
        <v>11.24</v>
      </c>
      <c r="R16">
        <v>36.17</v>
      </c>
      <c r="S16">
        <v>1.72</v>
      </c>
      <c r="T16">
        <v>78.989999999999995</v>
      </c>
      <c r="U16">
        <v>0.1231</v>
      </c>
      <c r="V16">
        <v>5.8200000000000002E-2</v>
      </c>
      <c r="W16">
        <v>3.4500000000000003E-2</v>
      </c>
      <c r="X16">
        <v>1.7513000000000001</v>
      </c>
      <c r="Y16">
        <v>-1.61E-2</v>
      </c>
      <c r="Z16">
        <v>7.1000000000000004E-3</v>
      </c>
      <c r="AA16">
        <v>7.1000000000000004E-3</v>
      </c>
      <c r="AB16">
        <v>2.7900000000000001E-2</v>
      </c>
    </row>
    <row r="17" spans="1:28" ht="15.75" x14ac:dyDescent="0.25">
      <c r="A17" t="s">
        <v>370</v>
      </c>
      <c r="B17" t="s">
        <v>371</v>
      </c>
      <c r="C17">
        <v>620</v>
      </c>
      <c r="D17">
        <v>8.4500000000000006E-2</v>
      </c>
      <c r="E17">
        <v>2E-3</v>
      </c>
      <c r="F17">
        <v>2.0000000000000001E-4</v>
      </c>
      <c r="G17">
        <v>0.20180000000000001</v>
      </c>
      <c r="H17">
        <v>0.48</v>
      </c>
      <c r="I17">
        <v>1</v>
      </c>
      <c r="J17">
        <v>6.6699999999999995E-2</v>
      </c>
      <c r="K17">
        <v>0.21179999999999999</v>
      </c>
      <c r="L17">
        <v>2.87E-2</v>
      </c>
      <c r="M17">
        <v>0.75419999999999998</v>
      </c>
      <c r="N17">
        <v>3.2399999999999998E-2</v>
      </c>
      <c r="O17">
        <v>0.12</v>
      </c>
      <c r="P17">
        <v>7.75</v>
      </c>
      <c r="Q17" t="s">
        <v>354</v>
      </c>
      <c r="R17" t="s">
        <v>354</v>
      </c>
      <c r="S17">
        <v>0.81</v>
      </c>
      <c r="T17">
        <v>71.41</v>
      </c>
      <c r="U17" t="s">
        <v>354</v>
      </c>
      <c r="V17">
        <v>3.32E-2</v>
      </c>
      <c r="W17">
        <v>4.0899999999999999E-2</v>
      </c>
      <c r="X17">
        <v>19.655799999999999</v>
      </c>
      <c r="Y17">
        <v>7.6999999999999999E-2</v>
      </c>
      <c r="Z17">
        <v>0.37390000000000001</v>
      </c>
      <c r="AA17">
        <v>0.37390000000000001</v>
      </c>
      <c r="AB17">
        <v>2.2000000000000001E-3</v>
      </c>
    </row>
    <row r="18" spans="1:28" ht="15.75" x14ac:dyDescent="0.25">
      <c r="A18" t="s">
        <v>372</v>
      </c>
      <c r="B18" t="s">
        <v>373</v>
      </c>
      <c r="C18">
        <v>850</v>
      </c>
      <c r="D18">
        <v>7.0999999999999994E-2</v>
      </c>
      <c r="E18">
        <v>-2.0000000000000001E-4</v>
      </c>
      <c r="F18">
        <v>-2.9999999999999997E-4</v>
      </c>
      <c r="G18">
        <v>0.19239999999999999</v>
      </c>
      <c r="H18">
        <v>0.54</v>
      </c>
      <c r="I18">
        <v>0.69</v>
      </c>
      <c r="J18">
        <v>4.9200000000000001E-2</v>
      </c>
      <c r="K18">
        <v>0.19259999999999999</v>
      </c>
      <c r="L18">
        <v>2.87E-2</v>
      </c>
      <c r="M18">
        <v>0.66120000000000001</v>
      </c>
      <c r="N18">
        <v>3.0700000000000002E-2</v>
      </c>
      <c r="O18">
        <v>0.18</v>
      </c>
      <c r="P18">
        <v>4.9400000000000004</v>
      </c>
      <c r="Q18" t="s">
        <v>354</v>
      </c>
      <c r="R18" t="s">
        <v>354</v>
      </c>
      <c r="S18">
        <v>0.81</v>
      </c>
      <c r="T18">
        <v>17.68</v>
      </c>
      <c r="U18" t="s">
        <v>354</v>
      </c>
      <c r="V18">
        <v>4.1000000000000002E-2</v>
      </c>
      <c r="W18">
        <v>2.6599999999999999E-2</v>
      </c>
      <c r="X18" t="s">
        <v>354</v>
      </c>
      <c r="Y18">
        <v>7.2599999999999998E-2</v>
      </c>
      <c r="Z18">
        <v>0.54400000000000004</v>
      </c>
      <c r="AA18">
        <v>0.54400000000000004</v>
      </c>
      <c r="AB18">
        <v>-2.0999999999999999E-3</v>
      </c>
    </row>
    <row r="19" spans="1:28" ht="15.75" x14ac:dyDescent="0.25">
      <c r="A19" t="s">
        <v>374</v>
      </c>
      <c r="B19" t="s">
        <v>375</v>
      </c>
      <c r="C19">
        <v>324</v>
      </c>
      <c r="D19">
        <v>5.6399999999999999E-2</v>
      </c>
      <c r="E19">
        <v>0.12429999999999999</v>
      </c>
      <c r="F19">
        <v>8.5500000000000007E-2</v>
      </c>
      <c r="G19">
        <v>0.20380000000000001</v>
      </c>
      <c r="H19">
        <v>0.73</v>
      </c>
      <c r="I19">
        <v>0.99</v>
      </c>
      <c r="J19">
        <v>6.6299999999999998E-2</v>
      </c>
      <c r="K19">
        <v>0.23449999999999999</v>
      </c>
      <c r="L19">
        <v>2.87E-2</v>
      </c>
      <c r="M19">
        <v>0.4032</v>
      </c>
      <c r="N19">
        <v>4.8099999999999997E-2</v>
      </c>
      <c r="O19">
        <v>0.79</v>
      </c>
      <c r="P19">
        <v>1.82</v>
      </c>
      <c r="Q19">
        <v>10.24</v>
      </c>
      <c r="R19">
        <v>14.18</v>
      </c>
      <c r="S19">
        <v>1.0900000000000001</v>
      </c>
      <c r="T19">
        <v>38.049999999999997</v>
      </c>
      <c r="U19">
        <v>-0.2077</v>
      </c>
      <c r="V19">
        <v>5.3400000000000003E-2</v>
      </c>
      <c r="W19">
        <v>2.93E-2</v>
      </c>
      <c r="X19">
        <v>0.34760000000000002</v>
      </c>
      <c r="Y19">
        <v>7.7399999999999997E-2</v>
      </c>
      <c r="Z19">
        <v>0.33960000000000001</v>
      </c>
      <c r="AA19">
        <v>0.33960000000000001</v>
      </c>
      <c r="AB19">
        <v>0.1245</v>
      </c>
    </row>
    <row r="20" spans="1:28" ht="15.75" x14ac:dyDescent="0.25">
      <c r="A20" t="s">
        <v>376</v>
      </c>
      <c r="B20" t="s">
        <v>377</v>
      </c>
      <c r="C20">
        <v>1620</v>
      </c>
      <c r="D20">
        <v>0.15559999999999999</v>
      </c>
      <c r="E20">
        <v>8.1000000000000003E-2</v>
      </c>
      <c r="F20">
        <v>8.6499999999999994E-2</v>
      </c>
      <c r="G20">
        <v>0.313</v>
      </c>
      <c r="H20">
        <v>0.83</v>
      </c>
      <c r="I20">
        <v>0.97</v>
      </c>
      <c r="J20">
        <v>6.5100000000000005E-2</v>
      </c>
      <c r="K20">
        <v>0.53800000000000003</v>
      </c>
      <c r="L20">
        <v>3.95E-2</v>
      </c>
      <c r="M20">
        <v>0.26729999999999998</v>
      </c>
      <c r="N20">
        <v>5.5500000000000001E-2</v>
      </c>
      <c r="O20">
        <v>1.1000000000000001</v>
      </c>
      <c r="P20">
        <v>1.64</v>
      </c>
      <c r="Q20">
        <v>10.199999999999999</v>
      </c>
      <c r="R20">
        <v>19.25</v>
      </c>
      <c r="S20">
        <v>1.98</v>
      </c>
      <c r="T20">
        <v>175.1</v>
      </c>
      <c r="U20">
        <v>0.10390000000000001</v>
      </c>
      <c r="V20">
        <v>8.0500000000000002E-2</v>
      </c>
      <c r="W20">
        <v>4.1099999999999998E-2</v>
      </c>
      <c r="X20">
        <v>0.8851</v>
      </c>
      <c r="Y20">
        <v>3.61E-2</v>
      </c>
      <c r="Z20">
        <v>1.7998000000000001</v>
      </c>
      <c r="AA20">
        <v>1.7998000000000001</v>
      </c>
      <c r="AB20">
        <v>8.1600000000000006E-2</v>
      </c>
    </row>
    <row r="21" spans="1:28" ht="15.75" x14ac:dyDescent="0.25">
      <c r="A21" t="s">
        <v>378</v>
      </c>
      <c r="B21" t="s">
        <v>379</v>
      </c>
      <c r="C21">
        <v>223</v>
      </c>
      <c r="D21">
        <v>7.3400000000000007E-2</v>
      </c>
      <c r="E21">
        <v>0.20269999999999999</v>
      </c>
      <c r="F21">
        <v>0.1149</v>
      </c>
      <c r="G21">
        <v>0.25180000000000002</v>
      </c>
      <c r="H21">
        <v>0.73</v>
      </c>
      <c r="I21">
        <v>0.8</v>
      </c>
      <c r="J21">
        <v>5.5599999999999997E-2</v>
      </c>
      <c r="K21">
        <v>0.24279999999999999</v>
      </c>
      <c r="L21">
        <v>2.87E-2</v>
      </c>
      <c r="M21">
        <v>0.15010000000000001</v>
      </c>
      <c r="N21">
        <v>5.04E-2</v>
      </c>
      <c r="O21">
        <v>0.68</v>
      </c>
      <c r="P21">
        <v>5.86</v>
      </c>
      <c r="Q21">
        <v>22.59</v>
      </c>
      <c r="R21">
        <v>28.8</v>
      </c>
      <c r="S21">
        <v>4.95</v>
      </c>
      <c r="T21">
        <v>163.77000000000001</v>
      </c>
      <c r="U21">
        <v>0.1026</v>
      </c>
      <c r="V21">
        <v>5.0200000000000002E-2</v>
      </c>
      <c r="W21">
        <v>3.9300000000000002E-2</v>
      </c>
      <c r="X21">
        <v>0.24690000000000001</v>
      </c>
      <c r="Y21">
        <v>9.1399999999999995E-2</v>
      </c>
      <c r="Z21">
        <v>0.72960000000000003</v>
      </c>
      <c r="AA21">
        <v>0.72960000000000003</v>
      </c>
      <c r="AB21">
        <v>0.2031</v>
      </c>
    </row>
    <row r="22" spans="1:28" ht="15.75" x14ac:dyDescent="0.25">
      <c r="A22" t="s">
        <v>380</v>
      </c>
      <c r="B22" t="s">
        <v>381</v>
      </c>
      <c r="C22">
        <v>108</v>
      </c>
      <c r="D22">
        <v>6.3899999999999998E-2</v>
      </c>
      <c r="E22">
        <v>0.15</v>
      </c>
      <c r="F22">
        <v>0.1981</v>
      </c>
      <c r="G22">
        <v>0.22090000000000001</v>
      </c>
      <c r="H22">
        <v>0.65</v>
      </c>
      <c r="I22">
        <v>0.72</v>
      </c>
      <c r="J22">
        <v>5.0700000000000002E-2</v>
      </c>
      <c r="K22">
        <v>0.312</v>
      </c>
      <c r="L22">
        <v>3.5299999999999998E-2</v>
      </c>
      <c r="M22">
        <v>0.1757</v>
      </c>
      <c r="N22">
        <v>4.6399999999999997E-2</v>
      </c>
      <c r="O22">
        <v>1.47</v>
      </c>
      <c r="P22">
        <v>3.79</v>
      </c>
      <c r="Q22">
        <v>19.29</v>
      </c>
      <c r="R22">
        <v>25.14</v>
      </c>
      <c r="S22">
        <v>5.9</v>
      </c>
      <c r="T22">
        <v>82.18</v>
      </c>
      <c r="U22">
        <v>-5.5399999999999998E-2</v>
      </c>
      <c r="V22">
        <v>5.3499999999999999E-2</v>
      </c>
      <c r="W22">
        <v>4.9500000000000002E-2</v>
      </c>
      <c r="X22">
        <v>0.36270000000000002</v>
      </c>
      <c r="Y22">
        <v>0.19339999999999999</v>
      </c>
      <c r="Z22">
        <v>0.78480000000000005</v>
      </c>
      <c r="AA22">
        <v>0.78480000000000005</v>
      </c>
      <c r="AB22">
        <v>0.15079999999999999</v>
      </c>
    </row>
    <row r="23" spans="1:28" ht="15.75" x14ac:dyDescent="0.25">
      <c r="A23" t="s">
        <v>382</v>
      </c>
      <c r="B23" t="s">
        <v>383</v>
      </c>
      <c r="C23">
        <v>423</v>
      </c>
      <c r="D23">
        <v>0.15790000000000001</v>
      </c>
      <c r="E23">
        <v>0.1288</v>
      </c>
      <c r="F23">
        <v>0.1492</v>
      </c>
      <c r="G23">
        <v>0.17030000000000001</v>
      </c>
      <c r="H23">
        <v>0.97</v>
      </c>
      <c r="I23">
        <v>1</v>
      </c>
      <c r="J23">
        <v>6.6699999999999995E-2</v>
      </c>
      <c r="K23">
        <v>0.40100000000000002</v>
      </c>
      <c r="L23">
        <v>3.95E-2</v>
      </c>
      <c r="M23">
        <v>7.7399999999999997E-2</v>
      </c>
      <c r="N23">
        <v>6.3799999999999996E-2</v>
      </c>
      <c r="O23">
        <v>1.18</v>
      </c>
      <c r="P23">
        <v>8.66</v>
      </c>
      <c r="Q23">
        <v>36.659999999999997</v>
      </c>
      <c r="R23">
        <v>61.78</v>
      </c>
      <c r="S23">
        <v>8.08</v>
      </c>
      <c r="T23">
        <v>117.85</v>
      </c>
      <c r="U23">
        <v>0.22070000000000001</v>
      </c>
      <c r="V23">
        <v>5.5300000000000002E-2</v>
      </c>
      <c r="W23">
        <v>2.7799999999999998E-2</v>
      </c>
      <c r="X23">
        <v>0.40649999999999997</v>
      </c>
      <c r="Y23">
        <v>0.1288</v>
      </c>
      <c r="Z23">
        <v>0.14169999999999999</v>
      </c>
      <c r="AA23">
        <v>0.14169999999999999</v>
      </c>
      <c r="AB23">
        <v>0.1346</v>
      </c>
    </row>
    <row r="24" spans="1:28" ht="15.75" x14ac:dyDescent="0.25">
      <c r="A24" t="s">
        <v>384</v>
      </c>
      <c r="B24" t="s">
        <v>385</v>
      </c>
      <c r="C24">
        <v>146</v>
      </c>
      <c r="D24">
        <v>1.32E-2</v>
      </c>
      <c r="E24">
        <v>0.1479</v>
      </c>
      <c r="F24">
        <v>0.12959999999999999</v>
      </c>
      <c r="G24">
        <v>0.23930000000000001</v>
      </c>
      <c r="H24">
        <v>0.69</v>
      </c>
      <c r="I24">
        <v>0.98</v>
      </c>
      <c r="J24">
        <v>6.5500000000000003E-2</v>
      </c>
      <c r="K24">
        <v>0.31230000000000002</v>
      </c>
      <c r="L24">
        <v>3.5299999999999998E-2</v>
      </c>
      <c r="M24">
        <v>0.43509999999999999</v>
      </c>
      <c r="N24">
        <v>4.8300000000000003E-2</v>
      </c>
      <c r="O24">
        <v>1</v>
      </c>
      <c r="P24">
        <v>1.8</v>
      </c>
      <c r="Q24">
        <v>8.14</v>
      </c>
      <c r="R24">
        <v>11.77</v>
      </c>
      <c r="S24">
        <v>1.35</v>
      </c>
      <c r="T24">
        <v>26.64</v>
      </c>
      <c r="U24">
        <v>0.1464</v>
      </c>
      <c r="V24">
        <v>3.6200000000000003E-2</v>
      </c>
      <c r="W24">
        <v>-2.9999999999999997E-4</v>
      </c>
      <c r="X24">
        <v>0.8075</v>
      </c>
      <c r="Y24">
        <v>1.95E-2</v>
      </c>
      <c r="Z24">
        <v>1.2773000000000001</v>
      </c>
      <c r="AA24">
        <v>1.2773000000000001</v>
      </c>
      <c r="AB24">
        <v>0.1467</v>
      </c>
    </row>
    <row r="25" spans="1:28" ht="15.75" x14ac:dyDescent="0.25">
      <c r="A25" t="s">
        <v>386</v>
      </c>
      <c r="B25" t="s">
        <v>387</v>
      </c>
      <c r="C25">
        <v>439</v>
      </c>
      <c r="D25">
        <v>1.9900000000000001E-2</v>
      </c>
      <c r="E25">
        <v>8.6199999999999999E-2</v>
      </c>
      <c r="F25">
        <v>0.1221</v>
      </c>
      <c r="G25">
        <v>0.25580000000000003</v>
      </c>
      <c r="H25">
        <v>0.91</v>
      </c>
      <c r="I25">
        <v>0.99</v>
      </c>
      <c r="J25">
        <v>6.6400000000000001E-2</v>
      </c>
      <c r="K25">
        <v>0.27510000000000001</v>
      </c>
      <c r="L25">
        <v>3.5299999999999998E-2</v>
      </c>
      <c r="M25">
        <v>0.19900000000000001</v>
      </c>
      <c r="N25">
        <v>5.8299999999999998E-2</v>
      </c>
      <c r="O25">
        <v>1.66</v>
      </c>
      <c r="P25">
        <v>1.81</v>
      </c>
      <c r="Q25">
        <v>13.58</v>
      </c>
      <c r="R25">
        <v>20.47</v>
      </c>
      <c r="S25">
        <v>2.9</v>
      </c>
      <c r="T25">
        <v>66.92</v>
      </c>
      <c r="U25">
        <v>0.17069999999999999</v>
      </c>
      <c r="V25">
        <v>4.1399999999999999E-2</v>
      </c>
      <c r="W25">
        <v>3.1300000000000001E-2</v>
      </c>
      <c r="X25">
        <v>0.3543</v>
      </c>
      <c r="Y25">
        <v>8.6900000000000005E-2</v>
      </c>
      <c r="Z25">
        <v>0.41470000000000001</v>
      </c>
      <c r="AA25">
        <v>0.41470000000000001</v>
      </c>
      <c r="AB25">
        <v>8.7800000000000003E-2</v>
      </c>
    </row>
    <row r="26" spans="1:28" ht="15.75" x14ac:dyDescent="0.25">
      <c r="A26" t="s">
        <v>388</v>
      </c>
      <c r="B26" t="s">
        <v>389</v>
      </c>
      <c r="C26">
        <v>923</v>
      </c>
      <c r="D26">
        <v>7.3700000000000002E-2</v>
      </c>
      <c r="E26">
        <v>7.6100000000000001E-2</v>
      </c>
      <c r="F26">
        <v>0.16200000000000001</v>
      </c>
      <c r="G26">
        <v>0.25590000000000002</v>
      </c>
      <c r="H26">
        <v>0.91</v>
      </c>
      <c r="I26">
        <v>0.99</v>
      </c>
      <c r="J26">
        <v>6.6299999999999998E-2</v>
      </c>
      <c r="K26">
        <v>0.32240000000000002</v>
      </c>
      <c r="L26">
        <v>3.5299999999999998E-2</v>
      </c>
      <c r="M26">
        <v>0.17749999999999999</v>
      </c>
      <c r="N26">
        <v>5.91E-2</v>
      </c>
      <c r="O26">
        <v>2.4500000000000002</v>
      </c>
      <c r="P26">
        <v>2.17</v>
      </c>
      <c r="Q26">
        <v>17.28</v>
      </c>
      <c r="R26">
        <v>27.4</v>
      </c>
      <c r="S26">
        <v>4.54</v>
      </c>
      <c r="T26">
        <v>90.75</v>
      </c>
      <c r="U26">
        <v>8.9099999999999999E-2</v>
      </c>
      <c r="V26">
        <v>2.69E-2</v>
      </c>
      <c r="W26">
        <v>8.8000000000000005E-3</v>
      </c>
      <c r="X26">
        <v>-6.1000000000000004E-3</v>
      </c>
      <c r="Y26">
        <v>8.8800000000000004E-2</v>
      </c>
      <c r="Z26">
        <v>0.70650000000000002</v>
      </c>
      <c r="AA26">
        <v>0.70650000000000002</v>
      </c>
      <c r="AB26">
        <v>7.8200000000000006E-2</v>
      </c>
    </row>
    <row r="27" spans="1:28" ht="15.75" x14ac:dyDescent="0.25">
      <c r="A27" t="s">
        <v>390</v>
      </c>
      <c r="B27" t="s">
        <v>391</v>
      </c>
      <c r="C27">
        <v>1096</v>
      </c>
      <c r="D27">
        <v>8.9800000000000005E-2</v>
      </c>
      <c r="E27">
        <v>9.1700000000000004E-2</v>
      </c>
      <c r="F27">
        <v>5.1999999999999998E-3</v>
      </c>
      <c r="G27">
        <v>0.18410000000000001</v>
      </c>
      <c r="H27">
        <v>0.16</v>
      </c>
      <c r="I27">
        <v>0.8</v>
      </c>
      <c r="J27">
        <v>5.57E-2</v>
      </c>
      <c r="K27">
        <v>0.29680000000000001</v>
      </c>
      <c r="L27">
        <v>3.5299999999999998E-2</v>
      </c>
      <c r="M27">
        <v>0.85719999999999996</v>
      </c>
      <c r="N27">
        <v>3.0300000000000001E-2</v>
      </c>
      <c r="O27">
        <v>7.0000000000000007E-2</v>
      </c>
      <c r="P27">
        <v>17.21</v>
      </c>
      <c r="Q27">
        <v>113.76</v>
      </c>
      <c r="R27">
        <v>154.77000000000001</v>
      </c>
      <c r="S27">
        <v>1.42</v>
      </c>
      <c r="T27">
        <v>67.239999999999995</v>
      </c>
      <c r="U27" t="s">
        <v>354</v>
      </c>
      <c r="V27">
        <v>5.91E-2</v>
      </c>
      <c r="W27">
        <v>8.1100000000000005E-2</v>
      </c>
      <c r="X27">
        <v>1.1718999999999999</v>
      </c>
      <c r="Y27">
        <v>0.1396</v>
      </c>
      <c r="Z27">
        <v>0.27979999999999999</v>
      </c>
      <c r="AA27">
        <v>0.27979999999999999</v>
      </c>
      <c r="AB27">
        <v>9.1399999999999995E-2</v>
      </c>
    </row>
    <row r="28" spans="1:28" ht="15.75" x14ac:dyDescent="0.25">
      <c r="A28" t="s">
        <v>392</v>
      </c>
      <c r="B28" t="s">
        <v>393</v>
      </c>
      <c r="C28">
        <v>167</v>
      </c>
      <c r="D28">
        <v>6.4299999999999996E-2</v>
      </c>
      <c r="E28">
        <v>0.10440000000000001</v>
      </c>
      <c r="F28">
        <v>9.5000000000000001E-2</v>
      </c>
      <c r="G28">
        <v>0.22589999999999999</v>
      </c>
      <c r="H28">
        <v>1.1599999999999999</v>
      </c>
      <c r="I28">
        <v>1.31</v>
      </c>
      <c r="J28">
        <v>8.4599999999999995E-2</v>
      </c>
      <c r="K28">
        <v>0.2833</v>
      </c>
      <c r="L28">
        <v>3.5299999999999998E-2</v>
      </c>
      <c r="M28">
        <v>0.29010000000000002</v>
      </c>
      <c r="N28">
        <v>6.7599999999999993E-2</v>
      </c>
      <c r="O28">
        <v>1.26</v>
      </c>
      <c r="P28">
        <v>1.21</v>
      </c>
      <c r="Q28">
        <v>9.93</v>
      </c>
      <c r="R28">
        <v>12.77</v>
      </c>
      <c r="S28">
        <v>1.57</v>
      </c>
      <c r="T28">
        <v>174.93</v>
      </c>
      <c r="U28">
        <v>0.60809999999999997</v>
      </c>
      <c r="V28">
        <v>1.03E-2</v>
      </c>
      <c r="W28">
        <v>1.2200000000000001E-2</v>
      </c>
      <c r="X28">
        <v>0.17369999999999999</v>
      </c>
      <c r="Y28">
        <v>0.13350000000000001</v>
      </c>
      <c r="Z28">
        <v>0.21560000000000001</v>
      </c>
      <c r="AA28">
        <v>0.21560000000000001</v>
      </c>
      <c r="AB28">
        <v>9.4200000000000006E-2</v>
      </c>
    </row>
    <row r="29" spans="1:28" ht="15.75" x14ac:dyDescent="0.25">
      <c r="A29" t="s">
        <v>394</v>
      </c>
      <c r="B29" t="s">
        <v>395</v>
      </c>
      <c r="C29">
        <v>60</v>
      </c>
      <c r="D29">
        <v>1.8499999999999999E-2</v>
      </c>
      <c r="E29">
        <v>0.1812</v>
      </c>
      <c r="F29">
        <v>0.11269999999999999</v>
      </c>
      <c r="G29">
        <v>0.2291</v>
      </c>
      <c r="H29">
        <v>0.78</v>
      </c>
      <c r="I29">
        <v>1.05</v>
      </c>
      <c r="J29">
        <v>7.0000000000000007E-2</v>
      </c>
      <c r="K29">
        <v>0.30640000000000001</v>
      </c>
      <c r="L29">
        <v>3.5299999999999998E-2</v>
      </c>
      <c r="M29">
        <v>0.3448</v>
      </c>
      <c r="N29">
        <v>5.4899999999999997E-2</v>
      </c>
      <c r="O29">
        <v>0.73</v>
      </c>
      <c r="P29">
        <v>3.67</v>
      </c>
      <c r="Q29">
        <v>10.4</v>
      </c>
      <c r="R29">
        <v>19.34</v>
      </c>
      <c r="S29">
        <v>2.75</v>
      </c>
      <c r="T29">
        <v>41.4</v>
      </c>
      <c r="U29">
        <v>-6.9999999999999999E-4</v>
      </c>
      <c r="V29">
        <v>0.11700000000000001</v>
      </c>
      <c r="W29">
        <v>-2.1100000000000001E-2</v>
      </c>
      <c r="X29">
        <v>-0.159</v>
      </c>
      <c r="Y29">
        <v>0.1047</v>
      </c>
      <c r="Z29">
        <v>0.3291</v>
      </c>
      <c r="AA29">
        <v>0.3291</v>
      </c>
      <c r="AB29">
        <v>0.1807</v>
      </c>
    </row>
    <row r="30" spans="1:28" ht="15.75" x14ac:dyDescent="0.25">
      <c r="A30" t="s">
        <v>396</v>
      </c>
      <c r="B30" t="s">
        <v>397</v>
      </c>
      <c r="C30">
        <v>753</v>
      </c>
      <c r="D30">
        <v>3.73E-2</v>
      </c>
      <c r="E30">
        <v>9.3200000000000005E-2</v>
      </c>
      <c r="F30">
        <v>9.4500000000000001E-2</v>
      </c>
      <c r="G30">
        <v>0.2225</v>
      </c>
      <c r="H30">
        <v>0.95</v>
      </c>
      <c r="I30">
        <v>1.1000000000000001</v>
      </c>
      <c r="J30">
        <v>7.2400000000000006E-2</v>
      </c>
      <c r="K30">
        <v>0.2873</v>
      </c>
      <c r="L30">
        <v>3.5299999999999998E-2</v>
      </c>
      <c r="M30">
        <v>0.28910000000000002</v>
      </c>
      <c r="N30">
        <v>5.8999999999999997E-2</v>
      </c>
      <c r="O30">
        <v>1.1599999999999999</v>
      </c>
      <c r="P30">
        <v>1.59</v>
      </c>
      <c r="Q30">
        <v>10.9</v>
      </c>
      <c r="R30">
        <v>16.46</v>
      </c>
      <c r="S30">
        <v>1.76</v>
      </c>
      <c r="T30">
        <v>49.38</v>
      </c>
      <c r="U30">
        <v>0.10100000000000001</v>
      </c>
      <c r="V30">
        <v>5.0599999999999999E-2</v>
      </c>
      <c r="W30">
        <v>1.83E-2</v>
      </c>
      <c r="X30">
        <v>4.8599999999999997E-2</v>
      </c>
      <c r="Y30">
        <v>7.9899999999999999E-2</v>
      </c>
      <c r="Z30">
        <v>0.59340000000000004</v>
      </c>
      <c r="AA30">
        <v>0.59340000000000004</v>
      </c>
      <c r="AB30">
        <v>9.4399999999999998E-2</v>
      </c>
    </row>
    <row r="31" spans="1:28" ht="15.75" x14ac:dyDescent="0.25">
      <c r="A31" t="s">
        <v>398</v>
      </c>
      <c r="B31" t="s">
        <v>399</v>
      </c>
      <c r="C31">
        <v>73</v>
      </c>
      <c r="D31">
        <v>3.3399999999999999E-2</v>
      </c>
      <c r="E31">
        <v>3.8100000000000002E-2</v>
      </c>
      <c r="F31">
        <v>3.1199999999999999E-2</v>
      </c>
      <c r="G31">
        <v>0.24809999999999999</v>
      </c>
      <c r="H31">
        <v>1.05</v>
      </c>
      <c r="I31">
        <v>1.33</v>
      </c>
      <c r="J31">
        <v>8.5699999999999998E-2</v>
      </c>
      <c r="K31">
        <v>0.24890000000000001</v>
      </c>
      <c r="L31">
        <v>2.87E-2</v>
      </c>
      <c r="M31">
        <v>0.3488</v>
      </c>
      <c r="N31">
        <v>6.3200000000000006E-2</v>
      </c>
      <c r="O31">
        <v>0.97</v>
      </c>
      <c r="P31">
        <v>1.37</v>
      </c>
      <c r="Q31">
        <v>12.96</v>
      </c>
      <c r="R31">
        <v>35.24</v>
      </c>
      <c r="S31">
        <v>1.45</v>
      </c>
      <c r="T31">
        <v>129.62</v>
      </c>
      <c r="U31">
        <v>0.19359999999999999</v>
      </c>
      <c r="V31">
        <v>6.7699999999999996E-2</v>
      </c>
      <c r="W31">
        <v>2.9499999999999998E-2</v>
      </c>
      <c r="X31">
        <v>0.71179999999999999</v>
      </c>
      <c r="Y31">
        <v>-2.9499999999999998E-2</v>
      </c>
      <c r="Z31">
        <v>3.3300000000000003E-2</v>
      </c>
      <c r="AA31">
        <v>3.3300000000000003E-2</v>
      </c>
      <c r="AB31">
        <v>3.9199999999999999E-2</v>
      </c>
    </row>
    <row r="32" spans="1:28" ht="15.75" x14ac:dyDescent="0.25">
      <c r="A32" t="s">
        <v>400</v>
      </c>
      <c r="B32" t="s">
        <v>401</v>
      </c>
      <c r="C32">
        <v>480</v>
      </c>
      <c r="D32">
        <v>1.5100000000000001E-2</v>
      </c>
      <c r="E32">
        <v>3.4700000000000002E-2</v>
      </c>
      <c r="F32">
        <v>6.3899999999999998E-2</v>
      </c>
      <c r="G32">
        <v>0.2742</v>
      </c>
      <c r="H32">
        <v>0.96</v>
      </c>
      <c r="I32">
        <v>1.0900000000000001</v>
      </c>
      <c r="J32">
        <v>7.1999999999999995E-2</v>
      </c>
      <c r="K32">
        <v>0.32040000000000002</v>
      </c>
      <c r="L32">
        <v>3.5299999999999998E-2</v>
      </c>
      <c r="M32">
        <v>0.25290000000000001</v>
      </c>
      <c r="N32">
        <v>6.0400000000000002E-2</v>
      </c>
      <c r="O32">
        <v>2.2400000000000002</v>
      </c>
      <c r="P32">
        <v>1.3</v>
      </c>
      <c r="Q32">
        <v>14.29</v>
      </c>
      <c r="R32">
        <v>38.130000000000003</v>
      </c>
      <c r="S32">
        <v>4.05</v>
      </c>
      <c r="T32">
        <v>38.36</v>
      </c>
      <c r="U32">
        <v>6.0600000000000001E-2</v>
      </c>
      <c r="V32">
        <v>1.7100000000000001E-2</v>
      </c>
      <c r="W32">
        <v>-6.4000000000000003E-3</v>
      </c>
      <c r="X32">
        <v>-1.0136000000000001</v>
      </c>
      <c r="Y32">
        <v>2.29E-2</v>
      </c>
      <c r="Z32">
        <v>2.0173000000000001</v>
      </c>
      <c r="AA32">
        <v>2.0173000000000001</v>
      </c>
      <c r="AB32">
        <v>3.32E-2</v>
      </c>
    </row>
    <row r="33" spans="1:28" ht="15.75" x14ac:dyDescent="0.25">
      <c r="A33" t="s">
        <v>402</v>
      </c>
      <c r="B33" t="s">
        <v>403</v>
      </c>
      <c r="C33">
        <v>222</v>
      </c>
      <c r="D33">
        <v>6.5699999999999995E-2</v>
      </c>
      <c r="E33">
        <v>0.12180000000000001</v>
      </c>
      <c r="F33">
        <v>0.1053</v>
      </c>
      <c r="G33">
        <v>0.23719999999999999</v>
      </c>
      <c r="H33">
        <v>0.9</v>
      </c>
      <c r="I33">
        <v>1.01</v>
      </c>
      <c r="J33">
        <v>6.7699999999999996E-2</v>
      </c>
      <c r="K33">
        <v>0.40870000000000001</v>
      </c>
      <c r="L33">
        <v>3.95E-2</v>
      </c>
      <c r="M33">
        <v>0.35539999999999999</v>
      </c>
      <c r="N33">
        <v>5.3999999999999999E-2</v>
      </c>
      <c r="O33">
        <v>0.92</v>
      </c>
      <c r="P33">
        <v>1.23</v>
      </c>
      <c r="Q33">
        <v>5.59</v>
      </c>
      <c r="R33">
        <v>9.5299999999999994</v>
      </c>
      <c r="S33">
        <v>0.96</v>
      </c>
      <c r="T33">
        <v>22.51</v>
      </c>
      <c r="U33">
        <v>-1.7600000000000001E-2</v>
      </c>
      <c r="V33">
        <v>8.0299999999999996E-2</v>
      </c>
      <c r="W33">
        <v>2.3400000000000001E-2</v>
      </c>
      <c r="X33">
        <v>0.44519999999999998</v>
      </c>
      <c r="Y33">
        <v>7.5999999999999998E-2</v>
      </c>
      <c r="Z33">
        <v>0.98299999999999998</v>
      </c>
      <c r="AA33">
        <v>0.98299999999999998</v>
      </c>
      <c r="AB33">
        <v>0.12239999999999999</v>
      </c>
    </row>
    <row r="34" spans="1:28" ht="15.75" x14ac:dyDescent="0.25">
      <c r="A34" t="s">
        <v>404</v>
      </c>
      <c r="B34" t="s">
        <v>405</v>
      </c>
      <c r="C34">
        <v>482</v>
      </c>
      <c r="D34">
        <v>8.7300000000000003E-2</v>
      </c>
      <c r="E34">
        <v>0.1081</v>
      </c>
      <c r="F34">
        <v>0.1249</v>
      </c>
      <c r="G34">
        <v>0.19450000000000001</v>
      </c>
      <c r="H34">
        <v>1.0900000000000001</v>
      </c>
      <c r="I34">
        <v>1.1000000000000001</v>
      </c>
      <c r="J34">
        <v>7.2800000000000004E-2</v>
      </c>
      <c r="K34">
        <v>0.3427</v>
      </c>
      <c r="L34">
        <v>3.5299999999999998E-2</v>
      </c>
      <c r="M34">
        <v>0.12659999999999999</v>
      </c>
      <c r="N34">
        <v>6.6900000000000001E-2</v>
      </c>
      <c r="O34">
        <v>1.21</v>
      </c>
      <c r="P34">
        <v>2.52</v>
      </c>
      <c r="Q34">
        <v>15.55</v>
      </c>
      <c r="R34">
        <v>22.16</v>
      </c>
      <c r="S34">
        <v>3.68</v>
      </c>
      <c r="T34">
        <v>105.51</v>
      </c>
      <c r="U34">
        <v>0.2175</v>
      </c>
      <c r="V34">
        <v>3.5499999999999997E-2</v>
      </c>
      <c r="W34">
        <v>2.6599999999999999E-2</v>
      </c>
      <c r="X34">
        <v>0.2878</v>
      </c>
      <c r="Y34">
        <v>0.1042</v>
      </c>
      <c r="Z34">
        <v>0.61550000000000005</v>
      </c>
      <c r="AA34">
        <v>0.61550000000000005</v>
      </c>
      <c r="AB34">
        <v>0.1118</v>
      </c>
    </row>
    <row r="35" spans="1:28" ht="15.75" x14ac:dyDescent="0.25">
      <c r="A35" t="s">
        <v>406</v>
      </c>
      <c r="B35" t="s">
        <v>407</v>
      </c>
      <c r="C35">
        <v>337</v>
      </c>
      <c r="D35">
        <v>5.7999999999999996E-3</v>
      </c>
      <c r="E35">
        <v>0.10059999999999999</v>
      </c>
      <c r="F35">
        <v>0.151</v>
      </c>
      <c r="G35">
        <v>0.1888</v>
      </c>
      <c r="H35">
        <v>1.23</v>
      </c>
      <c r="I35">
        <v>1.27</v>
      </c>
      <c r="J35">
        <v>8.2199999999999995E-2</v>
      </c>
      <c r="K35">
        <v>0.31509999999999999</v>
      </c>
      <c r="L35">
        <v>3.5299999999999998E-2</v>
      </c>
      <c r="M35">
        <v>9.64E-2</v>
      </c>
      <c r="N35">
        <v>7.6799999999999993E-2</v>
      </c>
      <c r="O35">
        <v>1.65</v>
      </c>
      <c r="P35">
        <v>2.8</v>
      </c>
      <c r="Q35">
        <v>18.05</v>
      </c>
      <c r="R35">
        <v>27.54</v>
      </c>
      <c r="S35">
        <v>6.21</v>
      </c>
      <c r="T35">
        <v>57.75</v>
      </c>
      <c r="U35">
        <v>1.6199999999999999E-2</v>
      </c>
      <c r="V35">
        <v>4.48E-2</v>
      </c>
      <c r="W35">
        <v>2.92E-2</v>
      </c>
      <c r="X35">
        <v>0.3594</v>
      </c>
      <c r="Y35">
        <v>0.19089999999999999</v>
      </c>
      <c r="Z35">
        <v>0.34570000000000001</v>
      </c>
      <c r="AA35">
        <v>0.34570000000000001</v>
      </c>
      <c r="AB35">
        <v>0.1038</v>
      </c>
    </row>
    <row r="36" spans="1:28" ht="15.75" x14ac:dyDescent="0.25">
      <c r="A36" t="s">
        <v>408</v>
      </c>
      <c r="B36" t="s">
        <v>409</v>
      </c>
      <c r="C36">
        <v>1022</v>
      </c>
      <c r="D36">
        <v>6.6199999999999995E-2</v>
      </c>
      <c r="E36">
        <v>3.6499999999999998E-2</v>
      </c>
      <c r="F36">
        <v>5.2299999999999999E-2</v>
      </c>
      <c r="G36">
        <v>0.2316</v>
      </c>
      <c r="H36">
        <v>0.56999999999999995</v>
      </c>
      <c r="I36">
        <v>0.83</v>
      </c>
      <c r="J36">
        <v>5.7099999999999998E-2</v>
      </c>
      <c r="K36">
        <v>0.29099999999999998</v>
      </c>
      <c r="L36">
        <v>3.5299999999999998E-2</v>
      </c>
      <c r="M36">
        <v>0.46279999999999999</v>
      </c>
      <c r="N36">
        <v>4.2799999999999998E-2</v>
      </c>
      <c r="O36">
        <v>1.68</v>
      </c>
      <c r="P36">
        <v>0.81</v>
      </c>
      <c r="Q36">
        <v>13.45</v>
      </c>
      <c r="R36">
        <v>21.2</v>
      </c>
      <c r="S36">
        <v>1.4</v>
      </c>
      <c r="T36">
        <v>66.680000000000007</v>
      </c>
      <c r="U36">
        <v>0.15310000000000001</v>
      </c>
      <c r="V36">
        <v>3.0200000000000001E-2</v>
      </c>
      <c r="W36">
        <v>2.4500000000000001E-2</v>
      </c>
      <c r="X36">
        <v>0.42859999999999998</v>
      </c>
      <c r="Y36">
        <v>5.7299999999999997E-2</v>
      </c>
      <c r="Z36">
        <v>0.75549999999999995</v>
      </c>
      <c r="AA36">
        <v>0.75549999999999995</v>
      </c>
      <c r="AB36">
        <v>3.6799999999999999E-2</v>
      </c>
    </row>
    <row r="37" spans="1:28" ht="15.75" x14ac:dyDescent="0.25">
      <c r="A37" t="s">
        <v>410</v>
      </c>
      <c r="B37" t="s">
        <v>410</v>
      </c>
      <c r="C37">
        <v>142</v>
      </c>
      <c r="D37">
        <v>8.0999999999999996E-3</v>
      </c>
      <c r="E37">
        <v>4.8300000000000003E-2</v>
      </c>
      <c r="F37">
        <v>7.2099999999999997E-2</v>
      </c>
      <c r="G37">
        <v>9.7500000000000003E-2</v>
      </c>
      <c r="H37">
        <v>1.1499999999999999</v>
      </c>
      <c r="I37">
        <v>1.22</v>
      </c>
      <c r="J37">
        <v>7.9799999999999996E-2</v>
      </c>
      <c r="K37">
        <v>0.34389999999999998</v>
      </c>
      <c r="L37">
        <v>3.5299999999999998E-2</v>
      </c>
      <c r="M37">
        <v>0.2394</v>
      </c>
      <c r="N37">
        <v>6.6900000000000001E-2</v>
      </c>
      <c r="O37">
        <v>1.57</v>
      </c>
      <c r="P37">
        <v>1.08</v>
      </c>
      <c r="Q37">
        <v>11.5</v>
      </c>
      <c r="R37">
        <v>21.32</v>
      </c>
      <c r="S37">
        <v>2.0699999999999998</v>
      </c>
      <c r="T37">
        <v>46.44</v>
      </c>
      <c r="U37">
        <v>-8.5000000000000006E-3</v>
      </c>
      <c r="V37">
        <v>5.5199999999999999E-2</v>
      </c>
      <c r="W37">
        <v>3.7699999999999997E-2</v>
      </c>
      <c r="X37">
        <v>0.75480000000000003</v>
      </c>
      <c r="Y37">
        <v>0.1212</v>
      </c>
      <c r="Z37">
        <v>0.2366</v>
      </c>
      <c r="AA37">
        <v>0.2366</v>
      </c>
      <c r="AB37">
        <v>5.0999999999999997E-2</v>
      </c>
    </row>
    <row r="38" spans="1:28" ht="15.75" x14ac:dyDescent="0.25">
      <c r="A38" t="s">
        <v>411</v>
      </c>
      <c r="B38" t="s">
        <v>412</v>
      </c>
      <c r="C38">
        <v>1007</v>
      </c>
      <c r="D38">
        <v>6.1499999999999999E-2</v>
      </c>
      <c r="E38">
        <v>6.9199999999999998E-2</v>
      </c>
      <c r="F38">
        <v>0.1918</v>
      </c>
      <c r="G38">
        <v>0.22239999999999999</v>
      </c>
      <c r="H38">
        <v>1</v>
      </c>
      <c r="I38">
        <v>1.05</v>
      </c>
      <c r="J38">
        <v>6.9800000000000001E-2</v>
      </c>
      <c r="K38">
        <v>0.31019999999999998</v>
      </c>
      <c r="L38">
        <v>3.5299999999999998E-2</v>
      </c>
      <c r="M38">
        <v>0.1555</v>
      </c>
      <c r="N38">
        <v>6.3E-2</v>
      </c>
      <c r="O38">
        <v>3.21</v>
      </c>
      <c r="P38">
        <v>1.44</v>
      </c>
      <c r="Q38">
        <v>14.01</v>
      </c>
      <c r="R38">
        <v>20.07</v>
      </c>
      <c r="S38">
        <v>3.87</v>
      </c>
      <c r="T38">
        <v>60.3</v>
      </c>
      <c r="U38">
        <v>0.1318</v>
      </c>
      <c r="V38">
        <v>1.66E-2</v>
      </c>
      <c r="W38">
        <v>1.0200000000000001E-2</v>
      </c>
      <c r="X38">
        <v>9.8299999999999998E-2</v>
      </c>
      <c r="Y38">
        <v>0.14319999999999999</v>
      </c>
      <c r="Z38">
        <v>0.5151</v>
      </c>
      <c r="AA38">
        <v>0.5151</v>
      </c>
      <c r="AB38">
        <v>7.1099999999999997E-2</v>
      </c>
    </row>
    <row r="39" spans="1:28" ht="15.75" x14ac:dyDescent="0.25">
      <c r="A39" t="s">
        <v>413</v>
      </c>
      <c r="B39" t="s">
        <v>414</v>
      </c>
      <c r="C39">
        <v>922</v>
      </c>
      <c r="D39">
        <v>0.35799999999999998</v>
      </c>
      <c r="E39">
        <v>0.1925</v>
      </c>
      <c r="F39">
        <v>0.1434</v>
      </c>
      <c r="G39">
        <v>0.27750000000000002</v>
      </c>
      <c r="H39">
        <v>0.87</v>
      </c>
      <c r="I39">
        <v>0.89</v>
      </c>
      <c r="J39">
        <v>6.08E-2</v>
      </c>
      <c r="K39">
        <v>0.54779999999999995</v>
      </c>
      <c r="L39">
        <v>3.95E-2</v>
      </c>
      <c r="M39">
        <v>0.12609999999999999</v>
      </c>
      <c r="N39">
        <v>5.6800000000000003E-2</v>
      </c>
      <c r="O39">
        <v>0.77</v>
      </c>
      <c r="P39">
        <v>3.52</v>
      </c>
      <c r="Q39">
        <v>9.83</v>
      </c>
      <c r="R39">
        <v>16.600000000000001</v>
      </c>
      <c r="S39">
        <v>2.5299999999999998</v>
      </c>
      <c r="T39">
        <v>63.03</v>
      </c>
      <c r="U39">
        <v>0.1273</v>
      </c>
      <c r="V39">
        <v>0.13900000000000001</v>
      </c>
      <c r="W39">
        <v>8.1900000000000001E-2</v>
      </c>
      <c r="X39">
        <v>0.78159999999999996</v>
      </c>
      <c r="Y39">
        <v>7.8600000000000003E-2</v>
      </c>
      <c r="Z39">
        <v>0.45150000000000001</v>
      </c>
      <c r="AA39">
        <v>0.45150000000000001</v>
      </c>
      <c r="AB39">
        <v>0.193</v>
      </c>
    </row>
    <row r="40" spans="1:28" ht="15.75" x14ac:dyDescent="0.25">
      <c r="A40" t="s">
        <v>415</v>
      </c>
      <c r="B40" t="s">
        <v>416</v>
      </c>
      <c r="C40">
        <v>1322</v>
      </c>
      <c r="D40">
        <v>7.0599999999999996E-2</v>
      </c>
      <c r="E40">
        <v>9.4200000000000006E-2</v>
      </c>
      <c r="F40">
        <v>0.13969999999999999</v>
      </c>
      <c r="G40">
        <v>0.2167</v>
      </c>
      <c r="H40">
        <v>0.71</v>
      </c>
      <c r="I40">
        <v>0.78</v>
      </c>
      <c r="J40">
        <v>5.45E-2</v>
      </c>
      <c r="K40">
        <v>0.26950000000000002</v>
      </c>
      <c r="L40">
        <v>3.5299999999999998E-2</v>
      </c>
      <c r="M40">
        <v>0.18920000000000001</v>
      </c>
      <c r="N40">
        <v>4.9099999999999998E-2</v>
      </c>
      <c r="O40">
        <v>1.72</v>
      </c>
      <c r="P40">
        <v>1.87</v>
      </c>
      <c r="Q40">
        <v>14.14</v>
      </c>
      <c r="R40">
        <v>19.48</v>
      </c>
      <c r="S40">
        <v>3.03</v>
      </c>
      <c r="T40">
        <v>72.319999999999993</v>
      </c>
      <c r="U40">
        <v>9.3399999999999997E-2</v>
      </c>
      <c r="V40">
        <v>4.6800000000000001E-2</v>
      </c>
      <c r="W40">
        <v>3.1399999999999997E-2</v>
      </c>
      <c r="X40">
        <v>0.44800000000000001</v>
      </c>
      <c r="Y40">
        <v>0.1303</v>
      </c>
      <c r="Z40">
        <v>0.47239999999999999</v>
      </c>
      <c r="AA40">
        <v>0.47239999999999999</v>
      </c>
      <c r="AB40">
        <v>9.4799999999999995E-2</v>
      </c>
    </row>
    <row r="41" spans="1:28" ht="15.75" x14ac:dyDescent="0.25">
      <c r="A41" t="s">
        <v>417</v>
      </c>
      <c r="B41" t="s">
        <v>418</v>
      </c>
      <c r="C41">
        <v>950</v>
      </c>
      <c r="D41">
        <v>6.3E-2</v>
      </c>
      <c r="E41">
        <v>5.6899999999999999E-2</v>
      </c>
      <c r="F41">
        <v>8.1699999999999995E-2</v>
      </c>
      <c r="G41">
        <v>0.2079</v>
      </c>
      <c r="H41">
        <v>1.06</v>
      </c>
      <c r="I41">
        <v>1.0900000000000001</v>
      </c>
      <c r="J41">
        <v>7.1999999999999995E-2</v>
      </c>
      <c r="K41">
        <v>0.32300000000000001</v>
      </c>
      <c r="L41">
        <v>3.5299999999999998E-2</v>
      </c>
      <c r="M41">
        <v>0.13589999999999999</v>
      </c>
      <c r="N41">
        <v>6.5699999999999995E-2</v>
      </c>
      <c r="O41">
        <v>1.54</v>
      </c>
      <c r="P41">
        <v>2.34</v>
      </c>
      <c r="Q41">
        <v>20.350000000000001</v>
      </c>
      <c r="R41">
        <v>36.590000000000003</v>
      </c>
      <c r="S41">
        <v>3.31</v>
      </c>
      <c r="T41">
        <v>71.44</v>
      </c>
      <c r="U41">
        <v>0.23330000000000001</v>
      </c>
      <c r="V41">
        <v>4.82E-2</v>
      </c>
      <c r="W41">
        <v>3.4700000000000002E-2</v>
      </c>
      <c r="X41">
        <v>0.54820000000000002</v>
      </c>
      <c r="Y41">
        <v>6.6299999999999998E-2</v>
      </c>
      <c r="Z41">
        <v>0.66749999999999998</v>
      </c>
      <c r="AA41">
        <v>0.66749999999999998</v>
      </c>
      <c r="AB41">
        <v>5.9900000000000002E-2</v>
      </c>
    </row>
    <row r="42" spans="1:28" ht="15.75" x14ac:dyDescent="0.25">
      <c r="A42" t="s">
        <v>419</v>
      </c>
      <c r="B42" t="s">
        <v>420</v>
      </c>
      <c r="C42">
        <v>217</v>
      </c>
      <c r="D42">
        <v>-1.14E-2</v>
      </c>
      <c r="E42">
        <v>4.3099999999999999E-2</v>
      </c>
      <c r="F42">
        <v>8.6599999999999996E-2</v>
      </c>
      <c r="G42">
        <v>0.26860000000000001</v>
      </c>
      <c r="H42">
        <v>0.84</v>
      </c>
      <c r="I42">
        <v>0.99</v>
      </c>
      <c r="J42">
        <v>6.6500000000000004E-2</v>
      </c>
      <c r="K42">
        <v>0.25729999999999997</v>
      </c>
      <c r="L42">
        <v>3.5299999999999998E-2</v>
      </c>
      <c r="M42">
        <v>0.26950000000000002</v>
      </c>
      <c r="N42">
        <v>5.5599999999999997E-2</v>
      </c>
      <c r="O42">
        <v>2.71</v>
      </c>
      <c r="P42">
        <v>0.96</v>
      </c>
      <c r="Q42">
        <v>12.76</v>
      </c>
      <c r="R42">
        <v>24.54</v>
      </c>
      <c r="S42">
        <v>3.34</v>
      </c>
      <c r="T42">
        <v>61.89</v>
      </c>
      <c r="U42">
        <v>-1.8599999999999998E-2</v>
      </c>
      <c r="V42">
        <v>2.41E-2</v>
      </c>
      <c r="W42">
        <v>1.8E-3</v>
      </c>
      <c r="X42">
        <v>-0.153</v>
      </c>
      <c r="Y42">
        <v>9.9900000000000003E-2</v>
      </c>
      <c r="Z42">
        <v>0.55810000000000004</v>
      </c>
      <c r="AA42">
        <v>0.55810000000000004</v>
      </c>
      <c r="AB42">
        <v>3.8800000000000001E-2</v>
      </c>
    </row>
    <row r="43" spans="1:28" ht="15.75" x14ac:dyDescent="0.25">
      <c r="A43" t="s">
        <v>421</v>
      </c>
      <c r="B43" t="s">
        <v>422</v>
      </c>
      <c r="C43">
        <v>816</v>
      </c>
      <c r="D43">
        <v>0.1211</v>
      </c>
      <c r="E43">
        <v>0.1447</v>
      </c>
      <c r="F43">
        <v>0.13139999999999999</v>
      </c>
      <c r="G43">
        <v>0.16350000000000001</v>
      </c>
      <c r="H43">
        <v>0.93</v>
      </c>
      <c r="I43">
        <v>0.96</v>
      </c>
      <c r="J43">
        <v>6.4500000000000002E-2</v>
      </c>
      <c r="K43">
        <v>0.38319999999999999</v>
      </c>
      <c r="L43">
        <v>3.5299999999999998E-2</v>
      </c>
      <c r="M43">
        <v>8.8700000000000001E-2</v>
      </c>
      <c r="N43">
        <v>6.1100000000000002E-2</v>
      </c>
      <c r="O43">
        <v>0.96</v>
      </c>
      <c r="P43">
        <v>6.51</v>
      </c>
      <c r="Q43">
        <v>27.02</v>
      </c>
      <c r="R43">
        <v>42.65</v>
      </c>
      <c r="S43">
        <v>5.48</v>
      </c>
      <c r="T43">
        <v>421.87</v>
      </c>
      <c r="U43">
        <v>0.25019999999999998</v>
      </c>
      <c r="V43">
        <v>5.2499999999999998E-2</v>
      </c>
      <c r="W43">
        <v>7.8600000000000003E-2</v>
      </c>
      <c r="X43">
        <v>0.78359999999999996</v>
      </c>
      <c r="Y43">
        <v>0.1056</v>
      </c>
      <c r="Z43">
        <v>0.37169999999999997</v>
      </c>
      <c r="AA43">
        <v>0.37169999999999997</v>
      </c>
      <c r="AB43">
        <v>0.14680000000000001</v>
      </c>
    </row>
    <row r="44" spans="1:28" ht="15.75" x14ac:dyDescent="0.25">
      <c r="A44" t="s">
        <v>423</v>
      </c>
      <c r="B44" t="s">
        <v>424</v>
      </c>
      <c r="C44">
        <v>315</v>
      </c>
      <c r="D44">
        <v>9.9900000000000003E-2</v>
      </c>
      <c r="E44">
        <v>0.15079999999999999</v>
      </c>
      <c r="F44">
        <v>0.1027</v>
      </c>
      <c r="G44">
        <v>0.221</v>
      </c>
      <c r="H44">
        <v>0.51</v>
      </c>
      <c r="I44">
        <v>0.78</v>
      </c>
      <c r="J44">
        <v>5.45E-2</v>
      </c>
      <c r="K44">
        <v>0.29189999999999999</v>
      </c>
      <c r="L44">
        <v>3.5299999999999998E-2</v>
      </c>
      <c r="M44">
        <v>0.4501</v>
      </c>
      <c r="N44">
        <v>4.1700000000000001E-2</v>
      </c>
      <c r="O44">
        <v>0.79</v>
      </c>
      <c r="P44">
        <v>2.16</v>
      </c>
      <c r="Q44">
        <v>6.79</v>
      </c>
      <c r="R44">
        <v>14.39</v>
      </c>
      <c r="S44">
        <v>1.48</v>
      </c>
      <c r="T44">
        <v>59</v>
      </c>
      <c r="U44">
        <v>2.2700000000000001E-2</v>
      </c>
      <c r="V44">
        <v>0.13980000000000001</v>
      </c>
      <c r="W44">
        <v>-3.32E-2</v>
      </c>
      <c r="X44">
        <v>-0.2288</v>
      </c>
      <c r="Y44">
        <v>8.7800000000000003E-2</v>
      </c>
      <c r="Z44">
        <v>0.65620000000000001</v>
      </c>
      <c r="AA44">
        <v>0.65620000000000001</v>
      </c>
      <c r="AB44">
        <v>0.14949999999999999</v>
      </c>
    </row>
    <row r="45" spans="1:28" ht="15.75" x14ac:dyDescent="0.25">
      <c r="A45" t="s">
        <v>425</v>
      </c>
      <c r="B45" t="s">
        <v>426</v>
      </c>
      <c r="C45">
        <v>1387</v>
      </c>
      <c r="D45">
        <v>5.04E-2</v>
      </c>
      <c r="E45">
        <v>6.13E-2</v>
      </c>
      <c r="F45">
        <v>8.6900000000000005E-2</v>
      </c>
      <c r="G45">
        <v>0.2099</v>
      </c>
      <c r="H45">
        <v>1.25</v>
      </c>
      <c r="I45">
        <v>1.24</v>
      </c>
      <c r="J45">
        <v>8.1000000000000003E-2</v>
      </c>
      <c r="K45">
        <v>0.31040000000000001</v>
      </c>
      <c r="L45">
        <v>3.5299999999999998E-2</v>
      </c>
      <c r="M45">
        <v>0.12690000000000001</v>
      </c>
      <c r="N45">
        <v>7.3999999999999996E-2</v>
      </c>
      <c r="O45">
        <v>1.52</v>
      </c>
      <c r="P45">
        <v>1.89</v>
      </c>
      <c r="Q45">
        <v>16.690000000000001</v>
      </c>
      <c r="R45">
        <v>29.75</v>
      </c>
      <c r="S45">
        <v>2.96</v>
      </c>
      <c r="T45">
        <v>85.41</v>
      </c>
      <c r="U45">
        <v>0.17580000000000001</v>
      </c>
      <c r="V45">
        <v>5.9799999999999999E-2</v>
      </c>
      <c r="W45">
        <v>4.4699999999999997E-2</v>
      </c>
      <c r="X45">
        <v>1.0368999999999999</v>
      </c>
      <c r="Y45">
        <v>6.8099999999999994E-2</v>
      </c>
      <c r="Z45">
        <v>0.59840000000000004</v>
      </c>
      <c r="AA45">
        <v>0.59840000000000004</v>
      </c>
      <c r="AB45">
        <v>6.4799999999999996E-2</v>
      </c>
    </row>
    <row r="46" spans="1:28" ht="15.75" x14ac:dyDescent="0.25">
      <c r="A46" t="s">
        <v>427</v>
      </c>
      <c r="B46" t="s">
        <v>428</v>
      </c>
      <c r="C46">
        <v>1385</v>
      </c>
      <c r="D46">
        <v>3.5700000000000003E-2</v>
      </c>
      <c r="E46">
        <v>7.8200000000000006E-2</v>
      </c>
      <c r="F46">
        <v>9.5500000000000002E-2</v>
      </c>
      <c r="G46">
        <v>0.23830000000000001</v>
      </c>
      <c r="H46">
        <v>1.07</v>
      </c>
      <c r="I46">
        <v>1.1100000000000001</v>
      </c>
      <c r="J46">
        <v>7.3300000000000004E-2</v>
      </c>
      <c r="K46">
        <v>0.27339999999999998</v>
      </c>
      <c r="L46">
        <v>3.5299999999999998E-2</v>
      </c>
      <c r="M46">
        <v>0.1454</v>
      </c>
      <c r="N46">
        <v>6.6500000000000004E-2</v>
      </c>
      <c r="O46">
        <v>1.41</v>
      </c>
      <c r="P46">
        <v>2.2200000000000002</v>
      </c>
      <c r="Q46">
        <v>17.09</v>
      </c>
      <c r="R46">
        <v>27.4</v>
      </c>
      <c r="S46">
        <v>3.05</v>
      </c>
      <c r="T46">
        <v>87.5</v>
      </c>
      <c r="U46">
        <v>0.2631</v>
      </c>
      <c r="V46">
        <v>4.2500000000000003E-2</v>
      </c>
      <c r="W46">
        <v>3.4700000000000002E-2</v>
      </c>
      <c r="X46">
        <v>0.48139999999999999</v>
      </c>
      <c r="Y46">
        <v>7.4700000000000003E-2</v>
      </c>
      <c r="Z46">
        <v>0.56220000000000003</v>
      </c>
      <c r="AA46">
        <v>0.56220000000000003</v>
      </c>
      <c r="AB46">
        <v>8.0100000000000005E-2</v>
      </c>
    </row>
    <row r="47" spans="1:28" ht="15.75" x14ac:dyDescent="0.25">
      <c r="A47" t="s">
        <v>429</v>
      </c>
      <c r="B47" t="s">
        <v>430</v>
      </c>
      <c r="C47">
        <v>53</v>
      </c>
      <c r="D47">
        <v>2.58E-2</v>
      </c>
      <c r="E47">
        <v>0.1186</v>
      </c>
      <c r="F47">
        <v>6.6500000000000004E-2</v>
      </c>
      <c r="G47">
        <v>0.23330000000000001</v>
      </c>
      <c r="H47">
        <v>0.49</v>
      </c>
      <c r="I47">
        <v>0.76</v>
      </c>
      <c r="J47">
        <v>5.33E-2</v>
      </c>
      <c r="K47">
        <v>0.17730000000000001</v>
      </c>
      <c r="L47">
        <v>2.87E-2</v>
      </c>
      <c r="M47">
        <v>0.4637</v>
      </c>
      <c r="N47">
        <v>3.8399999999999997E-2</v>
      </c>
      <c r="O47">
        <v>0.7</v>
      </c>
      <c r="P47">
        <v>2.38</v>
      </c>
      <c r="Q47">
        <v>10.76</v>
      </c>
      <c r="R47">
        <v>19</v>
      </c>
      <c r="S47">
        <v>1.67</v>
      </c>
      <c r="T47">
        <v>37.33</v>
      </c>
      <c r="U47">
        <v>-1.2800000000000001E-2</v>
      </c>
      <c r="V47">
        <v>0.1537</v>
      </c>
      <c r="W47">
        <v>0.1016</v>
      </c>
      <c r="X47">
        <v>1.0797000000000001</v>
      </c>
      <c r="Y47">
        <v>5.4899999999999997E-2</v>
      </c>
      <c r="Z47">
        <v>1.2228000000000001</v>
      </c>
      <c r="AA47">
        <v>1.2228000000000001</v>
      </c>
      <c r="AB47">
        <v>0.1179</v>
      </c>
    </row>
    <row r="48" spans="1:28" ht="15.75" x14ac:dyDescent="0.25">
      <c r="A48" t="s">
        <v>431</v>
      </c>
      <c r="B48" t="s">
        <v>432</v>
      </c>
      <c r="C48">
        <v>1319</v>
      </c>
      <c r="D48">
        <v>0.16980000000000001</v>
      </c>
      <c r="E48">
        <v>0.16850000000000001</v>
      </c>
      <c r="F48">
        <v>0.125</v>
      </c>
      <c r="G48">
        <v>0.16969999999999999</v>
      </c>
      <c r="H48">
        <v>0.93</v>
      </c>
      <c r="I48">
        <v>1</v>
      </c>
      <c r="J48">
        <v>6.6699999999999995E-2</v>
      </c>
      <c r="K48">
        <v>0.3992</v>
      </c>
      <c r="L48">
        <v>3.5299999999999998E-2</v>
      </c>
      <c r="M48">
        <v>0.15010000000000001</v>
      </c>
      <c r="N48">
        <v>6.0600000000000001E-2</v>
      </c>
      <c r="O48">
        <v>0.76</v>
      </c>
      <c r="P48">
        <v>4.38</v>
      </c>
      <c r="Q48">
        <v>15.07</v>
      </c>
      <c r="R48">
        <v>24.39</v>
      </c>
      <c r="S48">
        <v>3.9</v>
      </c>
      <c r="T48">
        <v>78.510000000000005</v>
      </c>
      <c r="U48">
        <v>0.17080000000000001</v>
      </c>
      <c r="V48">
        <v>4.7E-2</v>
      </c>
      <c r="W48">
        <v>5.0900000000000001E-2</v>
      </c>
      <c r="X48">
        <v>0.44040000000000001</v>
      </c>
      <c r="Y48">
        <v>0.109</v>
      </c>
      <c r="Z48">
        <v>0.82240000000000002</v>
      </c>
      <c r="AA48">
        <v>0.82240000000000002</v>
      </c>
      <c r="AB48">
        <v>0.18090000000000001</v>
      </c>
    </row>
    <row r="49" spans="1:28" ht="15.75" x14ac:dyDescent="0.25">
      <c r="A49" t="s">
        <v>433</v>
      </c>
      <c r="B49" t="s">
        <v>434</v>
      </c>
      <c r="C49">
        <v>1139</v>
      </c>
      <c r="D49">
        <v>0.2487</v>
      </c>
      <c r="E49">
        <v>6.2100000000000002E-2</v>
      </c>
      <c r="F49">
        <v>4.8500000000000001E-2</v>
      </c>
      <c r="G49">
        <v>0.13519999999999999</v>
      </c>
      <c r="H49">
        <v>0.97</v>
      </c>
      <c r="I49">
        <v>0.98</v>
      </c>
      <c r="J49">
        <v>6.6000000000000003E-2</v>
      </c>
      <c r="K49">
        <v>0.45629999999999998</v>
      </c>
      <c r="L49">
        <v>3.95E-2</v>
      </c>
      <c r="M49">
        <v>9.8699999999999996E-2</v>
      </c>
      <c r="N49">
        <v>6.2399999999999997E-2</v>
      </c>
      <c r="O49">
        <v>0.49</v>
      </c>
      <c r="P49">
        <v>10.37</v>
      </c>
      <c r="Q49">
        <v>18.61</v>
      </c>
      <c r="R49">
        <v>106.34</v>
      </c>
      <c r="S49">
        <v>7.3</v>
      </c>
      <c r="T49">
        <v>547.85</v>
      </c>
      <c r="U49">
        <v>0.18820000000000001</v>
      </c>
      <c r="V49">
        <v>5.2999999999999999E-2</v>
      </c>
      <c r="W49">
        <v>0.31559999999999999</v>
      </c>
      <c r="X49">
        <v>15.4041</v>
      </c>
      <c r="Y49">
        <v>-4.3799999999999999E-2</v>
      </c>
      <c r="Z49">
        <v>3.0999999999999999E-3</v>
      </c>
      <c r="AA49">
        <v>3.0999999999999999E-3</v>
      </c>
      <c r="AB49">
        <v>0.1003</v>
      </c>
    </row>
    <row r="50" spans="1:28" ht="15.75" x14ac:dyDescent="0.25">
      <c r="A50" t="s">
        <v>435</v>
      </c>
      <c r="B50" t="s">
        <v>436</v>
      </c>
      <c r="C50">
        <v>250</v>
      </c>
      <c r="D50">
        <v>0.127</v>
      </c>
      <c r="E50">
        <v>7.2099999999999997E-2</v>
      </c>
      <c r="F50">
        <v>7.5499999999999998E-2</v>
      </c>
      <c r="G50">
        <v>0.19570000000000001</v>
      </c>
      <c r="H50">
        <v>0.95</v>
      </c>
      <c r="I50">
        <v>0.98</v>
      </c>
      <c r="J50">
        <v>6.5600000000000006E-2</v>
      </c>
      <c r="K50">
        <v>0.3266</v>
      </c>
      <c r="L50">
        <v>3.5299999999999998E-2</v>
      </c>
      <c r="M50">
        <v>0.1258</v>
      </c>
      <c r="N50">
        <v>6.0600000000000001E-2</v>
      </c>
      <c r="O50">
        <v>1.0900000000000001</v>
      </c>
      <c r="P50">
        <v>4.88</v>
      </c>
      <c r="Q50">
        <v>23.88</v>
      </c>
      <c r="R50">
        <v>58.55</v>
      </c>
      <c r="S50">
        <v>4.84</v>
      </c>
      <c r="T50">
        <v>58.53</v>
      </c>
      <c r="U50">
        <v>2.1899999999999999E-2</v>
      </c>
      <c r="V50">
        <v>6.5000000000000002E-2</v>
      </c>
      <c r="W50">
        <v>6.5699999999999995E-2</v>
      </c>
      <c r="X50">
        <v>1.3105</v>
      </c>
      <c r="Y50">
        <v>-2.8E-3</v>
      </c>
      <c r="Z50">
        <v>6.4999999999999997E-3</v>
      </c>
      <c r="AA50">
        <v>6.4999999999999997E-3</v>
      </c>
      <c r="AB50">
        <v>7.7600000000000002E-2</v>
      </c>
    </row>
    <row r="51" spans="1:28" ht="15.75" x14ac:dyDescent="0.25">
      <c r="A51" t="s">
        <v>437</v>
      </c>
      <c r="B51" t="s">
        <v>438</v>
      </c>
      <c r="C51">
        <v>339</v>
      </c>
      <c r="D51">
        <v>8.14E-2</v>
      </c>
      <c r="E51">
        <v>0.1978</v>
      </c>
      <c r="F51">
        <v>0.14000000000000001</v>
      </c>
      <c r="G51">
        <v>0.13930000000000001</v>
      </c>
      <c r="H51">
        <v>1.1299999999999999</v>
      </c>
      <c r="I51">
        <v>1.1299999999999999</v>
      </c>
      <c r="J51">
        <v>7.4399999999999994E-2</v>
      </c>
      <c r="K51">
        <v>0.42349999999999999</v>
      </c>
      <c r="L51">
        <v>3.95E-2</v>
      </c>
      <c r="M51">
        <v>4.07E-2</v>
      </c>
      <c r="N51">
        <v>7.2599999999999998E-2</v>
      </c>
      <c r="O51">
        <v>0.73</v>
      </c>
      <c r="P51">
        <v>7.99</v>
      </c>
      <c r="Q51">
        <v>25.76</v>
      </c>
      <c r="R51">
        <v>38.880000000000003</v>
      </c>
      <c r="S51">
        <v>5.95</v>
      </c>
      <c r="T51">
        <v>122.11</v>
      </c>
      <c r="U51">
        <v>1.54E-2</v>
      </c>
      <c r="V51">
        <v>0.10829999999999999</v>
      </c>
      <c r="W51">
        <v>7.1199999999999999E-2</v>
      </c>
      <c r="X51">
        <v>0.51129999999999998</v>
      </c>
      <c r="Y51">
        <v>0.1842</v>
      </c>
      <c r="Z51">
        <v>3.7199999999999997E-2</v>
      </c>
      <c r="AA51">
        <v>3.7199999999999997E-2</v>
      </c>
      <c r="AB51">
        <v>0.21049999999999999</v>
      </c>
    </row>
    <row r="52" spans="1:28" ht="15.75" x14ac:dyDescent="0.25">
      <c r="A52" t="s">
        <v>439</v>
      </c>
      <c r="B52" t="s">
        <v>440</v>
      </c>
      <c r="C52">
        <v>1263</v>
      </c>
      <c r="D52">
        <v>3.73E-2</v>
      </c>
      <c r="E52">
        <v>4.9299999999999997E-2</v>
      </c>
      <c r="F52">
        <v>8.8900000000000007E-2</v>
      </c>
      <c r="G52">
        <v>0.25900000000000001</v>
      </c>
      <c r="H52">
        <v>0.77</v>
      </c>
      <c r="I52">
        <v>1.04</v>
      </c>
      <c r="J52">
        <v>6.9199999999999998E-2</v>
      </c>
      <c r="K52">
        <v>0.29239999999999999</v>
      </c>
      <c r="L52">
        <v>3.5299999999999998E-2</v>
      </c>
      <c r="M52">
        <v>0.49909999999999999</v>
      </c>
      <c r="N52">
        <v>4.7699999999999999E-2</v>
      </c>
      <c r="O52">
        <v>2.02</v>
      </c>
      <c r="P52">
        <v>0.6</v>
      </c>
      <c r="Q52">
        <v>8.2200000000000006</v>
      </c>
      <c r="R52">
        <v>11.64</v>
      </c>
      <c r="S52">
        <v>0.99</v>
      </c>
      <c r="T52">
        <v>52.36</v>
      </c>
      <c r="U52">
        <v>0.16220000000000001</v>
      </c>
      <c r="V52">
        <v>3.5200000000000002E-2</v>
      </c>
      <c r="W52">
        <v>2.8799999999999999E-2</v>
      </c>
      <c r="X52">
        <v>1.2978000000000001</v>
      </c>
      <c r="Y52">
        <v>7.8899999999999998E-2</v>
      </c>
      <c r="Z52">
        <v>0.62949999999999995</v>
      </c>
      <c r="AA52">
        <v>0.62949999999999995</v>
      </c>
      <c r="AB52">
        <v>5.21E-2</v>
      </c>
    </row>
    <row r="53" spans="1:28" ht="15.75" x14ac:dyDescent="0.25">
      <c r="A53" t="s">
        <v>441</v>
      </c>
      <c r="B53" t="s">
        <v>442</v>
      </c>
      <c r="C53">
        <v>725</v>
      </c>
      <c r="D53">
        <v>8.4699999999999998E-2</v>
      </c>
      <c r="E53">
        <v>7.7100000000000002E-2</v>
      </c>
      <c r="F53">
        <v>8.7499999999999994E-2</v>
      </c>
      <c r="G53">
        <v>0.154</v>
      </c>
      <c r="H53">
        <v>1.04</v>
      </c>
      <c r="I53">
        <v>1.07</v>
      </c>
      <c r="J53">
        <v>7.0999999999999994E-2</v>
      </c>
      <c r="K53">
        <v>0.39450000000000002</v>
      </c>
      <c r="L53">
        <v>3.5299999999999998E-2</v>
      </c>
      <c r="M53">
        <v>0.1153</v>
      </c>
      <c r="N53">
        <v>6.5799999999999997E-2</v>
      </c>
      <c r="O53">
        <v>1.1599999999999999</v>
      </c>
      <c r="P53">
        <v>5.43</v>
      </c>
      <c r="Q53">
        <v>26.54</v>
      </c>
      <c r="R53">
        <v>58.66</v>
      </c>
      <c r="S53">
        <v>4.62</v>
      </c>
      <c r="T53">
        <v>128.44</v>
      </c>
      <c r="U53">
        <v>1.7899999999999999E-2</v>
      </c>
      <c r="V53">
        <v>4.2700000000000002E-2</v>
      </c>
      <c r="W53">
        <v>9.2999999999999992E-3</v>
      </c>
      <c r="X53">
        <v>0.1588</v>
      </c>
      <c r="Y53">
        <v>-1.2699999999999999E-2</v>
      </c>
      <c r="Z53">
        <v>2.0999999999999999E-3</v>
      </c>
      <c r="AA53">
        <v>2.0999999999999999E-3</v>
      </c>
      <c r="AB53">
        <v>8.0399999999999999E-2</v>
      </c>
    </row>
    <row r="54" spans="1:28" ht="15.75" x14ac:dyDescent="0.25">
      <c r="A54" t="s">
        <v>443</v>
      </c>
      <c r="B54" t="s">
        <v>444</v>
      </c>
      <c r="C54">
        <v>171</v>
      </c>
      <c r="D54">
        <v>3.7400000000000003E-2</v>
      </c>
      <c r="E54">
        <v>4.3099999999999999E-2</v>
      </c>
      <c r="F54">
        <v>0.1109</v>
      </c>
      <c r="G54">
        <v>0.25330000000000003</v>
      </c>
      <c r="H54">
        <v>0.47</v>
      </c>
      <c r="I54">
        <v>0.62</v>
      </c>
      <c r="J54">
        <v>4.5100000000000001E-2</v>
      </c>
      <c r="K54">
        <v>0.21909999999999999</v>
      </c>
      <c r="L54">
        <v>2.87E-2</v>
      </c>
      <c r="M54">
        <v>0.3755</v>
      </c>
      <c r="N54">
        <v>3.61E-2</v>
      </c>
      <c r="O54">
        <v>3.4</v>
      </c>
      <c r="P54">
        <v>0.64</v>
      </c>
      <c r="Q54">
        <v>9.0500000000000007</v>
      </c>
      <c r="R54">
        <v>15.42</v>
      </c>
      <c r="S54">
        <v>2.2799999999999998</v>
      </c>
      <c r="T54">
        <v>53.4</v>
      </c>
      <c r="U54">
        <v>-3.3099999999999997E-2</v>
      </c>
      <c r="V54">
        <v>2.6499999999999999E-2</v>
      </c>
      <c r="W54">
        <v>4.5999999999999999E-3</v>
      </c>
      <c r="X54">
        <v>0.24829999999999999</v>
      </c>
      <c r="Y54">
        <v>0.11409999999999999</v>
      </c>
      <c r="Z54">
        <v>0.47070000000000001</v>
      </c>
      <c r="AA54">
        <v>0.47070000000000001</v>
      </c>
      <c r="AB54">
        <v>4.1099999999999998E-2</v>
      </c>
    </row>
    <row r="55" spans="1:28" ht="15.75" x14ac:dyDescent="0.25">
      <c r="A55" t="s">
        <v>445</v>
      </c>
      <c r="B55" t="s">
        <v>446</v>
      </c>
      <c r="C55">
        <v>155</v>
      </c>
      <c r="D55">
        <v>4.7600000000000003E-2</v>
      </c>
      <c r="E55">
        <v>1.8800000000000001E-2</v>
      </c>
      <c r="F55">
        <v>7.6899999999999996E-2</v>
      </c>
      <c r="G55">
        <v>0.2477</v>
      </c>
      <c r="H55">
        <v>0.54</v>
      </c>
      <c r="I55">
        <v>0.76</v>
      </c>
      <c r="J55">
        <v>5.28E-2</v>
      </c>
      <c r="K55">
        <v>0.3009</v>
      </c>
      <c r="L55">
        <v>3.5299999999999998E-2</v>
      </c>
      <c r="M55">
        <v>0.44069999999999998</v>
      </c>
      <c r="N55">
        <v>4.1000000000000002E-2</v>
      </c>
      <c r="O55">
        <v>4.7699999999999996</v>
      </c>
      <c r="P55">
        <v>0.45</v>
      </c>
      <c r="Q55">
        <v>12.84</v>
      </c>
      <c r="R55">
        <v>23.74</v>
      </c>
      <c r="S55">
        <v>2.0699999999999998</v>
      </c>
      <c r="T55">
        <v>43.34</v>
      </c>
      <c r="U55">
        <v>4.2999999999999997E-2</v>
      </c>
      <c r="V55">
        <v>1.3299999999999999E-2</v>
      </c>
      <c r="W55">
        <v>1.6400000000000001E-2</v>
      </c>
      <c r="X55">
        <v>0.68530000000000002</v>
      </c>
      <c r="Y55">
        <v>1.6E-2</v>
      </c>
      <c r="Z55">
        <v>3.0430999999999999</v>
      </c>
      <c r="AA55">
        <v>3.0430999999999999</v>
      </c>
      <c r="AB55">
        <v>1.8599999999999998E-2</v>
      </c>
    </row>
    <row r="56" spans="1:28" ht="15.75" x14ac:dyDescent="0.25">
      <c r="A56" t="s">
        <v>447</v>
      </c>
      <c r="B56" t="s">
        <v>448</v>
      </c>
      <c r="C56">
        <v>357</v>
      </c>
      <c r="D56">
        <v>4.7399999999999998E-2</v>
      </c>
      <c r="E56">
        <v>7.1599999999999997E-2</v>
      </c>
      <c r="F56">
        <v>0.14949999999999999</v>
      </c>
      <c r="G56">
        <v>0.18099999999999999</v>
      </c>
      <c r="H56">
        <v>1.02</v>
      </c>
      <c r="I56">
        <v>1.01</v>
      </c>
      <c r="J56">
        <v>6.7599999999999993E-2</v>
      </c>
      <c r="K56">
        <v>0.28089999999999998</v>
      </c>
      <c r="L56">
        <v>3.5299999999999998E-2</v>
      </c>
      <c r="M56">
        <v>0.14929999999999999</v>
      </c>
      <c r="N56">
        <v>6.1400000000000003E-2</v>
      </c>
      <c r="O56">
        <v>2.37</v>
      </c>
      <c r="P56">
        <v>1.68</v>
      </c>
      <c r="Q56">
        <v>15.59</v>
      </c>
      <c r="R56">
        <v>22.64</v>
      </c>
      <c r="S56">
        <v>3.61</v>
      </c>
      <c r="T56">
        <v>40.270000000000003</v>
      </c>
      <c r="U56">
        <v>4.1599999999999998E-2</v>
      </c>
      <c r="V56">
        <v>3.4299999999999997E-2</v>
      </c>
      <c r="W56">
        <v>1.55E-2</v>
      </c>
      <c r="X56">
        <v>-6.3700000000000007E-2</v>
      </c>
      <c r="Y56">
        <v>0.11899999999999999</v>
      </c>
      <c r="Z56">
        <v>0.58730000000000004</v>
      </c>
      <c r="AA56">
        <v>0.58730000000000004</v>
      </c>
      <c r="AB56">
        <v>7.3999999999999996E-2</v>
      </c>
    </row>
    <row r="57" spans="1:28" ht="15.75" x14ac:dyDescent="0.25">
      <c r="A57" t="s">
        <v>449</v>
      </c>
      <c r="B57" t="s">
        <v>450</v>
      </c>
      <c r="C57">
        <v>641</v>
      </c>
      <c r="D57">
        <v>-9.4999999999999998E-3</v>
      </c>
      <c r="E57">
        <v>-5.7500000000000002E-2</v>
      </c>
      <c r="F57">
        <v>-3.0300000000000001E-2</v>
      </c>
      <c r="G57">
        <v>0.20949999999999999</v>
      </c>
      <c r="H57">
        <v>0.85</v>
      </c>
      <c r="I57">
        <v>1.0900000000000001</v>
      </c>
      <c r="J57">
        <v>7.2099999999999997E-2</v>
      </c>
      <c r="K57">
        <v>0.31459999999999999</v>
      </c>
      <c r="L57">
        <v>3.5299999999999998E-2</v>
      </c>
      <c r="M57">
        <v>0.3518</v>
      </c>
      <c r="N57">
        <v>5.5899999999999998E-2</v>
      </c>
      <c r="O57">
        <v>0.46</v>
      </c>
      <c r="P57">
        <v>5.26</v>
      </c>
      <c r="Q57">
        <v>30.7</v>
      </c>
      <c r="R57" t="s">
        <v>354</v>
      </c>
      <c r="S57">
        <v>2.92</v>
      </c>
      <c r="T57">
        <v>125.16</v>
      </c>
      <c r="U57">
        <v>6.4999999999999997E-3</v>
      </c>
      <c r="V57">
        <v>0.1381</v>
      </c>
      <c r="W57">
        <v>5.8000000000000003E-2</v>
      </c>
      <c r="X57" t="s">
        <v>354</v>
      </c>
      <c r="Y57">
        <v>-0.14749999999999999</v>
      </c>
      <c r="Z57">
        <v>1.38E-2</v>
      </c>
      <c r="AA57">
        <v>1.38E-2</v>
      </c>
      <c r="AB57">
        <v>-7.1499999999999994E-2</v>
      </c>
    </row>
    <row r="58" spans="1:28" ht="15.75" x14ac:dyDescent="0.25">
      <c r="A58" t="s">
        <v>451</v>
      </c>
      <c r="B58" t="s">
        <v>452</v>
      </c>
      <c r="C58">
        <v>244</v>
      </c>
      <c r="D58">
        <v>0.15570000000000001</v>
      </c>
      <c r="E58">
        <v>0.20180000000000001</v>
      </c>
      <c r="F58">
        <v>0.2109</v>
      </c>
      <c r="G58">
        <v>0.2072</v>
      </c>
      <c r="H58">
        <v>1.1399999999999999</v>
      </c>
      <c r="I58">
        <v>1.18</v>
      </c>
      <c r="J58">
        <v>7.7200000000000005E-2</v>
      </c>
      <c r="K58">
        <v>0.38540000000000002</v>
      </c>
      <c r="L58">
        <v>3.5299999999999998E-2</v>
      </c>
      <c r="M58">
        <v>8.7499999999999994E-2</v>
      </c>
      <c r="N58">
        <v>7.2700000000000001E-2</v>
      </c>
      <c r="O58">
        <v>1.2</v>
      </c>
      <c r="P58">
        <v>9.67</v>
      </c>
      <c r="Q58">
        <v>32.31</v>
      </c>
      <c r="R58">
        <v>46.25</v>
      </c>
      <c r="S58">
        <v>8.32</v>
      </c>
      <c r="T58">
        <v>62.48</v>
      </c>
      <c r="U58">
        <v>4.48E-2</v>
      </c>
      <c r="V58">
        <v>3.0700000000000002E-2</v>
      </c>
      <c r="W58">
        <v>3.5000000000000001E-3</v>
      </c>
      <c r="X58">
        <v>-3.5999999999999999E-3</v>
      </c>
      <c r="Y58">
        <v>0.13120000000000001</v>
      </c>
      <c r="Z58">
        <v>0.34560000000000002</v>
      </c>
      <c r="AA58">
        <v>0.34560000000000002</v>
      </c>
      <c r="AB58">
        <v>0.2026</v>
      </c>
    </row>
    <row r="59" spans="1:28" ht="15.75" x14ac:dyDescent="0.25">
      <c r="A59" t="s">
        <v>453</v>
      </c>
      <c r="B59" t="s">
        <v>454</v>
      </c>
      <c r="C59">
        <v>413</v>
      </c>
      <c r="D59">
        <v>0.12889999999999999</v>
      </c>
      <c r="E59">
        <v>5.0200000000000002E-2</v>
      </c>
      <c r="F59">
        <v>0.26550000000000001</v>
      </c>
      <c r="G59">
        <v>0.24079999999999999</v>
      </c>
      <c r="H59">
        <v>0.76</v>
      </c>
      <c r="I59">
        <v>0.87</v>
      </c>
      <c r="J59">
        <v>5.9400000000000001E-2</v>
      </c>
      <c r="K59">
        <v>0.33200000000000002</v>
      </c>
      <c r="L59">
        <v>3.5299999999999998E-2</v>
      </c>
      <c r="M59">
        <v>0.2477</v>
      </c>
      <c r="N59">
        <v>5.1200000000000002E-2</v>
      </c>
      <c r="O59">
        <v>6.24</v>
      </c>
      <c r="P59">
        <v>0.73</v>
      </c>
      <c r="Q59">
        <v>10.85</v>
      </c>
      <c r="R59">
        <v>14.31</v>
      </c>
      <c r="S59">
        <v>2.64</v>
      </c>
      <c r="T59">
        <v>86.38</v>
      </c>
      <c r="U59">
        <v>-1.6899999999999998E-2</v>
      </c>
      <c r="V59">
        <v>9.9000000000000008E-3</v>
      </c>
      <c r="W59">
        <v>8.3999999999999995E-3</v>
      </c>
      <c r="X59">
        <v>0.21959999999999999</v>
      </c>
      <c r="Y59">
        <v>0.14369999999999999</v>
      </c>
      <c r="Z59">
        <v>0.29270000000000002</v>
      </c>
      <c r="AA59">
        <v>0.29270000000000002</v>
      </c>
      <c r="AB59">
        <v>4.9200000000000001E-2</v>
      </c>
    </row>
    <row r="60" spans="1:28" ht="15.75" x14ac:dyDescent="0.25">
      <c r="A60" t="s">
        <v>455</v>
      </c>
      <c r="B60" t="s">
        <v>456</v>
      </c>
      <c r="C60">
        <v>216</v>
      </c>
      <c r="D60">
        <v>5.7700000000000001E-2</v>
      </c>
      <c r="E60">
        <v>9.2600000000000002E-2</v>
      </c>
      <c r="F60">
        <v>8.5400000000000004E-2</v>
      </c>
      <c r="G60">
        <v>0.2165</v>
      </c>
      <c r="H60">
        <v>0.66</v>
      </c>
      <c r="I60">
        <v>0.86</v>
      </c>
      <c r="J60">
        <v>5.8799999999999998E-2</v>
      </c>
      <c r="K60">
        <v>0.2717</v>
      </c>
      <c r="L60">
        <v>3.5299999999999998E-2</v>
      </c>
      <c r="M60">
        <v>0.34029999999999999</v>
      </c>
      <c r="N60">
        <v>4.7699999999999999E-2</v>
      </c>
      <c r="O60">
        <v>1.1599999999999999</v>
      </c>
      <c r="P60">
        <v>2.66</v>
      </c>
      <c r="Q60">
        <v>15.14</v>
      </c>
      <c r="R60">
        <v>27.53</v>
      </c>
      <c r="S60">
        <v>4.6100000000000003</v>
      </c>
      <c r="T60">
        <v>80.44</v>
      </c>
      <c r="U60">
        <v>3.9899999999999998E-2</v>
      </c>
      <c r="V60">
        <v>7.0800000000000002E-2</v>
      </c>
      <c r="W60">
        <v>2.41E-2</v>
      </c>
      <c r="X60">
        <v>0.1527</v>
      </c>
      <c r="Y60">
        <v>6.7100000000000007E-2</v>
      </c>
      <c r="Z60">
        <v>0.61270000000000002</v>
      </c>
      <c r="AA60">
        <v>0.61270000000000002</v>
      </c>
      <c r="AB60">
        <v>8.6699999999999999E-2</v>
      </c>
    </row>
    <row r="61" spans="1:28" ht="15.75" x14ac:dyDescent="0.25">
      <c r="A61" t="s">
        <v>457</v>
      </c>
      <c r="B61" t="s">
        <v>458</v>
      </c>
      <c r="C61">
        <v>765</v>
      </c>
      <c r="D61">
        <v>6.6699999999999995E-2</v>
      </c>
      <c r="E61">
        <v>-7.4999999999999997E-2</v>
      </c>
      <c r="F61">
        <v>-2.1899999999999999E-2</v>
      </c>
      <c r="G61">
        <v>0.4103</v>
      </c>
      <c r="H61">
        <v>0.93</v>
      </c>
      <c r="I61">
        <v>1.31</v>
      </c>
      <c r="J61">
        <v>8.4900000000000003E-2</v>
      </c>
      <c r="K61">
        <v>0.5071</v>
      </c>
      <c r="L61">
        <v>3.95E-2</v>
      </c>
      <c r="M61">
        <v>0.40389999999999998</v>
      </c>
      <c r="N61">
        <v>6.2399999999999997E-2</v>
      </c>
      <c r="O61">
        <v>0.32</v>
      </c>
      <c r="P61">
        <v>2.78</v>
      </c>
      <c r="Q61">
        <v>6.11</v>
      </c>
      <c r="R61" t="s">
        <v>354</v>
      </c>
      <c r="S61">
        <v>1.05</v>
      </c>
      <c r="T61">
        <v>52.89</v>
      </c>
      <c r="U61">
        <v>-5.0000000000000001E-4</v>
      </c>
      <c r="V61">
        <v>0.3226</v>
      </c>
      <c r="W61">
        <v>-0.13780000000000001</v>
      </c>
      <c r="X61" t="s">
        <v>354</v>
      </c>
      <c r="Y61">
        <v>-0.2104</v>
      </c>
      <c r="Z61">
        <v>8.3000000000000001E-3</v>
      </c>
      <c r="AA61">
        <v>8.3000000000000001E-3</v>
      </c>
      <c r="AB61">
        <v>-7.1199999999999999E-2</v>
      </c>
    </row>
    <row r="62" spans="1:28" ht="15.75" x14ac:dyDescent="0.25">
      <c r="A62" t="s">
        <v>459</v>
      </c>
      <c r="B62" t="s">
        <v>460</v>
      </c>
      <c r="C62">
        <v>204</v>
      </c>
      <c r="D62">
        <v>9.6799999999999997E-2</v>
      </c>
      <c r="E62">
        <v>0.16789999999999999</v>
      </c>
      <c r="F62">
        <v>8.0699999999999994E-2</v>
      </c>
      <c r="G62">
        <v>0.1094</v>
      </c>
      <c r="H62">
        <v>0.65</v>
      </c>
      <c r="I62">
        <v>1.1399999999999999</v>
      </c>
      <c r="J62">
        <v>7.4999999999999997E-2</v>
      </c>
      <c r="K62">
        <v>0.31309999999999999</v>
      </c>
      <c r="L62">
        <v>3.5299999999999998E-2</v>
      </c>
      <c r="M62">
        <v>0.52410000000000001</v>
      </c>
      <c r="N62">
        <v>4.9399999999999999E-2</v>
      </c>
      <c r="O62">
        <v>0.54</v>
      </c>
      <c r="P62">
        <v>2.38</v>
      </c>
      <c r="Q62">
        <v>9.2200000000000006</v>
      </c>
      <c r="R62">
        <v>14.14</v>
      </c>
      <c r="S62">
        <v>1.19</v>
      </c>
      <c r="T62">
        <v>26.72</v>
      </c>
      <c r="U62">
        <v>4.7500000000000001E-2</v>
      </c>
      <c r="V62">
        <v>0.13589999999999999</v>
      </c>
      <c r="W62">
        <v>5.7799999999999997E-2</v>
      </c>
      <c r="X62">
        <v>0.42130000000000001</v>
      </c>
      <c r="Y62">
        <v>5.2499999999999998E-2</v>
      </c>
      <c r="Z62">
        <v>2.0186999999999999</v>
      </c>
      <c r="AA62">
        <v>2.0186999999999999</v>
      </c>
      <c r="AB62">
        <v>0.1676</v>
      </c>
    </row>
    <row r="63" spans="1:28" ht="15.75" x14ac:dyDescent="0.25">
      <c r="A63" t="s">
        <v>461</v>
      </c>
      <c r="B63" t="s">
        <v>462</v>
      </c>
      <c r="C63">
        <v>513</v>
      </c>
      <c r="D63">
        <v>-2.2499999999999999E-2</v>
      </c>
      <c r="E63">
        <v>1.2699999999999999E-2</v>
      </c>
      <c r="F63">
        <v>2.12E-2</v>
      </c>
      <c r="G63">
        <v>0.14760000000000001</v>
      </c>
      <c r="H63">
        <v>0.91</v>
      </c>
      <c r="I63">
        <v>1.23</v>
      </c>
      <c r="J63">
        <v>0.08</v>
      </c>
      <c r="K63">
        <v>0.37619999999999998</v>
      </c>
      <c r="L63">
        <v>3.5299999999999998E-2</v>
      </c>
      <c r="M63">
        <v>0.3826</v>
      </c>
      <c r="N63">
        <v>5.9400000000000001E-2</v>
      </c>
      <c r="O63">
        <v>1.65</v>
      </c>
      <c r="P63">
        <v>0.85</v>
      </c>
      <c r="Q63">
        <v>12.81</v>
      </c>
      <c r="R63">
        <v>54.87</v>
      </c>
      <c r="S63">
        <v>1.41</v>
      </c>
      <c r="T63">
        <v>35.049999999999997</v>
      </c>
      <c r="U63">
        <v>6.9599999999999995E-2</v>
      </c>
      <c r="V63">
        <v>4.9500000000000002E-2</v>
      </c>
      <c r="W63">
        <v>1.8499999999999999E-2</v>
      </c>
      <c r="X63">
        <v>0.90280000000000005</v>
      </c>
      <c r="Y63">
        <v>-0.12479999999999999</v>
      </c>
      <c r="Z63">
        <v>5.3E-3</v>
      </c>
      <c r="AA63">
        <v>5.3E-3</v>
      </c>
      <c r="AB63">
        <v>1.38E-2</v>
      </c>
    </row>
    <row r="64" spans="1:28" ht="15.75" x14ac:dyDescent="0.25">
      <c r="A64" t="s">
        <v>463</v>
      </c>
      <c r="B64" t="s">
        <v>464</v>
      </c>
      <c r="C64">
        <v>220</v>
      </c>
      <c r="D64">
        <v>5.6300000000000003E-2</v>
      </c>
      <c r="E64">
        <v>8.4400000000000003E-2</v>
      </c>
      <c r="F64">
        <v>0.10299999999999999</v>
      </c>
      <c r="G64">
        <v>0.2303</v>
      </c>
      <c r="H64">
        <v>0.66</v>
      </c>
      <c r="I64">
        <v>0.75</v>
      </c>
      <c r="J64">
        <v>5.2699999999999997E-2</v>
      </c>
      <c r="K64">
        <v>0.23269999999999999</v>
      </c>
      <c r="L64">
        <v>2.87E-2</v>
      </c>
      <c r="M64">
        <v>0.32119999999999999</v>
      </c>
      <c r="N64">
        <v>4.2599999999999999E-2</v>
      </c>
      <c r="O64">
        <v>1.45</v>
      </c>
      <c r="P64">
        <v>1.04</v>
      </c>
      <c r="Q64">
        <v>9.33</v>
      </c>
      <c r="R64">
        <v>12.25</v>
      </c>
      <c r="S64">
        <v>1.23</v>
      </c>
      <c r="T64">
        <v>72.14</v>
      </c>
      <c r="U64">
        <v>-3.1399999999999997E-2</v>
      </c>
      <c r="V64">
        <v>7.0000000000000001E-3</v>
      </c>
      <c r="W64">
        <v>-3.7000000000000002E-3</v>
      </c>
      <c r="X64">
        <v>-0.15</v>
      </c>
      <c r="Y64">
        <v>7.1999999999999995E-2</v>
      </c>
      <c r="Z64">
        <v>0.4627</v>
      </c>
      <c r="AA64">
        <v>0.4627</v>
      </c>
      <c r="AB64">
        <v>8.4500000000000006E-2</v>
      </c>
    </row>
    <row r="65" spans="1:28" ht="15.75" x14ac:dyDescent="0.25">
      <c r="A65" t="s">
        <v>465</v>
      </c>
      <c r="B65" t="s">
        <v>466</v>
      </c>
      <c r="C65">
        <v>229</v>
      </c>
      <c r="D65">
        <v>4.3099999999999999E-2</v>
      </c>
      <c r="E65">
        <v>8.3400000000000002E-2</v>
      </c>
      <c r="F65">
        <v>9.4500000000000001E-2</v>
      </c>
      <c r="G65">
        <v>0.19800000000000001</v>
      </c>
      <c r="H65">
        <v>0.65</v>
      </c>
      <c r="I65">
        <v>0.72</v>
      </c>
      <c r="J65">
        <v>5.0900000000000001E-2</v>
      </c>
      <c r="K65">
        <v>0.24510000000000001</v>
      </c>
      <c r="L65">
        <v>2.87E-2</v>
      </c>
      <c r="M65">
        <v>0.24160000000000001</v>
      </c>
      <c r="N65">
        <v>4.3799999999999999E-2</v>
      </c>
      <c r="O65">
        <v>1.33</v>
      </c>
      <c r="P65">
        <v>1.04</v>
      </c>
      <c r="Q65">
        <v>9.57</v>
      </c>
      <c r="R65">
        <v>11.6</v>
      </c>
      <c r="S65">
        <v>1.22</v>
      </c>
      <c r="T65">
        <v>26.18</v>
      </c>
      <c r="U65">
        <v>-0.39679999999999999</v>
      </c>
      <c r="V65">
        <v>8.6E-3</v>
      </c>
      <c r="W65">
        <v>5.9999999999999995E-4</v>
      </c>
      <c r="X65">
        <v>0.13850000000000001</v>
      </c>
      <c r="Y65">
        <v>7.3999999999999996E-2</v>
      </c>
      <c r="Z65">
        <v>0.4602</v>
      </c>
      <c r="AA65">
        <v>0.4602</v>
      </c>
      <c r="AB65">
        <v>8.3400000000000002E-2</v>
      </c>
    </row>
    <row r="66" spans="1:28" ht="15.75" x14ac:dyDescent="0.25">
      <c r="A66" t="s">
        <v>467</v>
      </c>
      <c r="B66" t="s">
        <v>468</v>
      </c>
      <c r="C66">
        <v>37</v>
      </c>
      <c r="D66">
        <v>4.2900000000000001E-2</v>
      </c>
      <c r="E66">
        <v>3.7999999999999999E-2</v>
      </c>
      <c r="F66">
        <v>5.1799999999999999E-2</v>
      </c>
      <c r="G66">
        <v>0.1376</v>
      </c>
      <c r="H66">
        <v>1.25</v>
      </c>
      <c r="I66">
        <v>1.27</v>
      </c>
      <c r="J66">
        <v>8.2400000000000001E-2</v>
      </c>
      <c r="K66">
        <v>0.28789999999999999</v>
      </c>
      <c r="L66">
        <v>3.5299999999999998E-2</v>
      </c>
      <c r="M66">
        <v>0.23719999999999999</v>
      </c>
      <c r="N66">
        <v>6.9099999999999995E-2</v>
      </c>
      <c r="O66">
        <v>1.53</v>
      </c>
      <c r="P66">
        <v>0.67</v>
      </c>
      <c r="Q66">
        <v>11.42</v>
      </c>
      <c r="R66">
        <v>13.95</v>
      </c>
      <c r="S66">
        <v>0.91</v>
      </c>
      <c r="T66">
        <v>188.44</v>
      </c>
      <c r="U66">
        <v>-0.4118</v>
      </c>
      <c r="V66">
        <v>1.6000000000000001E-3</v>
      </c>
      <c r="W66">
        <v>-1E-4</v>
      </c>
      <c r="X66">
        <v>0.25390000000000001</v>
      </c>
      <c r="Y66">
        <v>3.3399999999999999E-2</v>
      </c>
      <c r="Z66">
        <v>0.93489999999999995</v>
      </c>
      <c r="AA66">
        <v>0.93489999999999995</v>
      </c>
      <c r="AB66">
        <v>3.78E-2</v>
      </c>
    </row>
    <row r="67" spans="1:28" ht="15.75" x14ac:dyDescent="0.25">
      <c r="A67" t="s">
        <v>469</v>
      </c>
      <c r="B67" t="s">
        <v>470</v>
      </c>
      <c r="C67">
        <v>155</v>
      </c>
      <c r="D67">
        <v>0.23830000000000001</v>
      </c>
      <c r="E67">
        <v>3.6400000000000002E-2</v>
      </c>
      <c r="F67">
        <v>5.5100000000000003E-2</v>
      </c>
      <c r="G67">
        <v>0.1249</v>
      </c>
      <c r="H67">
        <v>0.93</v>
      </c>
      <c r="I67">
        <v>0.95</v>
      </c>
      <c r="J67">
        <v>6.3799999999999996E-2</v>
      </c>
      <c r="K67">
        <v>0.34770000000000001</v>
      </c>
      <c r="L67">
        <v>3.5299999999999998E-2</v>
      </c>
      <c r="M67">
        <v>7.0900000000000005E-2</v>
      </c>
      <c r="N67">
        <v>6.1100000000000002E-2</v>
      </c>
      <c r="O67">
        <v>1.26</v>
      </c>
      <c r="P67">
        <v>11.15</v>
      </c>
      <c r="Q67">
        <v>44.21</v>
      </c>
      <c r="R67">
        <v>185.25</v>
      </c>
      <c r="S67">
        <v>12.49</v>
      </c>
      <c r="T67">
        <v>118.92</v>
      </c>
      <c r="U67">
        <v>1.9800000000000002E-2</v>
      </c>
      <c r="V67">
        <v>0.1043</v>
      </c>
      <c r="W67">
        <v>9.5299999999999996E-2</v>
      </c>
      <c r="X67">
        <v>4.1473000000000004</v>
      </c>
      <c r="Y67">
        <v>-5.6399999999999999E-2</v>
      </c>
      <c r="Z67">
        <v>3.2000000000000002E-3</v>
      </c>
      <c r="AA67">
        <v>3.2000000000000002E-3</v>
      </c>
      <c r="AB67">
        <v>4.7199999999999999E-2</v>
      </c>
    </row>
    <row r="68" spans="1:28" ht="15.75" x14ac:dyDescent="0.25">
      <c r="A68" t="s">
        <v>471</v>
      </c>
      <c r="B68" t="s">
        <v>472</v>
      </c>
      <c r="C68">
        <v>356</v>
      </c>
      <c r="D68">
        <v>0.1338</v>
      </c>
      <c r="E68">
        <v>4.7500000000000001E-2</v>
      </c>
      <c r="F68">
        <v>8.6699999999999999E-2</v>
      </c>
      <c r="G68">
        <v>0.14080000000000001</v>
      </c>
      <c r="H68">
        <v>1.31</v>
      </c>
      <c r="I68">
        <v>1.31</v>
      </c>
      <c r="J68">
        <v>8.48E-2</v>
      </c>
      <c r="K68">
        <v>0.39839999999999998</v>
      </c>
      <c r="L68">
        <v>3.5299999999999998E-2</v>
      </c>
      <c r="M68">
        <v>5.74E-2</v>
      </c>
      <c r="N68">
        <v>8.1500000000000003E-2</v>
      </c>
      <c r="O68">
        <v>1.76</v>
      </c>
      <c r="P68">
        <v>5.0599999999999996</v>
      </c>
      <c r="Q68">
        <v>36.229999999999997</v>
      </c>
      <c r="R68">
        <v>91.77</v>
      </c>
      <c r="S68">
        <v>8.84</v>
      </c>
      <c r="T68">
        <v>110.83</v>
      </c>
      <c r="U68">
        <v>-2.9700000000000001E-2</v>
      </c>
      <c r="V68">
        <v>6.3600000000000004E-2</v>
      </c>
      <c r="W68">
        <v>3.9899999999999998E-2</v>
      </c>
      <c r="X68">
        <v>0.98199999999999998</v>
      </c>
      <c r="Y68">
        <v>0.1489</v>
      </c>
      <c r="Z68">
        <v>5.0299999999999997E-2</v>
      </c>
      <c r="AA68">
        <v>5.0299999999999997E-2</v>
      </c>
      <c r="AB68">
        <v>5.3800000000000001E-2</v>
      </c>
    </row>
    <row r="69" spans="1:28" ht="15.75" x14ac:dyDescent="0.25">
      <c r="A69" t="s">
        <v>473</v>
      </c>
      <c r="B69" t="s">
        <v>474</v>
      </c>
      <c r="C69">
        <v>575</v>
      </c>
      <c r="D69">
        <v>8.3599999999999994E-2</v>
      </c>
      <c r="E69">
        <v>1.03E-2</v>
      </c>
      <c r="F69">
        <v>1.5E-3</v>
      </c>
      <c r="G69">
        <v>0.2223</v>
      </c>
      <c r="H69">
        <v>0.42</v>
      </c>
      <c r="I69">
        <v>0.86</v>
      </c>
      <c r="J69">
        <v>5.8700000000000002E-2</v>
      </c>
      <c r="K69">
        <v>0.2964</v>
      </c>
      <c r="L69">
        <v>3.5299999999999998E-2</v>
      </c>
      <c r="M69">
        <v>0.66169999999999995</v>
      </c>
      <c r="N69">
        <v>3.7100000000000001E-2</v>
      </c>
      <c r="O69">
        <v>0.19</v>
      </c>
      <c r="P69">
        <v>6.62</v>
      </c>
      <c r="Q69" t="s">
        <v>354</v>
      </c>
      <c r="R69" t="s">
        <v>354</v>
      </c>
      <c r="S69">
        <v>1.6</v>
      </c>
      <c r="T69">
        <v>44.2</v>
      </c>
      <c r="U69">
        <v>-2.0402</v>
      </c>
      <c r="V69">
        <v>3.7199999999999997E-2</v>
      </c>
      <c r="W69">
        <v>1.7399999999999999E-2</v>
      </c>
      <c r="X69">
        <v>-10.2263</v>
      </c>
      <c r="Y69">
        <v>0.10249999999999999</v>
      </c>
      <c r="Z69">
        <v>0.51590000000000003</v>
      </c>
      <c r="AA69">
        <v>0.51590000000000003</v>
      </c>
      <c r="AB69">
        <v>8.8999999999999999E-3</v>
      </c>
    </row>
    <row r="70" spans="1:28" ht="15.75" x14ac:dyDescent="0.25">
      <c r="A70" t="s">
        <v>475</v>
      </c>
      <c r="B70" t="s">
        <v>476</v>
      </c>
      <c r="C70">
        <v>331</v>
      </c>
      <c r="D70">
        <v>4.3E-3</v>
      </c>
      <c r="E70">
        <v>8.0500000000000002E-2</v>
      </c>
      <c r="F70">
        <v>6.6699999999999995E-2</v>
      </c>
      <c r="G70">
        <v>0.24970000000000001</v>
      </c>
      <c r="H70">
        <v>0.93</v>
      </c>
      <c r="I70">
        <v>1.01</v>
      </c>
      <c r="J70">
        <v>6.7599999999999993E-2</v>
      </c>
      <c r="K70">
        <v>0.33210000000000001</v>
      </c>
      <c r="L70">
        <v>3.5299999999999998E-2</v>
      </c>
      <c r="M70">
        <v>0.20030000000000001</v>
      </c>
      <c r="N70">
        <v>5.9299999999999999E-2</v>
      </c>
      <c r="O70">
        <v>0.95</v>
      </c>
      <c r="P70">
        <v>3.37</v>
      </c>
      <c r="Q70">
        <v>20.53</v>
      </c>
      <c r="R70">
        <v>39.26</v>
      </c>
      <c r="S70">
        <v>3.7</v>
      </c>
      <c r="T70">
        <v>71.569999999999993</v>
      </c>
      <c r="U70">
        <v>0.34599999999999997</v>
      </c>
      <c r="V70">
        <v>6.9099999999999995E-2</v>
      </c>
      <c r="W70">
        <v>6.93E-2</v>
      </c>
      <c r="X70">
        <v>1.4474</v>
      </c>
      <c r="Y70">
        <v>2.7900000000000001E-2</v>
      </c>
      <c r="Z70">
        <v>1.9259999999999999</v>
      </c>
      <c r="AA70">
        <v>1.9259999999999999</v>
      </c>
      <c r="AB70">
        <v>7.9799999999999996E-2</v>
      </c>
    </row>
    <row r="71" spans="1:28" ht="15.75" x14ac:dyDescent="0.25">
      <c r="A71" t="s">
        <v>477</v>
      </c>
      <c r="B71" t="s">
        <v>478</v>
      </c>
      <c r="C71">
        <v>287</v>
      </c>
      <c r="D71">
        <v>3.2500000000000001E-2</v>
      </c>
      <c r="E71">
        <v>7.0300000000000001E-2</v>
      </c>
      <c r="F71">
        <v>5.3800000000000001E-2</v>
      </c>
      <c r="G71">
        <v>0.22559999999999999</v>
      </c>
      <c r="H71">
        <v>0.78</v>
      </c>
      <c r="I71">
        <v>1.01</v>
      </c>
      <c r="J71">
        <v>6.7599999999999993E-2</v>
      </c>
      <c r="K71">
        <v>0.2944</v>
      </c>
      <c r="L71">
        <v>3.5299999999999998E-2</v>
      </c>
      <c r="M71">
        <v>0.35149999999999998</v>
      </c>
      <c r="N71">
        <v>5.2999999999999999E-2</v>
      </c>
      <c r="O71">
        <v>0.87</v>
      </c>
      <c r="P71">
        <v>1.57</v>
      </c>
      <c r="Q71">
        <v>10.99</v>
      </c>
      <c r="R71">
        <v>21.68</v>
      </c>
      <c r="S71">
        <v>1.47</v>
      </c>
      <c r="T71">
        <v>159.36000000000001</v>
      </c>
      <c r="U71">
        <v>0.18690000000000001</v>
      </c>
      <c r="V71">
        <v>7.3599999999999999E-2</v>
      </c>
      <c r="W71">
        <v>2.6599999999999999E-2</v>
      </c>
      <c r="X71">
        <v>0.1701</v>
      </c>
      <c r="Y71">
        <v>4.9599999999999998E-2</v>
      </c>
      <c r="Z71">
        <v>0.59660000000000002</v>
      </c>
      <c r="AA71">
        <v>0.59660000000000002</v>
      </c>
      <c r="AB71">
        <v>7.0699999999999999E-2</v>
      </c>
    </row>
    <row r="72" spans="1:28" ht="15.75" x14ac:dyDescent="0.25">
      <c r="A72" t="s">
        <v>479</v>
      </c>
      <c r="B72" t="s">
        <v>480</v>
      </c>
      <c r="C72">
        <v>49</v>
      </c>
      <c r="D72">
        <v>7.4000000000000003E-3</v>
      </c>
      <c r="E72">
        <v>6.25E-2</v>
      </c>
      <c r="F72">
        <v>4.5900000000000003E-2</v>
      </c>
      <c r="G72">
        <v>0.45140000000000002</v>
      </c>
      <c r="H72">
        <v>1.08</v>
      </c>
      <c r="I72">
        <v>1.27</v>
      </c>
      <c r="J72">
        <v>8.2500000000000004E-2</v>
      </c>
      <c r="K72">
        <v>0.247</v>
      </c>
      <c r="L72">
        <v>2.87E-2</v>
      </c>
      <c r="M72">
        <v>0.25969999999999999</v>
      </c>
      <c r="N72">
        <v>6.6600000000000006E-2</v>
      </c>
      <c r="O72">
        <v>0.85</v>
      </c>
      <c r="P72">
        <v>1.66</v>
      </c>
      <c r="Q72">
        <v>9.65</v>
      </c>
      <c r="R72">
        <v>26.38</v>
      </c>
      <c r="S72">
        <v>1.59</v>
      </c>
      <c r="T72">
        <v>45.52</v>
      </c>
      <c r="U72">
        <v>1.8800000000000001E-2</v>
      </c>
      <c r="V72">
        <v>0.1118</v>
      </c>
      <c r="W72">
        <v>3.3999999999999998E-3</v>
      </c>
      <c r="X72">
        <v>-0.17519999999999999</v>
      </c>
      <c r="Y72">
        <v>-1.43E-2</v>
      </c>
      <c r="Z72">
        <v>1.4500000000000001E-2</v>
      </c>
      <c r="AA72">
        <v>1.4500000000000001E-2</v>
      </c>
      <c r="AB72">
        <v>6.3E-2</v>
      </c>
    </row>
    <row r="73" spans="1:28" ht="15.75" x14ac:dyDescent="0.25">
      <c r="A73" t="s">
        <v>481</v>
      </c>
      <c r="B73" t="s">
        <v>482</v>
      </c>
      <c r="C73">
        <v>353</v>
      </c>
      <c r="D73">
        <v>1.5900000000000001E-2</v>
      </c>
      <c r="E73">
        <v>8.1799999999999998E-2</v>
      </c>
      <c r="F73">
        <v>4.9700000000000001E-2</v>
      </c>
      <c r="G73">
        <v>0.191</v>
      </c>
      <c r="H73">
        <v>0.76</v>
      </c>
      <c r="I73">
        <v>1.03</v>
      </c>
      <c r="J73">
        <v>6.8599999999999994E-2</v>
      </c>
      <c r="K73">
        <v>0.26290000000000002</v>
      </c>
      <c r="L73">
        <v>3.5299999999999998E-2</v>
      </c>
      <c r="M73">
        <v>0.40189999999999998</v>
      </c>
      <c r="N73">
        <v>5.1499999999999997E-2</v>
      </c>
      <c r="O73">
        <v>0.68</v>
      </c>
      <c r="P73">
        <v>1.93</v>
      </c>
      <c r="Q73">
        <v>11.54</v>
      </c>
      <c r="R73">
        <v>22.6</v>
      </c>
      <c r="S73">
        <v>1.24</v>
      </c>
      <c r="T73">
        <v>915.77</v>
      </c>
      <c r="U73">
        <v>-6.9999999999999999E-4</v>
      </c>
      <c r="V73">
        <v>9.4500000000000001E-2</v>
      </c>
      <c r="W73">
        <v>3.2199999999999999E-2</v>
      </c>
      <c r="X73">
        <v>0.42720000000000002</v>
      </c>
      <c r="Y73">
        <v>5.6800000000000003E-2</v>
      </c>
      <c r="Z73">
        <v>0.6179</v>
      </c>
      <c r="AA73">
        <v>0.6179</v>
      </c>
      <c r="AB73">
        <v>8.3500000000000005E-2</v>
      </c>
    </row>
    <row r="74" spans="1:28" ht="15.75" x14ac:dyDescent="0.25">
      <c r="A74" t="s">
        <v>483</v>
      </c>
      <c r="B74" t="s">
        <v>484</v>
      </c>
      <c r="C74">
        <v>104</v>
      </c>
      <c r="D74">
        <v>1.1299999999999999E-2</v>
      </c>
      <c r="E74">
        <v>0.14169999999999999</v>
      </c>
      <c r="F74">
        <v>8.5800000000000001E-2</v>
      </c>
      <c r="G74">
        <v>0.32419999999999999</v>
      </c>
      <c r="H74">
        <v>0.63</v>
      </c>
      <c r="I74">
        <v>0.87</v>
      </c>
      <c r="J74">
        <v>5.9499999999999997E-2</v>
      </c>
      <c r="K74">
        <v>0.26769999999999999</v>
      </c>
      <c r="L74">
        <v>3.5299999999999998E-2</v>
      </c>
      <c r="M74">
        <v>0.40089999999999998</v>
      </c>
      <c r="N74">
        <v>4.6100000000000002E-2</v>
      </c>
      <c r="O74">
        <v>0.74</v>
      </c>
      <c r="P74">
        <v>2.29</v>
      </c>
      <c r="Q74">
        <v>6.95</v>
      </c>
      <c r="R74">
        <v>16.010000000000002</v>
      </c>
      <c r="S74">
        <v>1.55</v>
      </c>
      <c r="T74">
        <v>46.65</v>
      </c>
      <c r="U74">
        <v>-6.5500000000000003E-2</v>
      </c>
      <c r="V74">
        <v>0.1157</v>
      </c>
      <c r="W74">
        <v>-4.3799999999999999E-2</v>
      </c>
      <c r="X74">
        <v>-0.2291</v>
      </c>
      <c r="Y74">
        <v>8.1900000000000001E-2</v>
      </c>
      <c r="Z74">
        <v>0.77549999999999997</v>
      </c>
      <c r="AA74">
        <v>0.77549999999999997</v>
      </c>
      <c r="AB74">
        <v>0.14069999999999999</v>
      </c>
    </row>
    <row r="75" spans="1:28" ht="15.75" x14ac:dyDescent="0.25">
      <c r="A75" t="s">
        <v>485</v>
      </c>
      <c r="B75" t="s">
        <v>486</v>
      </c>
      <c r="C75">
        <v>148</v>
      </c>
      <c r="D75">
        <v>3.1699999999999999E-2</v>
      </c>
      <c r="E75">
        <v>6.6799999999999998E-2</v>
      </c>
      <c r="F75">
        <v>0.1069</v>
      </c>
      <c r="G75">
        <v>0.26229999999999998</v>
      </c>
      <c r="H75">
        <v>1.01</v>
      </c>
      <c r="I75">
        <v>1.04</v>
      </c>
      <c r="J75">
        <v>6.9199999999999998E-2</v>
      </c>
      <c r="K75">
        <v>0.29310000000000003</v>
      </c>
      <c r="L75">
        <v>3.5299999999999998E-2</v>
      </c>
      <c r="M75">
        <v>0.20169999999999999</v>
      </c>
      <c r="N75">
        <v>6.0499999999999998E-2</v>
      </c>
      <c r="O75">
        <v>1.91</v>
      </c>
      <c r="P75">
        <v>1.1599999999999999</v>
      </c>
      <c r="Q75">
        <v>10.52</v>
      </c>
      <c r="R75">
        <v>16.809999999999999</v>
      </c>
      <c r="S75">
        <v>2.14</v>
      </c>
      <c r="T75">
        <v>35.76</v>
      </c>
      <c r="U75">
        <v>0.12520000000000001</v>
      </c>
      <c r="V75">
        <v>2.3099999999999999E-2</v>
      </c>
      <c r="W75">
        <v>3.5999999999999999E-3</v>
      </c>
      <c r="X75">
        <v>1.6500000000000001E-2</v>
      </c>
      <c r="Y75">
        <v>6.8699999999999997E-2</v>
      </c>
      <c r="Z75">
        <v>0.58260000000000001</v>
      </c>
      <c r="AA75">
        <v>0.58260000000000001</v>
      </c>
      <c r="AB75">
        <v>6.6600000000000006E-2</v>
      </c>
    </row>
    <row r="76" spans="1:28" ht="15.75" x14ac:dyDescent="0.25">
      <c r="A76" t="s">
        <v>487</v>
      </c>
      <c r="B76" t="s">
        <v>488</v>
      </c>
      <c r="C76">
        <v>412</v>
      </c>
      <c r="D76">
        <v>2.81E-2</v>
      </c>
      <c r="E76">
        <v>8.7999999999999995E-2</v>
      </c>
      <c r="F76">
        <v>0.1018</v>
      </c>
      <c r="G76">
        <v>0.23860000000000001</v>
      </c>
      <c r="H76">
        <v>0.71</v>
      </c>
      <c r="I76">
        <v>0.88</v>
      </c>
      <c r="J76">
        <v>6.0199999999999997E-2</v>
      </c>
      <c r="K76">
        <v>0.2868</v>
      </c>
      <c r="L76">
        <v>3.5299999999999998E-2</v>
      </c>
      <c r="M76">
        <v>0.30399999999999999</v>
      </c>
      <c r="N76">
        <v>4.9799999999999997E-2</v>
      </c>
      <c r="O76">
        <v>1.35</v>
      </c>
      <c r="P76">
        <v>1.66</v>
      </c>
      <c r="Q76">
        <v>10.83</v>
      </c>
      <c r="R76">
        <v>18.63</v>
      </c>
      <c r="S76">
        <v>2.72</v>
      </c>
      <c r="T76">
        <v>35.869999999999997</v>
      </c>
      <c r="U76">
        <v>0.1143</v>
      </c>
      <c r="V76">
        <v>6.0400000000000002E-2</v>
      </c>
      <c r="W76">
        <v>2.4E-2</v>
      </c>
      <c r="X76">
        <v>0.28170000000000001</v>
      </c>
      <c r="Y76">
        <v>0.10059999999999999</v>
      </c>
      <c r="Z76">
        <v>0.53280000000000005</v>
      </c>
      <c r="AA76">
        <v>0.53280000000000005</v>
      </c>
      <c r="AB76">
        <v>8.9300000000000004E-2</v>
      </c>
    </row>
    <row r="77" spans="1:28" ht="15.75" x14ac:dyDescent="0.25">
      <c r="A77" t="s">
        <v>489</v>
      </c>
      <c r="B77" t="s">
        <v>490</v>
      </c>
      <c r="C77">
        <v>344</v>
      </c>
      <c r="D77">
        <v>9.8500000000000004E-2</v>
      </c>
      <c r="E77">
        <v>0.1033</v>
      </c>
      <c r="F77">
        <v>0.1162</v>
      </c>
      <c r="G77">
        <v>0.21079999999999999</v>
      </c>
      <c r="H77">
        <v>0.87</v>
      </c>
      <c r="I77">
        <v>1.01</v>
      </c>
      <c r="J77">
        <v>6.7699999999999996E-2</v>
      </c>
      <c r="K77">
        <v>0.35249999999999998</v>
      </c>
      <c r="L77">
        <v>3.5299999999999998E-2</v>
      </c>
      <c r="M77">
        <v>0.24779999999999999</v>
      </c>
      <c r="N77">
        <v>5.74E-2</v>
      </c>
      <c r="O77">
        <v>1.26</v>
      </c>
      <c r="P77">
        <v>2.8</v>
      </c>
      <c r="Q77">
        <v>14.66</v>
      </c>
      <c r="R77">
        <v>26.16</v>
      </c>
      <c r="S77">
        <v>3.14</v>
      </c>
      <c r="T77">
        <v>86.82</v>
      </c>
      <c r="U77">
        <v>0.1138</v>
      </c>
      <c r="V77">
        <v>9.8699999999999996E-2</v>
      </c>
      <c r="W77">
        <v>6.59E-2</v>
      </c>
      <c r="X77">
        <v>1.0994999999999999</v>
      </c>
      <c r="Y77">
        <v>5.7799999999999997E-2</v>
      </c>
      <c r="Z77">
        <v>0.93630000000000002</v>
      </c>
      <c r="AA77">
        <v>0.93630000000000002</v>
      </c>
      <c r="AB77">
        <v>0.1045</v>
      </c>
    </row>
    <row r="78" spans="1:28" ht="15.75" x14ac:dyDescent="0.25">
      <c r="A78" t="s">
        <v>491</v>
      </c>
      <c r="B78" t="s">
        <v>492</v>
      </c>
      <c r="C78">
        <v>720</v>
      </c>
      <c r="D78">
        <v>8.0399999999999999E-2</v>
      </c>
      <c r="E78">
        <v>0.23219999999999999</v>
      </c>
      <c r="F78">
        <v>4.5999999999999999E-2</v>
      </c>
      <c r="G78">
        <v>0.23849999999999999</v>
      </c>
      <c r="H78">
        <v>0.53</v>
      </c>
      <c r="I78">
        <v>0.81</v>
      </c>
      <c r="J78">
        <v>5.6099999999999997E-2</v>
      </c>
      <c r="K78">
        <v>0.25030000000000002</v>
      </c>
      <c r="L78">
        <v>3.5299999999999998E-2</v>
      </c>
      <c r="M78">
        <v>0.4506</v>
      </c>
      <c r="N78">
        <v>4.2599999999999999E-2</v>
      </c>
      <c r="O78">
        <v>0.22</v>
      </c>
      <c r="P78">
        <v>6.46</v>
      </c>
      <c r="Q78">
        <v>20.78</v>
      </c>
      <c r="R78">
        <v>24.13</v>
      </c>
      <c r="S78">
        <v>1.08</v>
      </c>
      <c r="T78">
        <v>58.53</v>
      </c>
      <c r="U78">
        <v>0.21540000000000001</v>
      </c>
      <c r="V78">
        <v>3.2500000000000001E-2</v>
      </c>
      <c r="W78">
        <v>5.8400000000000001E-2</v>
      </c>
      <c r="X78">
        <v>0.36320000000000002</v>
      </c>
      <c r="Y78">
        <v>5.0799999999999998E-2</v>
      </c>
      <c r="Z78">
        <v>0.4889</v>
      </c>
      <c r="AA78">
        <v>0.4889</v>
      </c>
      <c r="AB78">
        <v>0.2407</v>
      </c>
    </row>
    <row r="79" spans="1:28" ht="15.75" x14ac:dyDescent="0.25">
      <c r="A79" t="s">
        <v>493</v>
      </c>
      <c r="B79" t="s">
        <v>494</v>
      </c>
      <c r="C79">
        <v>349</v>
      </c>
      <c r="D79">
        <v>-2.8999999999999998E-3</v>
      </c>
      <c r="E79">
        <v>5.3100000000000001E-2</v>
      </c>
      <c r="F79">
        <v>6.7400000000000002E-2</v>
      </c>
      <c r="G79">
        <v>0.17119999999999999</v>
      </c>
      <c r="H79">
        <v>0.84</v>
      </c>
      <c r="I79">
        <v>0.89</v>
      </c>
      <c r="J79">
        <v>6.0699999999999997E-2</v>
      </c>
      <c r="K79">
        <v>0.2913</v>
      </c>
      <c r="L79">
        <v>3.5299999999999998E-2</v>
      </c>
      <c r="M79">
        <v>0.26369999999999999</v>
      </c>
      <c r="N79">
        <v>5.16E-2</v>
      </c>
      <c r="O79">
        <v>1.45</v>
      </c>
      <c r="P79">
        <v>1.2</v>
      </c>
      <c r="Q79">
        <v>11.16</v>
      </c>
      <c r="R79">
        <v>21.71</v>
      </c>
      <c r="S79">
        <v>1.43</v>
      </c>
      <c r="T79">
        <v>42.54</v>
      </c>
      <c r="U79">
        <v>0.13100000000000001</v>
      </c>
      <c r="V79">
        <v>3.2000000000000001E-2</v>
      </c>
      <c r="W79">
        <v>1.46E-2</v>
      </c>
      <c r="X79">
        <v>0.40749999999999997</v>
      </c>
      <c r="Y79">
        <v>-7.6E-3</v>
      </c>
      <c r="Z79">
        <v>5.4000000000000003E-3</v>
      </c>
      <c r="AA79">
        <v>5.4000000000000003E-3</v>
      </c>
      <c r="AB79">
        <v>5.2900000000000003E-2</v>
      </c>
    </row>
    <row r="80" spans="1:28" ht="15.75" x14ac:dyDescent="0.25">
      <c r="A80" t="s">
        <v>495</v>
      </c>
      <c r="B80" t="s">
        <v>496</v>
      </c>
      <c r="C80">
        <v>53</v>
      </c>
      <c r="D80">
        <v>1.7600000000000001E-2</v>
      </c>
      <c r="E80">
        <v>0.1527</v>
      </c>
      <c r="F80">
        <v>5.2400000000000002E-2</v>
      </c>
      <c r="G80">
        <v>0.2392</v>
      </c>
      <c r="H80">
        <v>0.62</v>
      </c>
      <c r="I80">
        <v>0.78</v>
      </c>
      <c r="J80">
        <v>5.4300000000000001E-2</v>
      </c>
      <c r="K80">
        <v>0.17280000000000001</v>
      </c>
      <c r="L80">
        <v>2.87E-2</v>
      </c>
      <c r="M80">
        <v>0.29210000000000003</v>
      </c>
      <c r="N80">
        <v>4.4600000000000001E-2</v>
      </c>
      <c r="O80">
        <v>0.4</v>
      </c>
      <c r="P80">
        <v>4.83</v>
      </c>
      <c r="Q80">
        <v>17.09</v>
      </c>
      <c r="R80">
        <v>31.01</v>
      </c>
      <c r="S80">
        <v>2.48</v>
      </c>
      <c r="T80">
        <v>56.83</v>
      </c>
      <c r="U80">
        <v>7.9899999999999999E-2</v>
      </c>
      <c r="V80">
        <v>0.19500000000000001</v>
      </c>
      <c r="W80">
        <v>0.12720000000000001</v>
      </c>
      <c r="X80">
        <v>1.1209</v>
      </c>
      <c r="Y80">
        <v>5.6599999999999998E-2</v>
      </c>
      <c r="Z80">
        <v>0.78080000000000005</v>
      </c>
      <c r="AA80">
        <v>0.78080000000000005</v>
      </c>
      <c r="AB80">
        <v>0.15620000000000001</v>
      </c>
    </row>
    <row r="81" spans="1:28" ht="15.75" x14ac:dyDescent="0.25">
      <c r="A81" t="s">
        <v>497</v>
      </c>
      <c r="B81" t="s">
        <v>498</v>
      </c>
      <c r="C81">
        <v>364</v>
      </c>
      <c r="D81">
        <v>5.4100000000000002E-2</v>
      </c>
      <c r="E81">
        <v>0.16289999999999999</v>
      </c>
      <c r="F81">
        <v>3.8899999999999997E-2</v>
      </c>
      <c r="G81">
        <v>0.31950000000000001</v>
      </c>
      <c r="H81">
        <v>0.6</v>
      </c>
      <c r="I81">
        <v>0.99</v>
      </c>
      <c r="J81">
        <v>6.6400000000000001E-2</v>
      </c>
      <c r="K81">
        <v>0.24399999999999999</v>
      </c>
      <c r="L81">
        <v>2.87E-2</v>
      </c>
      <c r="M81">
        <v>0.53090000000000004</v>
      </c>
      <c r="N81">
        <v>4.24E-2</v>
      </c>
      <c r="O81">
        <v>0.28000000000000003</v>
      </c>
      <c r="P81">
        <v>3.35</v>
      </c>
      <c r="Q81">
        <v>13.56</v>
      </c>
      <c r="R81">
        <v>19.5</v>
      </c>
      <c r="S81">
        <v>0.73</v>
      </c>
      <c r="T81">
        <v>99.04</v>
      </c>
      <c r="U81">
        <v>0.98919999999999997</v>
      </c>
      <c r="V81">
        <v>0.1007</v>
      </c>
      <c r="W81">
        <v>8.8700000000000001E-2</v>
      </c>
      <c r="X81">
        <v>1.3656999999999999</v>
      </c>
      <c r="Y81">
        <v>3.9E-2</v>
      </c>
      <c r="Z81">
        <v>0.83989999999999998</v>
      </c>
      <c r="AA81">
        <v>0.83989999999999998</v>
      </c>
      <c r="AB81">
        <v>0.16139999999999999</v>
      </c>
    </row>
    <row r="82" spans="1:28" ht="15.75" x14ac:dyDescent="0.25">
      <c r="A82" t="s">
        <v>499</v>
      </c>
      <c r="B82" t="s">
        <v>500</v>
      </c>
      <c r="C82">
        <v>890</v>
      </c>
      <c r="D82">
        <v>6.8900000000000003E-2</v>
      </c>
      <c r="E82">
        <v>0.1731</v>
      </c>
      <c r="F82">
        <v>8.2799999999999999E-2</v>
      </c>
      <c r="G82">
        <v>0.35870000000000002</v>
      </c>
      <c r="H82">
        <v>0.52</v>
      </c>
      <c r="I82">
        <v>0.94</v>
      </c>
      <c r="J82">
        <v>6.3700000000000007E-2</v>
      </c>
      <c r="K82">
        <v>0.26440000000000002</v>
      </c>
      <c r="L82">
        <v>3.5299999999999998E-2</v>
      </c>
      <c r="M82">
        <v>0.63749999999999996</v>
      </c>
      <c r="N82">
        <v>3.9699999999999999E-2</v>
      </c>
      <c r="O82">
        <v>0.56999999999999995</v>
      </c>
      <c r="P82">
        <v>1.85</v>
      </c>
      <c r="Q82">
        <v>9.48</v>
      </c>
      <c r="R82">
        <v>10.17</v>
      </c>
      <c r="S82">
        <v>0.68</v>
      </c>
      <c r="T82">
        <v>62.63</v>
      </c>
      <c r="U82">
        <v>1.9281999999999999</v>
      </c>
      <c r="V82">
        <v>3.0499999999999999E-2</v>
      </c>
      <c r="W82">
        <v>3.4700000000000002E-2</v>
      </c>
      <c r="X82">
        <v>1.0371999999999999</v>
      </c>
      <c r="Y82">
        <v>0.10440000000000001</v>
      </c>
      <c r="Z82">
        <v>0.69210000000000005</v>
      </c>
      <c r="AA82">
        <v>0.69210000000000005</v>
      </c>
      <c r="AB82">
        <v>0.1731</v>
      </c>
    </row>
    <row r="83" spans="1:28" ht="15.75" x14ac:dyDescent="0.25">
      <c r="A83" t="s">
        <v>501</v>
      </c>
      <c r="B83" t="s">
        <v>502</v>
      </c>
      <c r="C83">
        <v>799</v>
      </c>
      <c r="D83">
        <v>8.5999999999999993E-2</v>
      </c>
      <c r="E83">
        <v>0.33189999999999997</v>
      </c>
      <c r="F83">
        <v>2.8799999999999999E-2</v>
      </c>
      <c r="G83">
        <v>3.2800000000000003E-2</v>
      </c>
      <c r="H83">
        <v>0.66</v>
      </c>
      <c r="I83">
        <v>0.97</v>
      </c>
      <c r="J83">
        <v>6.5299999999999997E-2</v>
      </c>
      <c r="K83">
        <v>0.2399</v>
      </c>
      <c r="L83">
        <v>2.87E-2</v>
      </c>
      <c r="M83">
        <v>0.41470000000000001</v>
      </c>
      <c r="N83">
        <v>4.7E-2</v>
      </c>
      <c r="O83">
        <v>0.1</v>
      </c>
      <c r="P83">
        <v>13.48</v>
      </c>
      <c r="Q83">
        <v>23.08</v>
      </c>
      <c r="R83">
        <v>38.369999999999997</v>
      </c>
      <c r="S83">
        <v>1.62</v>
      </c>
      <c r="T83">
        <v>44.45</v>
      </c>
      <c r="U83">
        <v>0.63300000000000001</v>
      </c>
      <c r="V83">
        <v>5.3999999999999999E-2</v>
      </c>
      <c r="W83">
        <v>-1.4500000000000001E-2</v>
      </c>
      <c r="X83">
        <v>-0.01</v>
      </c>
      <c r="Y83">
        <v>8.0000000000000002E-3</v>
      </c>
      <c r="Z83">
        <v>8.2335999999999991</v>
      </c>
      <c r="AA83">
        <v>8.2335999999999991</v>
      </c>
      <c r="AB83">
        <v>0.30349999999999999</v>
      </c>
    </row>
    <row r="84" spans="1:28" ht="15.75" x14ac:dyDescent="0.25">
      <c r="A84" t="s">
        <v>503</v>
      </c>
      <c r="B84" t="s">
        <v>503</v>
      </c>
      <c r="C84">
        <v>379</v>
      </c>
      <c r="D84">
        <v>-5.3E-3</v>
      </c>
      <c r="E84">
        <v>6.0199999999999997E-2</v>
      </c>
      <c r="F84">
        <v>5.4199999999999998E-2</v>
      </c>
      <c r="G84">
        <v>0.2092</v>
      </c>
      <c r="H84">
        <v>0.9</v>
      </c>
      <c r="I84">
        <v>1.1000000000000001</v>
      </c>
      <c r="J84">
        <v>7.2499999999999995E-2</v>
      </c>
      <c r="K84">
        <v>0.3196</v>
      </c>
      <c r="L84">
        <v>3.5299999999999998E-2</v>
      </c>
      <c r="M84">
        <v>0.26740000000000003</v>
      </c>
      <c r="N84">
        <v>6.0100000000000001E-2</v>
      </c>
      <c r="O84">
        <v>1.46</v>
      </c>
      <c r="P84">
        <v>3.37</v>
      </c>
      <c r="Q84">
        <v>22.8</v>
      </c>
      <c r="R84">
        <v>80.66</v>
      </c>
      <c r="S84">
        <v>16.010000000000002</v>
      </c>
      <c r="T84">
        <v>127.25</v>
      </c>
      <c r="U84">
        <v>-3.5999999999999999E-3</v>
      </c>
      <c r="V84">
        <v>4.87E-2</v>
      </c>
      <c r="W84">
        <v>7.0000000000000001E-3</v>
      </c>
      <c r="X84">
        <v>0.34960000000000002</v>
      </c>
      <c r="Y84">
        <v>5.1700000000000003E-2</v>
      </c>
      <c r="Z84">
        <v>4.5949999999999998</v>
      </c>
      <c r="AA84">
        <v>4.5949999999999998</v>
      </c>
      <c r="AB84">
        <v>4.0300000000000002E-2</v>
      </c>
    </row>
    <row r="85" spans="1:28" ht="15.75" x14ac:dyDescent="0.25">
      <c r="A85" t="s">
        <v>504</v>
      </c>
      <c r="B85" t="s">
        <v>505</v>
      </c>
      <c r="C85">
        <v>92</v>
      </c>
      <c r="D85">
        <v>3.0999999999999999E-3</v>
      </c>
      <c r="E85">
        <v>5.62E-2</v>
      </c>
      <c r="F85">
        <v>4.4200000000000003E-2</v>
      </c>
      <c r="G85">
        <v>0.29949999999999999</v>
      </c>
      <c r="H85">
        <v>0.86</v>
      </c>
      <c r="I85">
        <v>1.04</v>
      </c>
      <c r="J85">
        <v>6.9400000000000003E-2</v>
      </c>
      <c r="K85">
        <v>0.25609999999999999</v>
      </c>
      <c r="L85">
        <v>3.5299999999999998E-2</v>
      </c>
      <c r="M85">
        <v>0.34329999999999999</v>
      </c>
      <c r="N85">
        <v>5.4600000000000003E-2</v>
      </c>
      <c r="O85">
        <v>1</v>
      </c>
      <c r="P85">
        <v>1.18</v>
      </c>
      <c r="Q85">
        <v>8.39</v>
      </c>
      <c r="R85">
        <v>20.16</v>
      </c>
      <c r="S85">
        <v>1.33</v>
      </c>
      <c r="T85">
        <v>30.65</v>
      </c>
      <c r="U85">
        <v>0.19350000000000001</v>
      </c>
      <c r="V85">
        <v>5.4699999999999999E-2</v>
      </c>
      <c r="W85">
        <v>1.14E-2</v>
      </c>
      <c r="X85">
        <v>-0.1249</v>
      </c>
      <c r="Y85">
        <v>2.6499999999999999E-2</v>
      </c>
      <c r="Z85">
        <v>1.1037999999999999</v>
      </c>
      <c r="AA85">
        <v>1.1037999999999999</v>
      </c>
      <c r="AB85">
        <v>5.3900000000000003E-2</v>
      </c>
    </row>
    <row r="86" spans="1:28" ht="15.75" x14ac:dyDescent="0.25">
      <c r="A86" t="s">
        <v>506</v>
      </c>
      <c r="B86" t="s">
        <v>507</v>
      </c>
      <c r="C86">
        <v>565</v>
      </c>
      <c r="D86">
        <v>4.5499999999999999E-2</v>
      </c>
      <c r="E86">
        <v>0.18190000000000001</v>
      </c>
      <c r="F86">
        <v>0.1396</v>
      </c>
      <c r="G86">
        <v>0.12089999999999999</v>
      </c>
      <c r="H86">
        <v>1.43</v>
      </c>
      <c r="I86">
        <v>1.46</v>
      </c>
      <c r="J86">
        <v>9.3399999999999997E-2</v>
      </c>
      <c r="K86">
        <v>0.32400000000000001</v>
      </c>
      <c r="L86">
        <v>3.5299999999999998E-2</v>
      </c>
      <c r="M86">
        <v>8.4900000000000003E-2</v>
      </c>
      <c r="N86">
        <v>8.77E-2</v>
      </c>
      <c r="O86">
        <v>0.8</v>
      </c>
      <c r="P86">
        <v>5.96</v>
      </c>
      <c r="Q86">
        <v>17.809999999999999</v>
      </c>
      <c r="R86">
        <v>31.94</v>
      </c>
      <c r="S86">
        <v>5.31</v>
      </c>
      <c r="T86">
        <v>254.65</v>
      </c>
      <c r="U86">
        <v>0.1663</v>
      </c>
      <c r="V86">
        <v>0.15670000000000001</v>
      </c>
      <c r="W86">
        <v>0.14779999999999999</v>
      </c>
      <c r="X86">
        <v>1.0165999999999999</v>
      </c>
      <c r="Y86">
        <v>0.16889999999999999</v>
      </c>
      <c r="Z86">
        <v>0.44419999999999998</v>
      </c>
      <c r="AA86">
        <v>0.44419999999999998</v>
      </c>
      <c r="AB86">
        <v>0.1915</v>
      </c>
    </row>
    <row r="87" spans="1:28" ht="15.75" x14ac:dyDescent="0.25">
      <c r="A87" t="s">
        <v>508</v>
      </c>
      <c r="B87" t="s">
        <v>509</v>
      </c>
      <c r="C87">
        <v>308</v>
      </c>
      <c r="D87">
        <v>7.1499999999999994E-2</v>
      </c>
      <c r="E87">
        <v>0.18840000000000001</v>
      </c>
      <c r="F87">
        <v>0.18609999999999999</v>
      </c>
      <c r="G87">
        <v>0.16109999999999999</v>
      </c>
      <c r="H87">
        <v>1.73</v>
      </c>
      <c r="I87">
        <v>1.73</v>
      </c>
      <c r="J87">
        <v>0.1087</v>
      </c>
      <c r="K87">
        <v>0.33700000000000002</v>
      </c>
      <c r="L87">
        <v>3.5299999999999998E-2</v>
      </c>
      <c r="M87">
        <v>5.91E-2</v>
      </c>
      <c r="N87">
        <v>0.1038</v>
      </c>
      <c r="O87">
        <v>1.08</v>
      </c>
      <c r="P87">
        <v>5.58</v>
      </c>
      <c r="Q87">
        <v>22.86</v>
      </c>
      <c r="R87">
        <v>29.16</v>
      </c>
      <c r="S87">
        <v>6.7</v>
      </c>
      <c r="T87">
        <v>84.83</v>
      </c>
      <c r="U87">
        <v>0.29830000000000001</v>
      </c>
      <c r="V87">
        <v>5.96E-2</v>
      </c>
      <c r="W87">
        <v>3.6600000000000001E-2</v>
      </c>
      <c r="X87">
        <v>0.38200000000000001</v>
      </c>
      <c r="Y87">
        <v>0.21379999999999999</v>
      </c>
      <c r="Z87">
        <v>0.31509999999999999</v>
      </c>
      <c r="AA87">
        <v>0.31509999999999999</v>
      </c>
      <c r="AB87">
        <v>0.19689999999999999</v>
      </c>
    </row>
    <row r="88" spans="1:28" ht="15.75" x14ac:dyDescent="0.25">
      <c r="A88" t="s">
        <v>510</v>
      </c>
      <c r="B88" t="s">
        <v>511</v>
      </c>
      <c r="C88">
        <v>90</v>
      </c>
      <c r="D88">
        <v>2.8199999999999999E-2</v>
      </c>
      <c r="E88">
        <v>0.1162</v>
      </c>
      <c r="F88">
        <v>0.24979999999999999</v>
      </c>
      <c r="G88">
        <v>0.24940000000000001</v>
      </c>
      <c r="H88">
        <v>1.06</v>
      </c>
      <c r="I88">
        <v>1.1399999999999999</v>
      </c>
      <c r="J88">
        <v>7.5200000000000003E-2</v>
      </c>
      <c r="K88">
        <v>0.28189999999999998</v>
      </c>
      <c r="L88">
        <v>3.5299999999999998E-2</v>
      </c>
      <c r="M88">
        <v>0.17019999999999999</v>
      </c>
      <c r="N88">
        <v>6.6900000000000001E-2</v>
      </c>
      <c r="O88">
        <v>2.78</v>
      </c>
      <c r="P88">
        <v>1.84</v>
      </c>
      <c r="Q88">
        <v>12.33</v>
      </c>
      <c r="R88">
        <v>16.22</v>
      </c>
      <c r="S88">
        <v>10.73</v>
      </c>
      <c r="T88">
        <v>46.21</v>
      </c>
      <c r="U88">
        <v>5.3199999999999997E-2</v>
      </c>
      <c r="V88">
        <v>2.0799999999999999E-2</v>
      </c>
      <c r="W88">
        <v>5.0000000000000001E-4</v>
      </c>
      <c r="X88">
        <v>-0.25480000000000003</v>
      </c>
      <c r="Y88">
        <v>0.55159999999999998</v>
      </c>
      <c r="Z88">
        <v>0.43419999999999997</v>
      </c>
      <c r="AA88">
        <v>0.43419999999999997</v>
      </c>
      <c r="AB88">
        <v>0.11360000000000001</v>
      </c>
    </row>
    <row r="89" spans="1:28" ht="15.75" x14ac:dyDescent="0.25">
      <c r="A89" t="s">
        <v>512</v>
      </c>
      <c r="B89" t="s">
        <v>513</v>
      </c>
      <c r="C89">
        <v>226</v>
      </c>
      <c r="D89">
        <v>0.1206</v>
      </c>
      <c r="E89">
        <v>0.34370000000000001</v>
      </c>
      <c r="F89">
        <v>7.2300000000000003E-2</v>
      </c>
      <c r="G89">
        <v>0.16200000000000001</v>
      </c>
      <c r="H89">
        <v>0.69</v>
      </c>
      <c r="I89">
        <v>0.95</v>
      </c>
      <c r="J89">
        <v>6.3799999999999996E-2</v>
      </c>
      <c r="K89">
        <v>0.3115</v>
      </c>
      <c r="L89">
        <v>3.5299999999999998E-2</v>
      </c>
      <c r="M89">
        <v>0.35730000000000001</v>
      </c>
      <c r="N89">
        <v>5.0299999999999997E-2</v>
      </c>
      <c r="O89">
        <v>0.24</v>
      </c>
      <c r="P89">
        <v>8.9700000000000006</v>
      </c>
      <c r="Q89">
        <v>15.68</v>
      </c>
      <c r="R89">
        <v>25.87</v>
      </c>
      <c r="S89">
        <v>2.12</v>
      </c>
      <c r="T89">
        <v>194.24</v>
      </c>
      <c r="U89">
        <v>6.8599999999999994E-2</v>
      </c>
      <c r="V89">
        <v>0.27229999999999999</v>
      </c>
      <c r="W89">
        <v>0.16009999999999999</v>
      </c>
      <c r="X89">
        <v>0.69269999999999998</v>
      </c>
      <c r="Y89">
        <v>7.2499999999999995E-2</v>
      </c>
      <c r="Z89">
        <v>1.0711999999999999</v>
      </c>
      <c r="AA89">
        <v>1.0711999999999999</v>
      </c>
      <c r="AB89">
        <v>0.34260000000000002</v>
      </c>
    </row>
    <row r="90" spans="1:28" ht="15.75" x14ac:dyDescent="0.25">
      <c r="A90" t="s">
        <v>514</v>
      </c>
      <c r="B90" t="s">
        <v>515</v>
      </c>
      <c r="C90">
        <v>718</v>
      </c>
      <c r="D90">
        <v>5.7200000000000001E-2</v>
      </c>
      <c r="E90">
        <v>4.41E-2</v>
      </c>
      <c r="F90">
        <v>4.5400000000000003E-2</v>
      </c>
      <c r="G90">
        <v>0.25269999999999998</v>
      </c>
      <c r="H90">
        <v>0.93</v>
      </c>
      <c r="I90">
        <v>1.17</v>
      </c>
      <c r="J90">
        <v>7.6799999999999993E-2</v>
      </c>
      <c r="K90">
        <v>0.30399999999999999</v>
      </c>
      <c r="L90">
        <v>3.5299999999999998E-2</v>
      </c>
      <c r="M90">
        <v>0.36270000000000002</v>
      </c>
      <c r="N90">
        <v>5.8400000000000001E-2</v>
      </c>
      <c r="O90">
        <v>1.1399999999999999</v>
      </c>
      <c r="P90">
        <v>0.99</v>
      </c>
      <c r="Q90">
        <v>8.9600000000000009</v>
      </c>
      <c r="R90">
        <v>21.06</v>
      </c>
      <c r="S90">
        <v>1.19</v>
      </c>
      <c r="T90">
        <v>59.31</v>
      </c>
      <c r="U90">
        <v>0.14069999999999999</v>
      </c>
      <c r="V90">
        <v>6.2199999999999998E-2</v>
      </c>
      <c r="W90">
        <v>3.2099999999999997E-2</v>
      </c>
      <c r="X90">
        <v>0.50370000000000004</v>
      </c>
      <c r="Y90">
        <v>2.4400000000000002E-2</v>
      </c>
      <c r="Z90">
        <v>1.5405</v>
      </c>
      <c r="AA90">
        <v>1.5405</v>
      </c>
      <c r="AB90">
        <v>4.5199999999999997E-2</v>
      </c>
    </row>
    <row r="91" spans="1:28" ht="15.75" x14ac:dyDescent="0.25">
      <c r="A91" t="s">
        <v>516</v>
      </c>
      <c r="B91" t="s">
        <v>517</v>
      </c>
      <c r="C91">
        <v>79</v>
      </c>
      <c r="D91">
        <v>-5.8999999999999997E-2</v>
      </c>
      <c r="E91">
        <v>6.2600000000000003E-2</v>
      </c>
      <c r="F91">
        <v>9.4500000000000001E-2</v>
      </c>
      <c r="G91">
        <v>0.1857</v>
      </c>
      <c r="H91">
        <v>0.99</v>
      </c>
      <c r="I91">
        <v>1.01</v>
      </c>
      <c r="J91">
        <v>6.7299999999999999E-2</v>
      </c>
      <c r="K91">
        <v>0.29349999999999998</v>
      </c>
      <c r="L91">
        <v>3.5299999999999998E-2</v>
      </c>
      <c r="M91">
        <v>9.1300000000000006E-2</v>
      </c>
      <c r="N91">
        <v>6.3500000000000001E-2</v>
      </c>
      <c r="O91">
        <v>1.72</v>
      </c>
      <c r="P91">
        <v>3.73</v>
      </c>
      <c r="Q91">
        <v>33.75</v>
      </c>
      <c r="R91">
        <v>60.07</v>
      </c>
      <c r="S91">
        <v>7.74</v>
      </c>
      <c r="T91">
        <v>108.92</v>
      </c>
      <c r="U91">
        <v>0.19769999999999999</v>
      </c>
      <c r="V91">
        <v>1.6299999999999999E-2</v>
      </c>
      <c r="W91">
        <v>-1.4500000000000001E-2</v>
      </c>
      <c r="X91">
        <v>-0.39760000000000001</v>
      </c>
      <c r="Y91">
        <v>9.9500000000000005E-2</v>
      </c>
      <c r="Z91">
        <v>0.65380000000000005</v>
      </c>
      <c r="AA91">
        <v>0.65380000000000005</v>
      </c>
      <c r="AB91">
        <v>6.1600000000000002E-2</v>
      </c>
    </row>
    <row r="92" spans="1:28" ht="15.75" x14ac:dyDescent="0.25">
      <c r="A92" t="s">
        <v>518</v>
      </c>
      <c r="B92" t="s">
        <v>519</v>
      </c>
      <c r="C92">
        <v>57</v>
      </c>
      <c r="D92">
        <v>0.11849999999999999</v>
      </c>
      <c r="E92">
        <v>0.3281</v>
      </c>
      <c r="F92">
        <v>0.18579999999999999</v>
      </c>
      <c r="G92">
        <v>0.2883</v>
      </c>
      <c r="H92">
        <v>0.55000000000000004</v>
      </c>
      <c r="I92">
        <v>0.65</v>
      </c>
      <c r="J92">
        <v>4.6800000000000001E-2</v>
      </c>
      <c r="K92">
        <v>0.24629999999999999</v>
      </c>
      <c r="L92">
        <v>2.87E-2</v>
      </c>
      <c r="M92">
        <v>0.23960000000000001</v>
      </c>
      <c r="N92">
        <v>4.0599999999999997E-2</v>
      </c>
      <c r="O92">
        <v>0.68</v>
      </c>
      <c r="P92">
        <v>3.87</v>
      </c>
      <c r="Q92">
        <v>10.35</v>
      </c>
      <c r="R92">
        <v>11.77</v>
      </c>
      <c r="S92">
        <v>3.58</v>
      </c>
      <c r="T92">
        <v>39.89</v>
      </c>
      <c r="U92">
        <v>0.1749</v>
      </c>
      <c r="V92">
        <v>2.7300000000000001E-2</v>
      </c>
      <c r="W92">
        <v>0</v>
      </c>
      <c r="X92">
        <v>-8.7400000000000005E-2</v>
      </c>
      <c r="Y92">
        <v>0.19350000000000001</v>
      </c>
      <c r="Z92">
        <v>1.0589</v>
      </c>
      <c r="AA92">
        <v>1.0589</v>
      </c>
      <c r="AB92">
        <v>0.3291</v>
      </c>
    </row>
    <row r="93" spans="1:28" ht="15.75" x14ac:dyDescent="0.25">
      <c r="A93" t="s">
        <v>520</v>
      </c>
      <c r="B93" t="s">
        <v>521</v>
      </c>
      <c r="C93">
        <v>217</v>
      </c>
      <c r="D93">
        <v>2.5399999999999999E-2</v>
      </c>
      <c r="E93">
        <v>1.4500000000000001E-2</v>
      </c>
      <c r="F93">
        <v>4.4999999999999997E-3</v>
      </c>
      <c r="G93">
        <v>0.27600000000000002</v>
      </c>
      <c r="H93">
        <v>0.81</v>
      </c>
      <c r="I93">
        <v>1.05</v>
      </c>
      <c r="J93">
        <v>7.0000000000000007E-2</v>
      </c>
      <c r="K93">
        <v>0.29380000000000001</v>
      </c>
      <c r="L93">
        <v>3.5299999999999998E-2</v>
      </c>
      <c r="M93">
        <v>0.35439999999999999</v>
      </c>
      <c r="N93">
        <v>5.4399999999999997E-2</v>
      </c>
      <c r="O93">
        <v>1</v>
      </c>
      <c r="P93">
        <v>1.74</v>
      </c>
      <c r="Q93">
        <v>10.050000000000001</v>
      </c>
      <c r="R93">
        <v>68.180000000000007</v>
      </c>
      <c r="S93">
        <v>2.68</v>
      </c>
      <c r="T93">
        <v>35.79</v>
      </c>
      <c r="U93">
        <v>5.9499999999999997E-2</v>
      </c>
      <c r="V93">
        <v>2.4199999999999999E-2</v>
      </c>
      <c r="W93">
        <v>-2.7799999999999998E-2</v>
      </c>
      <c r="X93">
        <v>-7.2678000000000003</v>
      </c>
      <c r="Y93">
        <v>-5.7599999999999998E-2</v>
      </c>
      <c r="Z93">
        <v>4.7000000000000002E-3</v>
      </c>
      <c r="AA93">
        <v>4.7000000000000002E-3</v>
      </c>
      <c r="AB93">
        <v>7.3000000000000001E-3</v>
      </c>
    </row>
    <row r="94" spans="1:28" ht="15.75" x14ac:dyDescent="0.25">
      <c r="A94" t="s">
        <v>522</v>
      </c>
      <c r="B94" t="s">
        <v>523</v>
      </c>
      <c r="C94">
        <v>553</v>
      </c>
      <c r="D94">
        <v>6.4199999999999993E-2</v>
      </c>
      <c r="E94">
        <v>0.1338</v>
      </c>
      <c r="F94">
        <v>6.1499999999999999E-2</v>
      </c>
      <c r="G94">
        <v>0.19689999999999999</v>
      </c>
      <c r="H94">
        <v>0.51</v>
      </c>
      <c r="I94">
        <v>0.82</v>
      </c>
      <c r="J94">
        <v>5.67E-2</v>
      </c>
      <c r="K94">
        <v>0.22409999999999999</v>
      </c>
      <c r="L94">
        <v>2.87E-2</v>
      </c>
      <c r="M94">
        <v>0.48349999999999999</v>
      </c>
      <c r="N94">
        <v>3.95E-2</v>
      </c>
      <c r="O94">
        <v>0.55000000000000004</v>
      </c>
      <c r="P94">
        <v>2.44</v>
      </c>
      <c r="Q94">
        <v>10.02</v>
      </c>
      <c r="R94">
        <v>18.190000000000001</v>
      </c>
      <c r="S94">
        <v>1.35</v>
      </c>
      <c r="T94">
        <v>25.26</v>
      </c>
      <c r="U94">
        <v>2.1100000000000001E-2</v>
      </c>
      <c r="V94">
        <v>0.17480000000000001</v>
      </c>
      <c r="W94">
        <v>8.6300000000000002E-2</v>
      </c>
      <c r="X94">
        <v>0.85250000000000004</v>
      </c>
      <c r="Y94">
        <v>7.3099999999999998E-2</v>
      </c>
      <c r="Z94">
        <v>0.81589999999999996</v>
      </c>
      <c r="AA94">
        <v>0.81589999999999996</v>
      </c>
      <c r="AB94">
        <v>0.1338</v>
      </c>
    </row>
    <row r="95" spans="1:28" ht="15.75" x14ac:dyDescent="0.25">
      <c r="A95" t="s">
        <v>524</v>
      </c>
      <c r="B95" t="s">
        <v>525</v>
      </c>
      <c r="C95">
        <v>104</v>
      </c>
      <c r="D95">
        <v>8.4400000000000003E-2</v>
      </c>
      <c r="E95">
        <v>0.26790000000000003</v>
      </c>
      <c r="F95">
        <v>7.2700000000000001E-2</v>
      </c>
      <c r="G95">
        <v>0.26540000000000002</v>
      </c>
      <c r="H95">
        <v>0.59</v>
      </c>
      <c r="I95">
        <v>0.83</v>
      </c>
      <c r="J95">
        <v>5.7000000000000002E-2</v>
      </c>
      <c r="K95">
        <v>0.27389999999999998</v>
      </c>
      <c r="L95">
        <v>3.5299999999999998E-2</v>
      </c>
      <c r="M95">
        <v>0.40889999999999999</v>
      </c>
      <c r="N95">
        <v>4.4299999999999999E-2</v>
      </c>
      <c r="O95">
        <v>0.32</v>
      </c>
      <c r="P95">
        <v>5.01</v>
      </c>
      <c r="Q95">
        <v>12.78</v>
      </c>
      <c r="R95">
        <v>18.440000000000001</v>
      </c>
      <c r="S95">
        <v>1.71</v>
      </c>
      <c r="T95">
        <v>31.57</v>
      </c>
      <c r="U95">
        <v>5.2900000000000003E-2</v>
      </c>
      <c r="V95">
        <v>0.27089999999999997</v>
      </c>
      <c r="W95">
        <v>0.27529999999999999</v>
      </c>
      <c r="X95">
        <v>1.7258</v>
      </c>
      <c r="Y95">
        <v>6.3E-2</v>
      </c>
      <c r="Z95">
        <v>0.56830000000000003</v>
      </c>
      <c r="AA95">
        <v>0.75319999999999998</v>
      </c>
      <c r="AB95">
        <v>0.26790000000000003</v>
      </c>
    </row>
    <row r="96" spans="1:28" ht="15.75" x14ac:dyDescent="0.25">
      <c r="A96" t="s">
        <v>526</v>
      </c>
      <c r="B96">
        <v>46580</v>
      </c>
      <c r="C96">
        <v>6.6199999999999995E-2</v>
      </c>
      <c r="D96">
        <v>0.08</v>
      </c>
      <c r="E96">
        <v>4.9399999999999999E-2</v>
      </c>
      <c r="F96">
        <v>0.22120000000000001</v>
      </c>
      <c r="G96">
        <v>0.79</v>
      </c>
      <c r="H96">
        <v>1.01</v>
      </c>
      <c r="I96">
        <v>6.7599999999999993E-2</v>
      </c>
      <c r="J96">
        <v>0.3236</v>
      </c>
      <c r="K96">
        <v>3.5299999999999998E-2</v>
      </c>
      <c r="L96">
        <v>0.38679999999999998</v>
      </c>
      <c r="M96">
        <v>5.16E-2</v>
      </c>
      <c r="N96">
        <v>0.69</v>
      </c>
      <c r="O96">
        <v>2.66</v>
      </c>
      <c r="P96">
        <v>15.84</v>
      </c>
      <c r="Q96">
        <v>27.99</v>
      </c>
      <c r="R96">
        <v>2.21</v>
      </c>
      <c r="S96">
        <v>93.22</v>
      </c>
      <c r="T96">
        <v>-1.3738999999999999</v>
      </c>
      <c r="U96">
        <v>5.8799999999999998E-2</v>
      </c>
      <c r="V96">
        <v>2.7199999999999998E-2</v>
      </c>
      <c r="W96">
        <v>0.4793</v>
      </c>
      <c r="X96">
        <v>6.3E-2</v>
      </c>
      <c r="Y96">
        <v>0.75319999999999998</v>
      </c>
      <c r="Z96">
        <v>0.75319999999999998</v>
      </c>
      <c r="AA96">
        <v>8.09E-2</v>
      </c>
    </row>
    <row r="97" spans="1:27" ht="15.75" x14ac:dyDescent="0.25">
      <c r="A97" t="s">
        <v>527</v>
      </c>
      <c r="B97">
        <v>41623</v>
      </c>
      <c r="C97">
        <v>6.4100000000000004E-2</v>
      </c>
      <c r="D97">
        <v>8.3099999999999993E-2</v>
      </c>
      <c r="E97">
        <v>7.7200000000000005E-2</v>
      </c>
      <c r="F97">
        <v>0.22889999999999999</v>
      </c>
      <c r="G97">
        <v>0.89</v>
      </c>
      <c r="H97">
        <v>1.04</v>
      </c>
      <c r="I97">
        <v>6.9000000000000006E-2</v>
      </c>
      <c r="J97">
        <v>0.33079999999999998</v>
      </c>
      <c r="K97">
        <v>3.5299999999999998E-2</v>
      </c>
      <c r="L97">
        <v>0.2482</v>
      </c>
      <c r="M97">
        <v>5.8400000000000001E-2</v>
      </c>
      <c r="N97">
        <v>1.04</v>
      </c>
      <c r="O97">
        <v>2.31</v>
      </c>
      <c r="P97">
        <v>14.33</v>
      </c>
      <c r="Q97">
        <v>26.06</v>
      </c>
      <c r="R97">
        <v>2.71</v>
      </c>
      <c r="S97">
        <v>93.93</v>
      </c>
      <c r="T97">
        <v>0.1158</v>
      </c>
      <c r="U97">
        <v>6.3700000000000007E-2</v>
      </c>
      <c r="V97">
        <v>2.75E-2</v>
      </c>
      <c r="W97">
        <v>0.46139999999999998</v>
      </c>
      <c r="X97">
        <v>5.5399999999999998E-2</v>
      </c>
      <c r="Y97">
        <v>0.95730000000000004</v>
      </c>
      <c r="Z97">
        <v>0.95730000000000004</v>
      </c>
      <c r="AA97">
        <v>8.4099999999999994E-2</v>
      </c>
    </row>
  </sheetData>
  <pageMargins left="0.7" right="0.7" top="0.75" bottom="0.75" header="0.3" footer="0.3"/>
  <ignoredErrors>
    <ignoredError sqref="A1:AB9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/>
  </sheetViews>
  <sheetFormatPr defaultRowHeight="15" x14ac:dyDescent="0.25"/>
  <cols>
    <col min="1" max="1" width="33" customWidth="1"/>
    <col min="2" max="2" width="27.875" customWidth="1"/>
    <col min="3" max="3" width="29.875" customWidth="1"/>
    <col min="4" max="4" width="17.375" customWidth="1"/>
  </cols>
  <sheetData>
    <row r="1" spans="1:5" ht="15.75" x14ac:dyDescent="0.25">
      <c r="A1" t="s">
        <v>66</v>
      </c>
      <c r="B1">
        <v>13738.244000000001</v>
      </c>
      <c r="D1" t="s">
        <v>528</v>
      </c>
      <c r="E1" s="2">
        <v>1000000</v>
      </c>
    </row>
    <row r="2" spans="1:5" ht="15.75" x14ac:dyDescent="0.25">
      <c r="A2" t="s">
        <v>67</v>
      </c>
      <c r="B2">
        <v>1064.539</v>
      </c>
    </row>
    <row r="3" spans="1:5" ht="15.75" x14ac:dyDescent="0.25">
      <c r="A3" t="s">
        <v>73</v>
      </c>
      <c r="B3">
        <v>3132.2420000000002</v>
      </c>
    </row>
    <row r="4" spans="1:5" ht="15.75" x14ac:dyDescent="0.25">
      <c r="A4" t="s">
        <v>74</v>
      </c>
      <c r="B4">
        <v>2244.4250000000002</v>
      </c>
    </row>
    <row r="5" spans="1:5" ht="15.75" x14ac:dyDescent="0.25">
      <c r="A5" t="s">
        <v>76</v>
      </c>
      <c r="B5">
        <f>(B3+B4)-B8</f>
        <v>5040.43</v>
      </c>
    </row>
    <row r="6" spans="1:5" ht="15.75" x14ac:dyDescent="0.25">
      <c r="A6" t="s">
        <v>35</v>
      </c>
      <c r="B6" s="2">
        <v>55.790700000000001</v>
      </c>
    </row>
    <row r="7" spans="1:5" ht="15.75" x14ac:dyDescent="0.25">
      <c r="A7" t="s">
        <v>529</v>
      </c>
      <c r="B7">
        <v>29.402999999999999</v>
      </c>
    </row>
    <row r="8" spans="1:5" ht="15.75" x14ac:dyDescent="0.25">
      <c r="A8" t="s">
        <v>75</v>
      </c>
      <c r="B8">
        <v>336.23700000000002</v>
      </c>
    </row>
    <row r="9" spans="1:5" ht="15.75" x14ac:dyDescent="0.25">
      <c r="A9" t="s">
        <v>259</v>
      </c>
      <c r="B9">
        <v>90.978999999999999</v>
      </c>
    </row>
    <row r="10" spans="1:5" ht="15.75" x14ac:dyDescent="0.25">
      <c r="A10" t="s">
        <v>530</v>
      </c>
      <c r="B10">
        <v>0</v>
      </c>
    </row>
    <row r="11" spans="1:5" ht="15.75" x14ac:dyDescent="0.25">
      <c r="A11" t="s">
        <v>531</v>
      </c>
      <c r="B11" s="4">
        <v>5290.6320809999997</v>
      </c>
    </row>
    <row r="12" spans="1:5" ht="15.75" x14ac:dyDescent="0.25">
      <c r="A12" t="s">
        <v>532</v>
      </c>
      <c r="B12" s="4">
        <v>94.83</v>
      </c>
    </row>
    <row r="13" spans="1:5" ht="15.75" x14ac:dyDescent="0.25">
      <c r="A13" t="s">
        <v>533</v>
      </c>
      <c r="B13" t="s">
        <v>169</v>
      </c>
      <c r="C13" t="s">
        <v>534</v>
      </c>
      <c r="D13" t="s">
        <v>535</v>
      </c>
    </row>
    <row r="14" spans="1:5" ht="15.75" x14ac:dyDescent="0.25">
      <c r="A14" t="s">
        <v>536</v>
      </c>
      <c r="B14" t="s">
        <v>169</v>
      </c>
      <c r="C14" t="s">
        <v>537</v>
      </c>
      <c r="D14" t="s">
        <v>535</v>
      </c>
    </row>
    <row r="15" spans="1:5" ht="15.75" x14ac:dyDescent="0.25">
      <c r="A15" t="s">
        <v>538</v>
      </c>
      <c r="B15">
        <v>1</v>
      </c>
    </row>
    <row r="16" spans="1:5" ht="15.75" x14ac:dyDescent="0.25">
      <c r="A16" t="s">
        <v>539</v>
      </c>
      <c r="B16">
        <v>1</v>
      </c>
    </row>
    <row r="17" spans="1:2" ht="15.75" x14ac:dyDescent="0.25">
      <c r="A17" t="s">
        <v>540</v>
      </c>
      <c r="B17" t="s">
        <v>541</v>
      </c>
    </row>
  </sheetData>
  <pageMargins left="0.7" right="0.7" top="0.75" bottom="0.75" header="0.3" footer="0.3"/>
  <ignoredErrors>
    <ignoredError sqref="A1: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DCF Valuation</vt:lpstr>
      <vt:lpstr>Financial Statements</vt:lpstr>
      <vt:lpstr>Cost of Capital</vt:lpstr>
      <vt:lpstr>Employee Options</vt:lpstr>
      <vt:lpstr>Synthetic Credit Rating</vt:lpstr>
      <vt:lpstr>Industry Averages (US)</vt:lpstr>
      <vt:lpstr>Industry Averages (Global)</vt:lpstr>
      <vt:lpstr>Helper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Konstantinos</dc:creator>
  <cp:lastModifiedBy>acikgozn4@students.rowan.edu Acikgoz</cp:lastModifiedBy>
  <dcterms:created xsi:type="dcterms:W3CDTF">2022-03-08T00:52:22Z</dcterms:created>
  <dcterms:modified xsi:type="dcterms:W3CDTF">2022-03-08T00:52:22Z</dcterms:modified>
</cp:coreProperties>
</file>