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Users\USER\Downloads\Portfolio\Excel\"/>
    </mc:Choice>
  </mc:AlternateContent>
  <xr:revisionPtr revIDLastSave="0" documentId="13_ncr:1_{E93E96D9-7DC5-4174-9CEB-BBB2A9F76A5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chedule of loads" sheetId="1" r:id="rId1"/>
    <sheet name="Load calculation" sheetId="2" r:id="rId2"/>
    <sheet name="Voltage Drop" sheetId="3" r:id="rId3"/>
    <sheet name="Short Circu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M18" i="4"/>
  <c r="D19" i="4"/>
  <c r="G9" i="3"/>
  <c r="M15" i="4"/>
  <c r="B14" i="4"/>
  <c r="D13" i="4"/>
  <c r="M12" i="4"/>
  <c r="D10" i="4"/>
  <c r="L7" i="4"/>
  <c r="L6" i="4"/>
  <c r="G12" i="3"/>
  <c r="B12" i="3"/>
  <c r="G11" i="3"/>
  <c r="B11" i="3"/>
  <c r="G10" i="3"/>
  <c r="B10" i="3"/>
  <c r="L8" i="3"/>
  <c r="L7" i="3"/>
  <c r="I7" i="3"/>
  <c r="D7" i="3"/>
  <c r="L6" i="3"/>
  <c r="K24" i="2"/>
  <c r="J24" i="2"/>
  <c r="K23" i="2"/>
  <c r="J23" i="2"/>
  <c r="B21" i="2"/>
  <c r="B18" i="2"/>
  <c r="K16" i="2"/>
  <c r="J16" i="2"/>
  <c r="B14" i="2"/>
  <c r="E13" i="2"/>
  <c r="E11" i="2"/>
  <c r="K10" i="2"/>
  <c r="J10" i="2"/>
  <c r="I10" i="2"/>
  <c r="H10" i="2"/>
  <c r="E10" i="2"/>
  <c r="B10" i="2"/>
  <c r="E9" i="2"/>
  <c r="B9" i="2"/>
  <c r="E8" i="2"/>
  <c r="B8" i="2"/>
  <c r="B7" i="2"/>
  <c r="B6" i="2"/>
  <c r="E5" i="2"/>
  <c r="B5" i="2"/>
  <c r="K4" i="2"/>
  <c r="J4" i="2"/>
  <c r="I4" i="2"/>
  <c r="H4" i="2"/>
  <c r="E4" i="2"/>
  <c r="B4" i="2"/>
  <c r="L25" i="1"/>
  <c r="L24" i="1"/>
  <c r="K20" i="1"/>
  <c r="K19" i="1"/>
  <c r="K18" i="1"/>
  <c r="K17" i="1"/>
  <c r="L16" i="1"/>
  <c r="L15" i="1"/>
  <c r="L14" i="1"/>
  <c r="K14" i="1"/>
  <c r="L13" i="1"/>
  <c r="L12" i="1"/>
  <c r="L11" i="1"/>
  <c r="L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<sst xmlns="http://schemas.openxmlformats.org/spreadsheetml/2006/main" count="293" uniqueCount="127">
  <si>
    <t>Circuit No.</t>
  </si>
  <si>
    <t>Load Description</t>
  </si>
  <si>
    <t>No. of Outlets</t>
  </si>
  <si>
    <t>Switches</t>
  </si>
  <si>
    <t>Load Rating</t>
  </si>
  <si>
    <t>CB rating</t>
  </si>
  <si>
    <t>Number, Size and Type of Wire</t>
  </si>
  <si>
    <t>Conduit</t>
  </si>
  <si>
    <t>CO/SAO/ACU</t>
  </si>
  <si>
    <t>LO</t>
  </si>
  <si>
    <t>S1</t>
  </si>
  <si>
    <t>S2</t>
  </si>
  <si>
    <t>S3</t>
  </si>
  <si>
    <t>S3W</t>
  </si>
  <si>
    <t>HP</t>
  </si>
  <si>
    <t>Volts</t>
  </si>
  <si>
    <t>Volt Ampere</t>
  </si>
  <si>
    <t>Ampere</t>
  </si>
  <si>
    <t>Phase</t>
  </si>
  <si>
    <t>AT</t>
  </si>
  <si>
    <t>AF</t>
  </si>
  <si>
    <t>Lighting Outlet</t>
  </si>
  <si>
    <t>-</t>
  </si>
  <si>
    <r>
      <rPr>
        <sz val="11"/>
        <color theme="1"/>
        <rFont val="Calibri"/>
        <family val="2"/>
        <scheme val="minor"/>
      </rPr>
      <t>2-2.0mm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THHN</t>
    </r>
  </si>
  <si>
    <r>
      <rPr>
        <sz val="11"/>
        <color theme="1"/>
        <rFont val="Calibri"/>
        <family val="2"/>
        <scheme val="minor"/>
      </rPr>
      <t>16mm</t>
    </r>
    <r>
      <rPr>
        <sz val="11"/>
        <color theme="1"/>
        <rFont val="Calibri"/>
        <family val="2"/>
      </rPr>
      <t>ф PVC Sched 40</t>
    </r>
  </si>
  <si>
    <t>Convenience Outlet 1</t>
  </si>
  <si>
    <t>16mmф PVC Sched 40</t>
  </si>
  <si>
    <t>Convenience Outlet 2</t>
  </si>
  <si>
    <t>Convenience Outlet 3</t>
  </si>
  <si>
    <t>Convenience Outlet 4</t>
  </si>
  <si>
    <t>Bathroom Outlet</t>
  </si>
  <si>
    <r>
      <rPr>
        <sz val="11"/>
        <color theme="1"/>
        <rFont val="Calibri"/>
        <family val="2"/>
        <scheme val="minor"/>
      </rPr>
      <t>2-2.0mm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THHW</t>
    </r>
  </si>
  <si>
    <t>Water Heater 01</t>
  </si>
  <si>
    <r>
      <rPr>
        <sz val="11"/>
        <color theme="1"/>
        <rFont val="Calibri"/>
        <family val="2"/>
        <scheme val="minor"/>
      </rPr>
      <t>2-3.5mm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THHW</t>
    </r>
  </si>
  <si>
    <t>Water Heater 02</t>
  </si>
  <si>
    <t>Water Heater 03</t>
  </si>
  <si>
    <t>Water Heater 04</t>
  </si>
  <si>
    <t>Garage Outlet</t>
  </si>
  <si>
    <t>Laundry Outlet</t>
  </si>
  <si>
    <t>Small Appliance Circuit 01</t>
  </si>
  <si>
    <t>Airconditioning Unit 01</t>
  </si>
  <si>
    <t>Airconditioning Unit 02</t>
  </si>
  <si>
    <t>Airconditioning Unit 03</t>
  </si>
  <si>
    <t>Airconditioning Unit 04</t>
  </si>
  <si>
    <t>Water Pump</t>
  </si>
  <si>
    <t>Transformer</t>
  </si>
  <si>
    <r>
      <rPr>
        <sz val="11"/>
        <color theme="1"/>
        <rFont val="Calibri"/>
        <family val="2"/>
        <scheme val="minor"/>
      </rPr>
      <t>2-50.0mm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THHN</t>
    </r>
  </si>
  <si>
    <t>Generator</t>
  </si>
  <si>
    <t>General Lighting and Convenience Receptacle</t>
  </si>
  <si>
    <t>Application of Demand Factor</t>
  </si>
  <si>
    <t>Service Entrance Conductors</t>
  </si>
  <si>
    <t>Lighting outlet</t>
  </si>
  <si>
    <t>VA</t>
  </si>
  <si>
    <t>First 3,000VA at 100% DF</t>
  </si>
  <si>
    <t>I =</t>
  </si>
  <si>
    <t>A</t>
  </si>
  <si>
    <t>Convenience Outlet 01</t>
  </si>
  <si>
    <t>Remainder at 35% DF</t>
  </si>
  <si>
    <t>✔</t>
  </si>
  <si>
    <r>
      <rPr>
        <b/>
        <sz val="11"/>
        <color theme="1"/>
        <rFont val="Calibri"/>
        <family val="2"/>
        <scheme val="minor"/>
      </rPr>
      <t>Use 2-50.0mm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THHN Cu Wire in 35mm </t>
    </r>
    <r>
      <rPr>
        <b/>
        <sz val="11"/>
        <color theme="1"/>
        <rFont val="Calibri"/>
        <family val="2"/>
      </rPr>
      <t>ᴓ</t>
    </r>
    <r>
      <rPr>
        <b/>
        <sz val="9.5"/>
        <color theme="1"/>
        <rFont val="Calibri"/>
        <family val="2"/>
      </rPr>
      <t xml:space="preserve"> RMC</t>
    </r>
  </si>
  <si>
    <t>Convenience Outlet 02</t>
  </si>
  <si>
    <r>
      <rPr>
        <b/>
        <sz val="11"/>
        <color theme="1"/>
        <rFont val="Calibri"/>
        <family val="2"/>
        <scheme val="minor"/>
      </rPr>
      <t>Use 2-22mm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THHN Cu Wire in Free Air</t>
    </r>
  </si>
  <si>
    <t>Convenience Outlet 03</t>
  </si>
  <si>
    <t>Other Load:</t>
  </si>
  <si>
    <r>
      <rPr>
        <b/>
        <sz val="11"/>
        <color theme="1"/>
        <rFont val="Calibri"/>
        <family val="2"/>
        <scheme val="minor"/>
      </rPr>
      <t>Use 1-22mm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THHN Cu Wire as Grounding Conductor</t>
    </r>
  </si>
  <si>
    <t>Convenience Outlet 04</t>
  </si>
  <si>
    <t>4- 3kW Water Heater</t>
  </si>
  <si>
    <t>Service Equipment</t>
  </si>
  <si>
    <t>Bathroom outlet</t>
  </si>
  <si>
    <t>1- 2HP ACU</t>
  </si>
  <si>
    <t>3- 1.5HP ACU</t>
  </si>
  <si>
    <t>Use 1-175 AT MCB</t>
  </si>
  <si>
    <t>1- 2HPWaterpump</t>
  </si>
  <si>
    <t>Laundry Circuit</t>
  </si>
  <si>
    <t>Total Net Computed Load</t>
  </si>
  <si>
    <t>Transformer Requirement</t>
  </si>
  <si>
    <t>Small Appliance Load</t>
  </si>
  <si>
    <t>Small Appliance Outlet</t>
  </si>
  <si>
    <r>
      <rPr>
        <b/>
        <sz val="11"/>
        <color theme="1"/>
        <rFont val="Calibri"/>
        <family val="2"/>
        <scheme val="minor"/>
      </rPr>
      <t>Use 1-37.5kVA 7.62/0.23kV, %Z=1.7 60Hz 1</t>
    </r>
    <r>
      <rPr>
        <b/>
        <sz val="11"/>
        <color theme="1"/>
        <rFont val="Calibri"/>
        <family val="2"/>
      </rPr>
      <t>ᴓ, Pole Mounted Distribution Transformer</t>
    </r>
  </si>
  <si>
    <t>Sub-Total</t>
  </si>
  <si>
    <t>Generator Requirement</t>
  </si>
  <si>
    <t>Generator Size</t>
  </si>
  <si>
    <t>1.25X</t>
  </si>
  <si>
    <r>
      <rPr>
        <b/>
        <sz val="11"/>
        <color theme="1"/>
        <rFont val="Calibri"/>
        <family val="2"/>
        <scheme val="minor"/>
      </rPr>
      <t>Use 1-50kVA 230V 60Hz 1</t>
    </r>
    <r>
      <rPr>
        <b/>
        <sz val="11"/>
        <color theme="1"/>
        <rFont val="Calibri"/>
        <family val="2"/>
      </rPr>
      <t>ᴓ, Standby Generator</t>
    </r>
  </si>
  <si>
    <t>Voltage Drop Calculation</t>
  </si>
  <si>
    <t>Voltage Drop feeder</t>
  </si>
  <si>
    <t>Voltage Drop Farthest Outlet</t>
  </si>
  <si>
    <t>Total Voltage Drop</t>
  </si>
  <si>
    <t>Service Conductor Length</t>
  </si>
  <si>
    <t>meters</t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</si>
  <si>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</si>
  <si>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D1</t>
    </r>
    <r>
      <rPr>
        <b/>
        <sz val="11"/>
        <color theme="1"/>
        <rFont val="Calibri"/>
        <family val="2"/>
        <scheme val="minor"/>
      </rPr>
      <t>+V</t>
    </r>
    <r>
      <rPr>
        <b/>
        <vertAlign val="subscript"/>
        <sz val="11"/>
        <color theme="1"/>
        <rFont val="Calibri"/>
        <family val="2"/>
        <scheme val="minor"/>
      </rPr>
      <t>D2</t>
    </r>
  </si>
  <si>
    <r>
      <rPr>
        <b/>
        <sz val="11"/>
        <color theme="1"/>
        <rFont val="Calibri"/>
        <family val="2"/>
        <scheme val="minor"/>
      </rPr>
      <t>Conductor R</t>
    </r>
    <r>
      <rPr>
        <b/>
        <sz val="8"/>
        <color theme="1"/>
        <rFont val="Calibri"/>
        <family val="2"/>
        <scheme val="minor"/>
      </rPr>
      <t>feeder</t>
    </r>
  </si>
  <si>
    <t>ohm/kft</t>
  </si>
  <si>
    <r>
      <rPr>
        <b/>
        <sz val="11"/>
        <color theme="1"/>
        <rFont val="Calibri"/>
        <family val="2"/>
        <scheme val="minor"/>
      </rPr>
      <t>Conductor R</t>
    </r>
    <r>
      <rPr>
        <b/>
        <vertAlign val="subscript"/>
        <sz val="11"/>
        <color theme="1"/>
        <rFont val="Calibri"/>
        <family val="2"/>
        <scheme val="minor"/>
      </rPr>
      <t>branch</t>
    </r>
  </si>
  <si>
    <t>Total Load</t>
  </si>
  <si>
    <r>
      <rPr>
        <b/>
        <sz val="11"/>
        <color theme="1"/>
        <rFont val="Calibri"/>
        <family val="2"/>
        <scheme val="minor"/>
      </rPr>
      <t>%V</t>
    </r>
    <r>
      <rPr>
        <b/>
        <vertAlign val="subscript"/>
        <sz val="11"/>
        <color theme="1"/>
        <rFont val="Calibri"/>
        <family val="2"/>
        <scheme val="minor"/>
      </rPr>
      <t>D2</t>
    </r>
  </si>
  <si>
    <t>Remarks</t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</si>
  <si>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D1</t>
    </r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</si>
  <si>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D2</t>
    </r>
  </si>
  <si>
    <t>%D1</t>
  </si>
  <si>
    <t>%D2</t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</si>
  <si>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</si>
  <si>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rPr>
        <b/>
        <sz val="11"/>
        <color theme="1"/>
        <rFont val="Calibri"/>
        <family val="2"/>
        <scheme val="minor"/>
      </rPr>
      <t>V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</si>
  <si>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Short Circuit Calculation</t>
  </si>
  <si>
    <t>Short Circuit Current @ Panel Board</t>
  </si>
  <si>
    <t>KVA=</t>
  </si>
  <si>
    <t>L</t>
  </si>
  <si>
    <t>=</t>
  </si>
  <si>
    <t>%Z=</t>
  </si>
  <si>
    <t>ICS</t>
  </si>
  <si>
    <t>V</t>
  </si>
  <si>
    <t>C</t>
  </si>
  <si>
    <r>
      <rPr>
        <b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FL</t>
    </r>
  </si>
  <si>
    <t>KVA X 1000</t>
  </si>
  <si>
    <t>n</t>
  </si>
  <si>
    <t>f</t>
  </si>
  <si>
    <r>
      <rPr>
        <sz val="11"/>
        <color theme="1"/>
        <rFont val="Calibri"/>
        <family val="2"/>
        <scheme val="minor"/>
      </rPr>
      <t>L X I</t>
    </r>
    <r>
      <rPr>
        <vertAlign val="subscript"/>
        <sz val="11"/>
        <color theme="1"/>
        <rFont val="Calibri"/>
        <family val="2"/>
        <scheme val="minor"/>
      </rPr>
      <t>SC</t>
    </r>
  </si>
  <si>
    <t>Multiplier</t>
  </si>
  <si>
    <t>V X C n</t>
  </si>
  <si>
    <t>1 + f</t>
  </si>
  <si>
    <t>Short Circuit Current @ Secondary Transformer</t>
  </si>
  <si>
    <r>
      <rPr>
        <b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SC2</t>
    </r>
  </si>
  <si>
    <r>
      <rPr>
        <sz val="11"/>
        <color theme="1"/>
        <rFont val="Calibri"/>
        <family val="2"/>
        <scheme val="minor"/>
      </rPr>
      <t>Multi X I</t>
    </r>
    <r>
      <rPr>
        <vertAlign val="subscript"/>
        <sz val="11"/>
        <color theme="1"/>
        <rFont val="Calibri"/>
        <family val="2"/>
        <scheme val="minor"/>
      </rPr>
      <t>SC1</t>
    </r>
  </si>
  <si>
    <r>
      <rPr>
        <b/>
        <sz val="11"/>
        <color theme="1"/>
        <rFont val="Calibri"/>
        <family val="2"/>
        <scheme val="minor"/>
      </rPr>
      <t>I</t>
    </r>
    <r>
      <rPr>
        <b/>
        <vertAlign val="subscript"/>
        <sz val="11"/>
        <color theme="1"/>
        <rFont val="Calibri"/>
        <family val="2"/>
        <scheme val="minor"/>
      </rPr>
      <t>SC1</t>
    </r>
  </si>
  <si>
    <r>
      <rPr>
        <sz val="11"/>
        <color theme="1"/>
        <rFont val="Calibri"/>
        <family val="2"/>
        <scheme val="minor"/>
      </rPr>
      <t>Multi X I</t>
    </r>
    <r>
      <rPr>
        <vertAlign val="subscript"/>
        <sz val="11"/>
        <color theme="1"/>
        <rFont val="Calibri"/>
        <family val="2"/>
        <scheme val="minor"/>
      </rPr>
      <t>FL</t>
    </r>
  </si>
  <si>
    <r>
      <rPr>
        <sz val="11"/>
        <color theme="1"/>
        <rFont val="Calibri"/>
        <family val="2"/>
        <scheme val="minor"/>
      </rPr>
      <t>16mm</t>
    </r>
    <r>
      <rPr>
        <sz val="11"/>
        <color theme="1"/>
        <rFont val="Calibri"/>
        <family val="2"/>
      </rPr>
      <t>ф PVC Sched 40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</si>
</sst>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5"/>
      <color theme="1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10" fontId="0" fillId="0" borderId="0" xfId="1" applyNumberFormat="1" applyFont="1" applyBorder="1"/>
    <xf numFmtId="10" fontId="2" fillId="0" borderId="0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1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4" fontId="2" fillId="0" borderId="0" xfId="0" applyNumberFormat="1" applyFont="1"/>
    <xf numFmtId="0" fontId="2" fillId="0" borderId="6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10" fontId="16" fillId="0" borderId="0" xfId="1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Q16" sqref="Q16"/>
    </sheetView>
  </sheetViews>
  <sheetFormatPr defaultColWidth="9" defaultRowHeight="14.4"/>
  <cols>
    <col min="1" max="1" width="6.44140625" style="11" customWidth="1"/>
    <col min="2" max="2" width="22.88671875" style="11" customWidth="1"/>
    <col min="3" max="3" width="9.6640625" customWidth="1"/>
    <col min="4" max="4" width="3.33203125" customWidth="1"/>
    <col min="5" max="7" width="3" customWidth="1"/>
    <col min="8" max="8" width="5" customWidth="1"/>
    <col min="9" max="9" width="4" customWidth="1"/>
    <col min="10" max="10" width="5.5546875" customWidth="1"/>
    <col min="11" max="12" width="8.109375" customWidth="1"/>
    <col min="13" max="13" width="6.33203125" customWidth="1"/>
    <col min="14" max="14" width="4.109375" customWidth="1"/>
    <col min="15" max="15" width="4" customWidth="1"/>
    <col min="16" max="16" width="17.33203125" customWidth="1"/>
    <col min="17" max="17" width="20.109375" customWidth="1"/>
  </cols>
  <sheetData>
    <row r="1" spans="1:17" s="11" customFormat="1">
      <c r="A1" s="36" t="s">
        <v>0</v>
      </c>
      <c r="B1" s="31" t="s">
        <v>1</v>
      </c>
      <c r="C1" s="35" t="s">
        <v>2</v>
      </c>
      <c r="D1" s="35"/>
      <c r="E1" s="35" t="s">
        <v>3</v>
      </c>
      <c r="F1" s="35"/>
      <c r="G1" s="35"/>
      <c r="H1" s="35"/>
      <c r="I1" s="35" t="s">
        <v>4</v>
      </c>
      <c r="J1" s="35"/>
      <c r="K1" s="35"/>
      <c r="L1" s="35"/>
      <c r="M1" s="35" t="s">
        <v>5</v>
      </c>
      <c r="N1" s="35"/>
      <c r="O1" s="35"/>
      <c r="P1" s="31" t="s">
        <v>6</v>
      </c>
      <c r="Q1" s="33" t="s">
        <v>7</v>
      </c>
    </row>
    <row r="2" spans="1:17" s="11" customFormat="1" ht="28.8">
      <c r="A2" s="37"/>
      <c r="B2" s="32"/>
      <c r="C2" s="20" t="s">
        <v>8</v>
      </c>
      <c r="D2" s="21" t="s">
        <v>9</v>
      </c>
      <c r="E2" s="21" t="s">
        <v>10</v>
      </c>
      <c r="F2" s="21" t="s">
        <v>11</v>
      </c>
      <c r="G2" s="21" t="s">
        <v>12</v>
      </c>
      <c r="H2" s="21" t="s">
        <v>13</v>
      </c>
      <c r="I2" s="21" t="s">
        <v>14</v>
      </c>
      <c r="J2" s="21" t="s">
        <v>15</v>
      </c>
      <c r="K2" s="28" t="s">
        <v>16</v>
      </c>
      <c r="L2" s="21" t="s">
        <v>17</v>
      </c>
      <c r="M2" s="21" t="s">
        <v>18</v>
      </c>
      <c r="N2" s="21" t="s">
        <v>19</v>
      </c>
      <c r="O2" s="21" t="s">
        <v>20</v>
      </c>
      <c r="P2" s="32"/>
      <c r="Q2" s="34"/>
    </row>
    <row r="3" spans="1:17" ht="16.2">
      <c r="A3" s="22">
        <v>1</v>
      </c>
      <c r="B3" s="21" t="s">
        <v>21</v>
      </c>
      <c r="C3" s="23"/>
      <c r="D3" s="23">
        <v>32</v>
      </c>
      <c r="E3" s="23" t="s">
        <v>22</v>
      </c>
      <c r="F3" s="23">
        <v>8</v>
      </c>
      <c r="G3" s="23" t="s">
        <v>22</v>
      </c>
      <c r="H3" s="23" t="s">
        <v>22</v>
      </c>
      <c r="I3" s="23" t="s">
        <v>22</v>
      </c>
      <c r="J3" s="23">
        <v>230</v>
      </c>
      <c r="K3" s="23">
        <f>(20*D3)+(30*4)</f>
        <v>760</v>
      </c>
      <c r="L3" s="23">
        <f>K3/J3</f>
        <v>3.3043478260869601</v>
      </c>
      <c r="M3" s="23">
        <v>1</v>
      </c>
      <c r="N3" s="23">
        <v>15</v>
      </c>
      <c r="O3" s="23">
        <v>100</v>
      </c>
      <c r="P3" s="23" t="s">
        <v>23</v>
      </c>
      <c r="Q3" s="29" t="s">
        <v>24</v>
      </c>
    </row>
    <row r="4" spans="1:17" ht="16.2">
      <c r="A4" s="22">
        <v>2</v>
      </c>
      <c r="B4" s="21" t="s">
        <v>21</v>
      </c>
      <c r="C4" s="23"/>
      <c r="D4" s="23">
        <v>40</v>
      </c>
      <c r="E4" s="23">
        <v>4</v>
      </c>
      <c r="F4" s="23">
        <v>3</v>
      </c>
      <c r="G4" s="23" t="s">
        <v>22</v>
      </c>
      <c r="H4" s="23" t="s">
        <v>22</v>
      </c>
      <c r="I4" s="23" t="s">
        <v>22</v>
      </c>
      <c r="J4" s="23">
        <v>230</v>
      </c>
      <c r="K4" s="23">
        <f>20*D4</f>
        <v>800</v>
      </c>
      <c r="L4" s="23">
        <f>K4/J4</f>
        <v>3.47826086956522</v>
      </c>
      <c r="M4" s="23">
        <v>1</v>
      </c>
      <c r="N4" s="23">
        <v>15</v>
      </c>
      <c r="O4" s="23">
        <v>100</v>
      </c>
      <c r="P4" s="23" t="s">
        <v>23</v>
      </c>
      <c r="Q4" s="29" t="s">
        <v>24</v>
      </c>
    </row>
    <row r="5" spans="1:17" ht="16.2">
      <c r="A5" s="22">
        <v>3</v>
      </c>
      <c r="B5" s="21" t="s">
        <v>25</v>
      </c>
      <c r="C5" s="23">
        <v>10</v>
      </c>
      <c r="D5" s="23"/>
      <c r="E5" s="23" t="s">
        <v>22</v>
      </c>
      <c r="F5" s="23" t="s">
        <v>22</v>
      </c>
      <c r="G5" s="23" t="s">
        <v>22</v>
      </c>
      <c r="H5" s="23" t="s">
        <v>22</v>
      </c>
      <c r="I5" s="23" t="s">
        <v>22</v>
      </c>
      <c r="J5" s="23">
        <v>230</v>
      </c>
      <c r="K5" s="23">
        <f>180*C5</f>
        <v>1800</v>
      </c>
      <c r="L5" s="23">
        <f t="shared" ref="L5:L10" si="0">K5/J5</f>
        <v>7.8260869565217401</v>
      </c>
      <c r="M5" s="23">
        <v>1</v>
      </c>
      <c r="N5" s="23">
        <v>15</v>
      </c>
      <c r="O5" s="23">
        <v>100</v>
      </c>
      <c r="P5" s="23" t="s">
        <v>23</v>
      </c>
      <c r="Q5" s="29" t="s">
        <v>26</v>
      </c>
    </row>
    <row r="6" spans="1:17" ht="16.2">
      <c r="A6" s="22">
        <v>4</v>
      </c>
      <c r="B6" s="21" t="s">
        <v>27</v>
      </c>
      <c r="C6" s="23">
        <v>10</v>
      </c>
      <c r="D6" s="23"/>
      <c r="E6" s="23" t="s">
        <v>22</v>
      </c>
      <c r="F6" s="23" t="s">
        <v>22</v>
      </c>
      <c r="G6" s="23" t="s">
        <v>22</v>
      </c>
      <c r="H6" s="23" t="s">
        <v>22</v>
      </c>
      <c r="I6" s="23" t="s">
        <v>22</v>
      </c>
      <c r="J6" s="23">
        <v>230</v>
      </c>
      <c r="K6" s="23">
        <f>180*C6</f>
        <v>1800</v>
      </c>
      <c r="L6" s="23">
        <f t="shared" si="0"/>
        <v>7.8260869565217401</v>
      </c>
      <c r="M6" s="23">
        <v>1</v>
      </c>
      <c r="N6" s="23">
        <v>15</v>
      </c>
      <c r="O6" s="23">
        <v>100</v>
      </c>
      <c r="P6" s="23" t="s">
        <v>23</v>
      </c>
      <c r="Q6" s="29" t="s">
        <v>24</v>
      </c>
    </row>
    <row r="7" spans="1:17" ht="16.2">
      <c r="A7" s="22">
        <v>5</v>
      </c>
      <c r="B7" s="21" t="s">
        <v>28</v>
      </c>
      <c r="C7" s="23">
        <v>5</v>
      </c>
      <c r="D7" s="23"/>
      <c r="E7" s="23" t="s">
        <v>22</v>
      </c>
      <c r="F7" s="23" t="s">
        <v>22</v>
      </c>
      <c r="G7" s="23" t="s">
        <v>22</v>
      </c>
      <c r="H7" s="23" t="s">
        <v>22</v>
      </c>
      <c r="I7" s="23" t="s">
        <v>22</v>
      </c>
      <c r="J7" s="23">
        <v>230</v>
      </c>
      <c r="K7" s="23">
        <f>180*C7</f>
        <v>900</v>
      </c>
      <c r="L7" s="23">
        <f t="shared" si="0"/>
        <v>3.9130434782608701</v>
      </c>
      <c r="M7" s="23">
        <v>1</v>
      </c>
      <c r="N7" s="23">
        <v>15</v>
      </c>
      <c r="O7" s="23">
        <v>100</v>
      </c>
      <c r="P7" s="23" t="s">
        <v>23</v>
      </c>
      <c r="Q7" s="29" t="s">
        <v>26</v>
      </c>
    </row>
    <row r="8" spans="1:17" ht="16.2">
      <c r="A8" s="22">
        <v>6</v>
      </c>
      <c r="B8" s="21" t="s">
        <v>29</v>
      </c>
      <c r="C8" s="23">
        <v>10</v>
      </c>
      <c r="D8" s="23"/>
      <c r="E8" s="23" t="s">
        <v>22</v>
      </c>
      <c r="F8" s="23" t="s">
        <v>22</v>
      </c>
      <c r="G8" s="23" t="s">
        <v>22</v>
      </c>
      <c r="H8" s="23" t="s">
        <v>22</v>
      </c>
      <c r="I8" s="23" t="s">
        <v>22</v>
      </c>
      <c r="J8" s="23">
        <v>230</v>
      </c>
      <c r="K8" s="23">
        <f>180*C8</f>
        <v>1800</v>
      </c>
      <c r="L8" s="23">
        <f t="shared" si="0"/>
        <v>7.8260869565217401</v>
      </c>
      <c r="M8" s="23">
        <v>1</v>
      </c>
      <c r="N8" s="23">
        <v>15</v>
      </c>
      <c r="O8" s="23">
        <v>100</v>
      </c>
      <c r="P8" s="23" t="s">
        <v>23</v>
      </c>
      <c r="Q8" s="29" t="s">
        <v>126</v>
      </c>
    </row>
    <row r="9" spans="1:17" ht="16.2">
      <c r="A9" s="22">
        <v>7</v>
      </c>
      <c r="B9" s="21" t="s">
        <v>30</v>
      </c>
      <c r="C9" s="23">
        <v>8</v>
      </c>
      <c r="D9" s="23"/>
      <c r="E9" s="23" t="s">
        <v>22</v>
      </c>
      <c r="F9" s="23" t="s">
        <v>22</v>
      </c>
      <c r="G9" s="23" t="s">
        <v>22</v>
      </c>
      <c r="H9" s="23" t="s">
        <v>22</v>
      </c>
      <c r="I9" s="23" t="s">
        <v>22</v>
      </c>
      <c r="J9" s="23">
        <v>230</v>
      </c>
      <c r="K9" s="23">
        <f>180*C9</f>
        <v>1440</v>
      </c>
      <c r="L9" s="23">
        <f t="shared" si="0"/>
        <v>6.2608695652173898</v>
      </c>
      <c r="M9" s="23">
        <v>1</v>
      </c>
      <c r="N9" s="23">
        <v>15</v>
      </c>
      <c r="O9" s="23">
        <v>100</v>
      </c>
      <c r="P9" s="23" t="s">
        <v>31</v>
      </c>
      <c r="Q9" s="29" t="s">
        <v>26</v>
      </c>
    </row>
    <row r="10" spans="1:17" ht="16.2">
      <c r="A10" s="22">
        <v>8</v>
      </c>
      <c r="B10" s="21" t="s">
        <v>32</v>
      </c>
      <c r="C10" s="23">
        <v>1</v>
      </c>
      <c r="D10" s="23"/>
      <c r="E10" s="23" t="s">
        <v>22</v>
      </c>
      <c r="F10" s="23" t="s">
        <v>22</v>
      </c>
      <c r="G10" s="23" t="s">
        <v>22</v>
      </c>
      <c r="H10" s="23" t="s">
        <v>22</v>
      </c>
      <c r="I10" s="23" t="s">
        <v>22</v>
      </c>
      <c r="J10" s="23">
        <v>230</v>
      </c>
      <c r="K10" s="23">
        <v>3000</v>
      </c>
      <c r="L10" s="23">
        <f t="shared" si="0"/>
        <v>13.0434782608696</v>
      </c>
      <c r="M10" s="23">
        <v>1</v>
      </c>
      <c r="N10" s="23">
        <v>20</v>
      </c>
      <c r="O10" s="23">
        <v>100</v>
      </c>
      <c r="P10" s="23" t="s">
        <v>33</v>
      </c>
      <c r="Q10" s="29" t="s">
        <v>126</v>
      </c>
    </row>
    <row r="11" spans="1:17" ht="16.2">
      <c r="A11" s="22">
        <v>9</v>
      </c>
      <c r="B11" s="21" t="s">
        <v>34</v>
      </c>
      <c r="C11" s="23">
        <v>1</v>
      </c>
      <c r="D11" s="23"/>
      <c r="E11" s="23" t="s">
        <v>22</v>
      </c>
      <c r="F11" s="23" t="s">
        <v>22</v>
      </c>
      <c r="G11" s="23" t="s">
        <v>22</v>
      </c>
      <c r="H11" s="23" t="s">
        <v>22</v>
      </c>
      <c r="I11" s="23" t="s">
        <v>22</v>
      </c>
      <c r="J11" s="23">
        <v>230</v>
      </c>
      <c r="K11" s="23">
        <v>3000</v>
      </c>
      <c r="L11" s="23">
        <f t="shared" ref="L11:L16" si="1">K11/J11</f>
        <v>13.0434782608696</v>
      </c>
      <c r="M11" s="23">
        <v>1</v>
      </c>
      <c r="N11" s="23">
        <v>20</v>
      </c>
      <c r="O11" s="23">
        <v>100</v>
      </c>
      <c r="P11" s="23" t="s">
        <v>33</v>
      </c>
      <c r="Q11" s="29" t="s">
        <v>26</v>
      </c>
    </row>
    <row r="12" spans="1:17" ht="16.2">
      <c r="A12" s="22">
        <v>10</v>
      </c>
      <c r="B12" s="21" t="s">
        <v>35</v>
      </c>
      <c r="C12" s="23">
        <v>1</v>
      </c>
      <c r="D12" s="23"/>
      <c r="E12" s="23" t="s">
        <v>22</v>
      </c>
      <c r="F12" s="23" t="s">
        <v>22</v>
      </c>
      <c r="G12" s="23" t="s">
        <v>22</v>
      </c>
      <c r="H12" s="23" t="s">
        <v>22</v>
      </c>
      <c r="I12" s="23" t="s">
        <v>22</v>
      </c>
      <c r="J12" s="23">
        <v>230</v>
      </c>
      <c r="K12" s="23">
        <v>3000</v>
      </c>
      <c r="L12" s="23">
        <f t="shared" si="1"/>
        <v>13.0434782608696</v>
      </c>
      <c r="M12" s="23">
        <v>1</v>
      </c>
      <c r="N12" s="23">
        <v>20</v>
      </c>
      <c r="O12" s="23">
        <v>100</v>
      </c>
      <c r="P12" s="23" t="s">
        <v>33</v>
      </c>
      <c r="Q12" s="29" t="s">
        <v>126</v>
      </c>
    </row>
    <row r="13" spans="1:17" ht="16.2">
      <c r="A13" s="22">
        <v>11</v>
      </c>
      <c r="B13" s="21" t="s">
        <v>36</v>
      </c>
      <c r="C13" s="23">
        <v>1</v>
      </c>
      <c r="D13" s="23"/>
      <c r="E13" s="23" t="s">
        <v>22</v>
      </c>
      <c r="F13" s="23" t="s">
        <v>22</v>
      </c>
      <c r="G13" s="23" t="s">
        <v>22</v>
      </c>
      <c r="H13" s="23" t="s">
        <v>22</v>
      </c>
      <c r="I13" s="23" t="s">
        <v>22</v>
      </c>
      <c r="J13" s="23">
        <v>230</v>
      </c>
      <c r="K13" s="23">
        <v>3000</v>
      </c>
      <c r="L13" s="23">
        <f t="shared" si="1"/>
        <v>13.0434782608696</v>
      </c>
      <c r="M13" s="23">
        <v>1</v>
      </c>
      <c r="N13" s="23">
        <v>20</v>
      </c>
      <c r="O13" s="23">
        <v>100</v>
      </c>
      <c r="P13" s="23" t="s">
        <v>33</v>
      </c>
      <c r="Q13" s="29" t="s">
        <v>26</v>
      </c>
    </row>
    <row r="14" spans="1:17" ht="16.2">
      <c r="A14" s="22">
        <v>12</v>
      </c>
      <c r="B14" s="21" t="s">
        <v>37</v>
      </c>
      <c r="C14" s="23">
        <v>4</v>
      </c>
      <c r="D14" s="23"/>
      <c r="E14" s="23" t="s">
        <v>22</v>
      </c>
      <c r="F14" s="23" t="s">
        <v>22</v>
      </c>
      <c r="G14" s="23" t="s">
        <v>22</v>
      </c>
      <c r="H14" s="23" t="s">
        <v>22</v>
      </c>
      <c r="I14" s="23" t="s">
        <v>22</v>
      </c>
      <c r="J14" s="23">
        <v>230</v>
      </c>
      <c r="K14" s="23">
        <f>180*C14</f>
        <v>720</v>
      </c>
      <c r="L14" s="23">
        <f t="shared" si="1"/>
        <v>3.1304347826086998</v>
      </c>
      <c r="M14" s="23">
        <v>1</v>
      </c>
      <c r="N14" s="23">
        <v>15</v>
      </c>
      <c r="O14" s="23">
        <v>100</v>
      </c>
      <c r="P14" s="23" t="s">
        <v>23</v>
      </c>
      <c r="Q14" s="29" t="s">
        <v>126</v>
      </c>
    </row>
    <row r="15" spans="1:17" ht="16.2">
      <c r="A15" s="22">
        <v>13</v>
      </c>
      <c r="B15" s="21" t="s">
        <v>38</v>
      </c>
      <c r="C15" s="23">
        <v>4</v>
      </c>
      <c r="D15" s="23"/>
      <c r="E15" s="23" t="s">
        <v>22</v>
      </c>
      <c r="F15" s="23" t="s">
        <v>22</v>
      </c>
      <c r="G15" s="23" t="s">
        <v>22</v>
      </c>
      <c r="H15" s="23" t="s">
        <v>22</v>
      </c>
      <c r="I15" s="23" t="s">
        <v>22</v>
      </c>
      <c r="J15" s="23">
        <v>230</v>
      </c>
      <c r="K15" s="23">
        <v>1500</v>
      </c>
      <c r="L15" s="23">
        <f t="shared" si="1"/>
        <v>6.5217391304347796</v>
      </c>
      <c r="M15" s="23">
        <v>1</v>
      </c>
      <c r="N15" s="23">
        <v>15</v>
      </c>
      <c r="O15" s="23">
        <v>100</v>
      </c>
      <c r="P15" s="23" t="s">
        <v>31</v>
      </c>
      <c r="Q15" s="29" t="s">
        <v>26</v>
      </c>
    </row>
    <row r="16" spans="1:17" ht="16.2">
      <c r="A16" s="22">
        <v>14</v>
      </c>
      <c r="B16" s="21" t="s">
        <v>39</v>
      </c>
      <c r="C16" s="23">
        <v>6</v>
      </c>
      <c r="D16" s="23"/>
      <c r="E16" s="23" t="s">
        <v>22</v>
      </c>
      <c r="F16" s="23" t="s">
        <v>22</v>
      </c>
      <c r="G16" s="23" t="s">
        <v>22</v>
      </c>
      <c r="H16" s="23" t="s">
        <v>22</v>
      </c>
      <c r="I16" s="23" t="s">
        <v>22</v>
      </c>
      <c r="J16" s="23">
        <v>230</v>
      </c>
      <c r="K16" s="23">
        <v>1500</v>
      </c>
      <c r="L16" s="23">
        <f t="shared" si="1"/>
        <v>6.5217391304347796</v>
      </c>
      <c r="M16" s="23">
        <v>1</v>
      </c>
      <c r="N16" s="23">
        <v>15</v>
      </c>
      <c r="O16" s="23">
        <v>100</v>
      </c>
      <c r="P16" s="23" t="s">
        <v>23</v>
      </c>
      <c r="Q16" s="29" t="s">
        <v>24</v>
      </c>
    </row>
    <row r="17" spans="1:17" ht="16.2">
      <c r="A17" s="22">
        <v>15</v>
      </c>
      <c r="B17" s="21" t="s">
        <v>40</v>
      </c>
      <c r="C17" s="23">
        <v>1</v>
      </c>
      <c r="D17" s="23"/>
      <c r="E17" s="23" t="s">
        <v>22</v>
      </c>
      <c r="F17" s="23" t="s">
        <v>22</v>
      </c>
      <c r="G17" s="23" t="s">
        <v>22</v>
      </c>
      <c r="H17" s="23" t="s">
        <v>22</v>
      </c>
      <c r="I17" s="23">
        <v>2</v>
      </c>
      <c r="J17" s="23">
        <v>230</v>
      </c>
      <c r="K17" s="23">
        <f>J17*L17</f>
        <v>2760</v>
      </c>
      <c r="L17" s="23">
        <v>12</v>
      </c>
      <c r="M17" s="23">
        <v>1</v>
      </c>
      <c r="N17" s="23">
        <v>25</v>
      </c>
      <c r="O17" s="23">
        <v>100</v>
      </c>
      <c r="P17" s="23" t="s">
        <v>23</v>
      </c>
      <c r="Q17" s="29" t="s">
        <v>26</v>
      </c>
    </row>
    <row r="18" spans="1:17" ht="16.2">
      <c r="A18" s="22">
        <v>16</v>
      </c>
      <c r="B18" s="21" t="s">
        <v>41</v>
      </c>
      <c r="C18" s="23">
        <v>1</v>
      </c>
      <c r="D18" s="23"/>
      <c r="E18" s="23" t="s">
        <v>22</v>
      </c>
      <c r="F18" s="23" t="s">
        <v>22</v>
      </c>
      <c r="G18" s="23" t="s">
        <v>22</v>
      </c>
      <c r="H18" s="23" t="s">
        <v>22</v>
      </c>
      <c r="I18" s="23">
        <v>1.5</v>
      </c>
      <c r="J18" s="23">
        <v>230</v>
      </c>
      <c r="K18" s="23">
        <f t="shared" ref="K18:K20" si="2">J18*L18</f>
        <v>2300</v>
      </c>
      <c r="L18" s="23">
        <v>10</v>
      </c>
      <c r="M18" s="23">
        <v>1</v>
      </c>
      <c r="N18" s="23">
        <v>20</v>
      </c>
      <c r="O18" s="23">
        <v>100</v>
      </c>
      <c r="P18" s="23" t="s">
        <v>23</v>
      </c>
      <c r="Q18" s="29" t="s">
        <v>24</v>
      </c>
    </row>
    <row r="19" spans="1:17" ht="16.2">
      <c r="A19" s="22">
        <v>17</v>
      </c>
      <c r="B19" s="21" t="s">
        <v>42</v>
      </c>
      <c r="C19" s="23">
        <v>1</v>
      </c>
      <c r="D19" s="23"/>
      <c r="E19" s="23" t="s">
        <v>22</v>
      </c>
      <c r="F19" s="23" t="s">
        <v>22</v>
      </c>
      <c r="G19" s="23" t="s">
        <v>22</v>
      </c>
      <c r="H19" s="23" t="s">
        <v>22</v>
      </c>
      <c r="I19" s="23">
        <v>1.5</v>
      </c>
      <c r="J19" s="23">
        <v>230</v>
      </c>
      <c r="K19" s="23">
        <f t="shared" si="2"/>
        <v>2300</v>
      </c>
      <c r="L19" s="23">
        <v>10</v>
      </c>
      <c r="M19" s="23">
        <v>1</v>
      </c>
      <c r="N19" s="23">
        <v>20</v>
      </c>
      <c r="O19" s="23">
        <v>100</v>
      </c>
      <c r="P19" s="23" t="s">
        <v>23</v>
      </c>
      <c r="Q19" s="29" t="s">
        <v>26</v>
      </c>
    </row>
    <row r="20" spans="1:17" ht="16.2">
      <c r="A20" s="22">
        <v>18</v>
      </c>
      <c r="B20" s="21" t="s">
        <v>43</v>
      </c>
      <c r="C20" s="23">
        <v>1</v>
      </c>
      <c r="D20" s="23"/>
      <c r="E20" s="23" t="s">
        <v>22</v>
      </c>
      <c r="F20" s="23" t="s">
        <v>22</v>
      </c>
      <c r="G20" s="23" t="s">
        <v>22</v>
      </c>
      <c r="H20" s="23" t="s">
        <v>22</v>
      </c>
      <c r="I20" s="23">
        <v>1.5</v>
      </c>
      <c r="J20" s="23">
        <v>230</v>
      </c>
      <c r="K20" s="23">
        <f t="shared" si="2"/>
        <v>2300</v>
      </c>
      <c r="L20" s="23">
        <v>10</v>
      </c>
      <c r="M20" s="23">
        <v>1</v>
      </c>
      <c r="N20" s="23">
        <v>20</v>
      </c>
      <c r="O20" s="23">
        <v>100</v>
      </c>
      <c r="P20" s="23" t="s">
        <v>23</v>
      </c>
      <c r="Q20" s="29" t="s">
        <v>24</v>
      </c>
    </row>
    <row r="21" spans="1:17" ht="16.2">
      <c r="A21" s="24">
        <v>19</v>
      </c>
      <c r="B21" s="25" t="s">
        <v>44</v>
      </c>
      <c r="C21" s="26">
        <v>1</v>
      </c>
      <c r="D21" s="26"/>
      <c r="E21" s="26" t="s">
        <v>22</v>
      </c>
      <c r="F21" s="26" t="s">
        <v>22</v>
      </c>
      <c r="G21" s="26" t="s">
        <v>22</v>
      </c>
      <c r="H21" s="26" t="s">
        <v>22</v>
      </c>
      <c r="I21" s="26">
        <v>2</v>
      </c>
      <c r="J21" s="26">
        <v>230</v>
      </c>
      <c r="K21" s="26">
        <v>2760</v>
      </c>
      <c r="L21" s="26">
        <v>12</v>
      </c>
      <c r="M21" s="26">
        <v>1</v>
      </c>
      <c r="N21" s="26">
        <v>15</v>
      </c>
      <c r="O21" s="26">
        <v>100</v>
      </c>
      <c r="P21" s="26" t="s">
        <v>31</v>
      </c>
      <c r="Q21" s="30" t="s">
        <v>24</v>
      </c>
    </row>
    <row r="23" spans="1:17">
      <c r="A23" s="27"/>
    </row>
    <row r="24" spans="1:17" ht="16.2">
      <c r="B24" s="11" t="s">
        <v>45</v>
      </c>
      <c r="J24">
        <v>230</v>
      </c>
      <c r="K24">
        <v>37500</v>
      </c>
      <c r="L24">
        <f>K24/J24</f>
        <v>163.04347826086999</v>
      </c>
      <c r="M24">
        <v>1</v>
      </c>
      <c r="N24">
        <v>175</v>
      </c>
      <c r="O24">
        <v>100</v>
      </c>
      <c r="P24" t="s">
        <v>46</v>
      </c>
    </row>
    <row r="25" spans="1:17" ht="16.2">
      <c r="B25" s="11" t="s">
        <v>47</v>
      </c>
      <c r="J25">
        <v>230</v>
      </c>
      <c r="K25">
        <v>50000</v>
      </c>
      <c r="L25">
        <f>K25/J25</f>
        <v>217.39130434782601</v>
      </c>
      <c r="M25">
        <v>1</v>
      </c>
      <c r="N25">
        <v>225</v>
      </c>
      <c r="O25">
        <v>100</v>
      </c>
      <c r="P25" t="s">
        <v>46</v>
      </c>
    </row>
  </sheetData>
  <mergeCells count="8">
    <mergeCell ref="A1:A2"/>
    <mergeCell ref="B1:B2"/>
    <mergeCell ref="P1:P2"/>
    <mergeCell ref="Q1:Q2"/>
    <mergeCell ref="C1:D1"/>
    <mergeCell ref="E1:H1"/>
    <mergeCell ref="I1:L1"/>
    <mergeCell ref="M1:O1"/>
  </mergeCells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6"/>
  <sheetViews>
    <sheetView showGridLines="0" zoomScale="87" zoomScaleNormal="87" workbookViewId="0">
      <selection activeCell="P11" sqref="P11"/>
    </sheetView>
  </sheetViews>
  <sheetFormatPr defaultColWidth="9" defaultRowHeight="14.4"/>
  <cols>
    <col min="1" max="1" width="20" style="1" customWidth="1"/>
    <col min="2" max="2" width="13.109375" customWidth="1"/>
    <col min="3" max="3" width="3.33203125" style="2" customWidth="1"/>
    <col min="4" max="4" width="22.77734375" style="1" customWidth="1"/>
    <col min="5" max="5" width="6" customWidth="1"/>
    <col min="6" max="6" width="3.33203125" style="2" customWidth="1"/>
    <col min="7" max="7" width="2.88671875" customWidth="1"/>
    <col min="8" max="8" width="11" customWidth="1"/>
    <col min="9" max="9" width="8.88671875"/>
    <col min="10" max="10" width="2" customWidth="1"/>
    <col min="11" max="11" width="8.88671875"/>
    <col min="12" max="12" width="2.21875" customWidth="1"/>
    <col min="13" max="16" width="8.88671875"/>
    <col min="17" max="17" width="11.6640625" customWidth="1"/>
    <col min="18" max="19" width="8.88671875"/>
  </cols>
  <sheetData>
    <row r="2" spans="1:19">
      <c r="A2" s="41" t="s">
        <v>48</v>
      </c>
      <c r="B2" s="42"/>
      <c r="C2" s="43"/>
      <c r="D2" s="7" t="s">
        <v>49</v>
      </c>
      <c r="E2" s="11"/>
      <c r="G2" s="39" t="s">
        <v>50</v>
      </c>
      <c r="H2" s="39"/>
      <c r="I2" s="39"/>
      <c r="J2" s="39"/>
      <c r="K2" s="39"/>
    </row>
    <row r="4" spans="1:19">
      <c r="A4" s="1" t="s">
        <v>51</v>
      </c>
      <c r="B4">
        <f>SUM('Schedule of loads'!K3:K4)</f>
        <v>1560</v>
      </c>
      <c r="C4" s="2" t="s">
        <v>52</v>
      </c>
      <c r="D4" s="1" t="s">
        <v>53</v>
      </c>
      <c r="E4">
        <f>3000</f>
        <v>3000</v>
      </c>
      <c r="F4" s="2" t="s">
        <v>52</v>
      </c>
      <c r="G4" s="15" t="s">
        <v>54</v>
      </c>
      <c r="H4" t="str">
        <f>"1.25("&amp;E9&amp;")"</f>
        <v>1.25(2760)</v>
      </c>
      <c r="I4" t="str">
        <f>"+ "&amp;(SUM(E4:E11)-E9)</f>
        <v>+ 28167</v>
      </c>
      <c r="J4" t="str">
        <f>"="</f>
        <v>=</v>
      </c>
      <c r="K4">
        <f>((1.25*(E9))+(E13-E9))/230</f>
        <v>137.46521739130401</v>
      </c>
      <c r="L4" t="s">
        <v>55</v>
      </c>
    </row>
    <row r="5" spans="1:19" ht="16.2">
      <c r="A5" s="1" t="s">
        <v>56</v>
      </c>
      <c r="B5">
        <f>'Schedule of loads'!K5</f>
        <v>1800</v>
      </c>
      <c r="C5" s="2" t="s">
        <v>52</v>
      </c>
      <c r="D5" s="1" t="s">
        <v>57</v>
      </c>
      <c r="E5">
        <f>(B21-E4)*0.35</f>
        <v>3507</v>
      </c>
      <c r="F5" s="2" t="s">
        <v>52</v>
      </c>
      <c r="H5" s="40">
        <v>230</v>
      </c>
      <c r="I5" s="40"/>
      <c r="L5" s="17" t="s">
        <v>58</v>
      </c>
      <c r="M5" s="45" t="s">
        <v>59</v>
      </c>
      <c r="N5" s="45"/>
      <c r="O5" s="45"/>
      <c r="P5" s="45"/>
      <c r="Q5" s="45"/>
      <c r="R5" s="18"/>
      <c r="S5" s="19"/>
    </row>
    <row r="6" spans="1:19" ht="16.2">
      <c r="A6" s="1" t="s">
        <v>60</v>
      </c>
      <c r="B6">
        <f>'Schedule of loads'!K6</f>
        <v>1800</v>
      </c>
      <c r="C6" s="2" t="s">
        <v>52</v>
      </c>
      <c r="M6" s="46" t="s">
        <v>61</v>
      </c>
      <c r="N6" s="46"/>
      <c r="O6" s="46"/>
      <c r="P6" s="46"/>
      <c r="Q6" s="45"/>
      <c r="R6" s="11"/>
      <c r="S6" s="19"/>
    </row>
    <row r="7" spans="1:19" ht="16.2">
      <c r="A7" s="1" t="s">
        <v>62</v>
      </c>
      <c r="B7">
        <f>'Schedule of loads'!K7</f>
        <v>900</v>
      </c>
      <c r="C7" s="2" t="s">
        <v>52</v>
      </c>
      <c r="D7" s="1" t="s">
        <v>63</v>
      </c>
      <c r="M7" s="46" t="s">
        <v>64</v>
      </c>
      <c r="N7" s="46"/>
      <c r="O7" s="46"/>
      <c r="P7" s="46"/>
      <c r="Q7" s="46"/>
      <c r="R7" s="11"/>
    </row>
    <row r="8" spans="1:19">
      <c r="A8" s="1" t="s">
        <v>65</v>
      </c>
      <c r="B8">
        <f>'Schedule of loads'!K8</f>
        <v>1800</v>
      </c>
      <c r="C8" s="2" t="s">
        <v>52</v>
      </c>
      <c r="D8" s="1" t="s">
        <v>66</v>
      </c>
      <c r="E8">
        <f>SUM('Schedule of loads'!K10:K13)</f>
        <v>12000</v>
      </c>
      <c r="F8" s="2" t="s">
        <v>52</v>
      </c>
      <c r="G8" s="39" t="s">
        <v>67</v>
      </c>
      <c r="H8" s="39"/>
      <c r="I8" s="39"/>
      <c r="J8" s="39"/>
      <c r="K8" s="39"/>
    </row>
    <row r="9" spans="1:19">
      <c r="A9" s="1" t="s">
        <v>68</v>
      </c>
      <c r="B9">
        <f>'Schedule of loads'!K9</f>
        <v>1440</v>
      </c>
      <c r="C9" s="2" t="s">
        <v>52</v>
      </c>
      <c r="D9" s="1" t="s">
        <v>69</v>
      </c>
      <c r="E9">
        <f>'Schedule of loads'!K17</f>
        <v>2760</v>
      </c>
      <c r="F9" s="2" t="s">
        <v>52</v>
      </c>
    </row>
    <row r="10" spans="1:19">
      <c r="A10" s="1" t="s">
        <v>37</v>
      </c>
      <c r="B10">
        <f>'Schedule of loads'!K14</f>
        <v>720</v>
      </c>
      <c r="C10" s="2" t="s">
        <v>52</v>
      </c>
      <c r="D10" s="1" t="s">
        <v>70</v>
      </c>
      <c r="E10">
        <f>SUM('Schedule of loads'!K18:K20)</f>
        <v>6900</v>
      </c>
      <c r="F10" s="2" t="s">
        <v>52</v>
      </c>
      <c r="G10" s="15" t="s">
        <v>54</v>
      </c>
      <c r="H10" t="str">
        <f>"2.5("&amp;E9&amp;")"</f>
        <v>2.5(2760)</v>
      </c>
      <c r="I10" t="str">
        <f>"+ "&amp;(SUM(E4:E11)-E9)</f>
        <v>+ 28167</v>
      </c>
      <c r="J10" t="str">
        <f>"="</f>
        <v>=</v>
      </c>
      <c r="K10">
        <f>((2.5*(E9))+E13-E9)/230</f>
        <v>152.46521739130401</v>
      </c>
      <c r="L10" t="s">
        <v>55</v>
      </c>
      <c r="M10" s="39" t="s">
        <v>71</v>
      </c>
      <c r="N10" s="39"/>
    </row>
    <row r="11" spans="1:19">
      <c r="D11" s="16" t="s">
        <v>72</v>
      </c>
      <c r="E11">
        <f>'Schedule of loads'!K21</f>
        <v>2760</v>
      </c>
      <c r="F11" s="2" t="s">
        <v>52</v>
      </c>
      <c r="H11" s="40">
        <v>230</v>
      </c>
      <c r="I11" s="40"/>
    </row>
    <row r="12" spans="1:19">
      <c r="A12" s="38" t="s">
        <v>73</v>
      </c>
      <c r="B12" s="39"/>
    </row>
    <row r="13" spans="1:19">
      <c r="D13" s="7" t="s">
        <v>74</v>
      </c>
      <c r="E13" s="11">
        <f>SUM(E4:E11)</f>
        <v>30927</v>
      </c>
      <c r="F13" s="2" t="s">
        <v>52</v>
      </c>
    </row>
    <row r="14" spans="1:19">
      <c r="A14" s="1" t="s">
        <v>38</v>
      </c>
      <c r="B14">
        <f>'Schedule of loads'!K15</f>
        <v>1500</v>
      </c>
      <c r="C14" s="2" t="s">
        <v>52</v>
      </c>
      <c r="G14" s="39" t="s">
        <v>75</v>
      </c>
      <c r="H14" s="39"/>
      <c r="I14" s="39"/>
      <c r="J14" s="39"/>
      <c r="K14" s="39"/>
    </row>
    <row r="16" spans="1:19">
      <c r="A16" s="38" t="s">
        <v>76</v>
      </c>
      <c r="B16" s="39"/>
      <c r="G16" s="39" t="s">
        <v>74</v>
      </c>
      <c r="H16" s="39"/>
      <c r="I16" s="39"/>
      <c r="J16" t="str">
        <f>"="</f>
        <v>=</v>
      </c>
      <c r="K16">
        <f>E13</f>
        <v>30927</v>
      </c>
    </row>
    <row r="18" spans="1:15">
      <c r="A18" s="1" t="s">
        <v>77</v>
      </c>
      <c r="B18">
        <f>'Schedule of loads'!K16</f>
        <v>1500</v>
      </c>
      <c r="C18" s="2" t="s">
        <v>52</v>
      </c>
      <c r="G18" s="11" t="s">
        <v>78</v>
      </c>
      <c r="H18" s="11"/>
      <c r="I18" s="11"/>
      <c r="J18" s="11"/>
      <c r="K18" s="11"/>
      <c r="L18" s="11"/>
      <c r="M18" s="11"/>
      <c r="N18" s="11"/>
      <c r="O18" s="11"/>
    </row>
    <row r="21" spans="1:15">
      <c r="A21" s="1" t="s">
        <v>79</v>
      </c>
      <c r="B21">
        <f>SUM(A4:B18)</f>
        <v>13020</v>
      </c>
      <c r="C21" s="2" t="s">
        <v>52</v>
      </c>
      <c r="G21" s="39" t="s">
        <v>80</v>
      </c>
      <c r="H21" s="39"/>
      <c r="I21" s="39"/>
      <c r="J21" s="39"/>
      <c r="K21" s="39"/>
    </row>
    <row r="23" spans="1:15">
      <c r="G23" t="s">
        <v>74</v>
      </c>
      <c r="J23" t="str">
        <f>"="</f>
        <v>=</v>
      </c>
      <c r="K23">
        <f>E13</f>
        <v>30927</v>
      </c>
    </row>
    <row r="24" spans="1:15">
      <c r="G24" s="40" t="s">
        <v>81</v>
      </c>
      <c r="H24" s="40"/>
      <c r="I24" t="s">
        <v>82</v>
      </c>
      <c r="J24" t="str">
        <f>"="</f>
        <v>=</v>
      </c>
      <c r="K24">
        <f>1.25*K23</f>
        <v>38658.75</v>
      </c>
      <c r="M24" s="5"/>
    </row>
    <row r="26" spans="1:15">
      <c r="G26" s="11" t="s">
        <v>83</v>
      </c>
      <c r="H26" s="11"/>
      <c r="I26" s="11"/>
      <c r="J26" s="11"/>
      <c r="K26" s="11"/>
      <c r="L26" s="11"/>
      <c r="M26" s="11"/>
      <c r="N26" s="11"/>
      <c r="O26" s="11"/>
    </row>
  </sheetData>
  <mergeCells count="14">
    <mergeCell ref="M10:N10"/>
    <mergeCell ref="H11:I11"/>
    <mergeCell ref="A12:B12"/>
    <mergeCell ref="G14:K14"/>
    <mergeCell ref="A2:C2"/>
    <mergeCell ref="G2:K2"/>
    <mergeCell ref="H5:I5"/>
    <mergeCell ref="M6:P6"/>
    <mergeCell ref="M7:Q7"/>
    <mergeCell ref="A16:B16"/>
    <mergeCell ref="G16:I16"/>
    <mergeCell ref="G21:K21"/>
    <mergeCell ref="G24:H24"/>
    <mergeCell ref="G8:K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showGridLines="0" topLeftCell="A2" workbookViewId="0">
      <selection activeCell="G15" sqref="G15"/>
    </sheetView>
  </sheetViews>
  <sheetFormatPr defaultColWidth="9" defaultRowHeight="14.4"/>
  <cols>
    <col min="1" max="1" width="9.109375" style="1"/>
    <col min="2" max="2" width="9.109375"/>
    <col min="3" max="3" width="4.6640625" customWidth="1"/>
    <col min="4" max="4" width="8.88671875" customWidth="1"/>
    <col min="5" max="5" width="7.5546875" customWidth="1"/>
    <col min="6" max="6" width="9.109375" style="1"/>
    <col min="7" max="7" width="9.109375"/>
    <col min="8" max="8" width="7.109375" customWidth="1"/>
    <col min="9" max="9" width="6.88671875" customWidth="1"/>
    <col min="10" max="10" width="7.77734375" style="2" customWidth="1"/>
    <col min="11" max="11" width="8.21875" customWidth="1"/>
    <col min="12" max="12" width="8.109375" customWidth="1"/>
    <col min="13" max="20" width="8.88671875"/>
  </cols>
  <sheetData>
    <row r="1" spans="1:19">
      <c r="A1" s="39" t="s">
        <v>84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3" spans="1:19">
      <c r="A3" s="38" t="s">
        <v>85</v>
      </c>
      <c r="B3" s="39"/>
      <c r="C3" s="39"/>
      <c r="F3" s="38" t="s">
        <v>86</v>
      </c>
      <c r="G3" s="39"/>
      <c r="H3" s="39"/>
      <c r="K3" s="39" t="s">
        <v>87</v>
      </c>
      <c r="L3" s="39"/>
    </row>
    <row r="4" spans="1:19">
      <c r="A4" s="7"/>
      <c r="B4" s="11"/>
      <c r="C4" s="11"/>
      <c r="F4" s="7"/>
      <c r="G4" s="11"/>
      <c r="H4" s="11"/>
    </row>
    <row r="5" spans="1:19" ht="15.6">
      <c r="A5" s="7" t="s">
        <v>88</v>
      </c>
      <c r="B5" s="11"/>
      <c r="C5" s="11"/>
      <c r="D5">
        <v>11</v>
      </c>
      <c r="E5" t="s">
        <v>89</v>
      </c>
      <c r="F5" s="7" t="s">
        <v>88</v>
      </c>
      <c r="G5" s="11"/>
      <c r="H5" s="11"/>
      <c r="I5">
        <v>24</v>
      </c>
      <c r="J5" s="2" t="s">
        <v>89</v>
      </c>
      <c r="K5" s="11" t="s">
        <v>90</v>
      </c>
      <c r="L5" s="11" t="s">
        <v>91</v>
      </c>
    </row>
    <row r="6" spans="1:19" ht="15.6">
      <c r="A6" s="38" t="s">
        <v>92</v>
      </c>
      <c r="B6" s="39"/>
      <c r="C6" s="39"/>
      <c r="D6">
        <v>0.127</v>
      </c>
      <c r="E6" t="s">
        <v>93</v>
      </c>
      <c r="F6" s="38" t="s">
        <v>94</v>
      </c>
      <c r="G6" s="39"/>
      <c r="H6" s="39"/>
      <c r="I6">
        <v>3.19</v>
      </c>
      <c r="J6" s="2" t="s">
        <v>93</v>
      </c>
      <c r="K6" s="11" t="s">
        <v>90</v>
      </c>
      <c r="L6" s="14">
        <f>B9+G9</f>
        <v>4.5352117627826098</v>
      </c>
    </row>
    <row r="7" spans="1:19" ht="15.6">
      <c r="A7" s="38" t="s">
        <v>95</v>
      </c>
      <c r="B7" s="39"/>
      <c r="C7" s="39"/>
      <c r="D7">
        <f>'Load calculation'!K4</f>
        <v>137.46521739130401</v>
      </c>
      <c r="E7" t="s">
        <v>55</v>
      </c>
      <c r="F7" s="38" t="s">
        <v>95</v>
      </c>
      <c r="G7" s="39"/>
      <c r="H7" s="39"/>
      <c r="I7" s="14">
        <f>'Schedule of loads'!L15</f>
        <v>6.5217391304347796</v>
      </c>
      <c r="J7" s="2" t="s">
        <v>55</v>
      </c>
      <c r="K7" s="11" t="s">
        <v>96</v>
      </c>
      <c r="L7" s="13">
        <f>L6/230</f>
        <v>1.97183120120983E-2</v>
      </c>
    </row>
    <row r="8" spans="1:19" ht="15.6">
      <c r="K8" s="11" t="s">
        <v>97</v>
      </c>
      <c r="L8" s="47" t="str">
        <f>IF(L7&lt;0.05,"PASSED","PICK BIGGER WIRE")</f>
        <v>PASSED</v>
      </c>
    </row>
    <row r="9" spans="1:19" ht="15.6">
      <c r="A9" s="7" t="s">
        <v>98</v>
      </c>
      <c r="B9">
        <f>(2*D5*3.28*D6*D7)/1000</f>
        <v>1.2597752410434753</v>
      </c>
      <c r="F9" s="7" t="s">
        <v>99</v>
      </c>
      <c r="G9">
        <f>(2*I5*3.28*I6*I7)/1000</f>
        <v>3.2754365217391288</v>
      </c>
    </row>
    <row r="10" spans="1:19">
      <c r="A10" s="7" t="s">
        <v>100</v>
      </c>
      <c r="B10" s="12">
        <f>(B9/230)</f>
        <v>5.4772836567107599E-3</v>
      </c>
      <c r="F10" s="7" t="s">
        <v>101</v>
      </c>
      <c r="G10" s="12">
        <f>G9/230</f>
        <v>1.42410283553875E-2</v>
      </c>
    </row>
    <row r="11" spans="1:19" ht="15.6">
      <c r="A11" s="7" t="s">
        <v>97</v>
      </c>
      <c r="B11" s="47" t="str">
        <f>IF(B10&lt;0.03,"PASSED","PICK BIGGER WIRE")</f>
        <v>PASSED</v>
      </c>
      <c r="F11" s="7" t="s">
        <v>97</v>
      </c>
      <c r="G11" s="47" t="str">
        <f>IF(G10&lt;0.03,"PASSED","PICK BIGGER WIRE")</f>
        <v>PASSED</v>
      </c>
    </row>
    <row r="12" spans="1:19" ht="15.6">
      <c r="A12" s="7" t="s">
        <v>102</v>
      </c>
      <c r="B12">
        <f>230-B9</f>
        <v>228.740224758957</v>
      </c>
      <c r="F12" s="7" t="s">
        <v>103</v>
      </c>
      <c r="G12">
        <f>B12-G9</f>
        <v>225.46478823721699</v>
      </c>
    </row>
    <row r="13" spans="1:19">
      <c r="A13" s="7"/>
    </row>
  </sheetData>
  <mergeCells count="8">
    <mergeCell ref="A7:C7"/>
    <mergeCell ref="F7:H7"/>
    <mergeCell ref="A1:S1"/>
    <mergeCell ref="A3:C3"/>
    <mergeCell ref="F3:H3"/>
    <mergeCell ref="K3:L3"/>
    <mergeCell ref="A6:C6"/>
    <mergeCell ref="F6:H6"/>
  </mergeCells>
  <conditionalFormatting sqref="B11 G11">
    <cfRule type="containsText" dxfId="1" priority="3" operator="containsText" text="PASSED">
      <formula>NOT(ISERROR(SEARCH("PASSED",B11)))</formula>
    </cfRule>
  </conditionalFormatting>
  <conditionalFormatting sqref="L7:L8">
    <cfRule type="containsText" dxfId="0" priority="1" operator="containsText" text="PASSED">
      <formula>NOT(ISERROR(SEARCH("PASSED",L7)))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showGridLines="0" tabSelected="1" zoomScale="115" zoomScaleNormal="115" workbookViewId="0">
      <selection activeCell="M19" sqref="M19"/>
    </sheetView>
  </sheetViews>
  <sheetFormatPr defaultColWidth="9" defaultRowHeight="14.4"/>
  <cols>
    <col min="1" max="1" width="11.88671875" style="1" customWidth="1"/>
    <col min="2" max="2" width="10.6640625" customWidth="1"/>
    <col min="3" max="3" width="2" customWidth="1"/>
    <col min="4" max="8" width="9.109375"/>
    <col min="9" max="9" width="3.6640625" style="2" customWidth="1"/>
    <col min="10" max="10" width="9.88671875" customWidth="1"/>
    <col min="11" max="11" width="2" customWidth="1"/>
    <col min="12" max="12" width="13.33203125" customWidth="1"/>
    <col min="13" max="13" width="12.88671875"/>
    <col min="14" max="14" width="2.21875" customWidth="1"/>
  </cols>
  <sheetData>
    <row r="1" spans="1:14">
      <c r="A1"/>
      <c r="I1"/>
    </row>
    <row r="2" spans="1:14">
      <c r="A2" s="39" t="s">
        <v>104</v>
      </c>
      <c r="B2" s="39"/>
      <c r="I2"/>
    </row>
    <row r="4" spans="1:14">
      <c r="A4" s="38" t="s">
        <v>78</v>
      </c>
      <c r="B4" s="39"/>
      <c r="C4" s="39"/>
      <c r="D4" s="39"/>
      <c r="E4" s="39"/>
      <c r="F4" s="39"/>
      <c r="G4" s="39"/>
      <c r="H4" s="39"/>
      <c r="I4" s="44"/>
      <c r="J4" s="39" t="s">
        <v>105</v>
      </c>
      <c r="K4" s="39"/>
      <c r="L4" s="39"/>
      <c r="M4" s="39"/>
      <c r="N4" s="11"/>
    </row>
    <row r="5" spans="1:14">
      <c r="A5" s="4"/>
      <c r="B5" s="3"/>
      <c r="C5" s="3"/>
      <c r="D5" s="3"/>
      <c r="E5" s="3"/>
      <c r="F5" s="3"/>
      <c r="G5" s="3"/>
      <c r="H5" s="3"/>
      <c r="I5" s="10"/>
    </row>
    <row r="6" spans="1:14">
      <c r="A6" s="4" t="s">
        <v>106</v>
      </c>
      <c r="B6" s="5">
        <v>37.5</v>
      </c>
      <c r="C6" s="3"/>
      <c r="D6" s="3"/>
      <c r="E6" s="3"/>
      <c r="F6" s="3"/>
      <c r="G6" s="3"/>
      <c r="H6" s="3"/>
      <c r="I6" s="10"/>
      <c r="J6" s="11" t="s">
        <v>107</v>
      </c>
      <c r="K6" t="s">
        <v>108</v>
      </c>
      <c r="L6">
        <f>'Voltage Drop'!D5</f>
        <v>11</v>
      </c>
    </row>
    <row r="7" spans="1:14">
      <c r="A7" s="4" t="s">
        <v>109</v>
      </c>
      <c r="B7" s="6">
        <v>1.7000000000000001E-2</v>
      </c>
      <c r="C7" s="3"/>
      <c r="D7" s="3"/>
      <c r="E7" s="3"/>
      <c r="F7" s="3"/>
      <c r="G7" s="3"/>
      <c r="H7" s="3"/>
      <c r="I7" s="10"/>
      <c r="J7" s="11" t="s">
        <v>110</v>
      </c>
      <c r="K7" t="s">
        <v>108</v>
      </c>
      <c r="L7">
        <f>D19</f>
        <v>9590.7928388746805</v>
      </c>
    </row>
    <row r="8" spans="1:14">
      <c r="A8" s="4"/>
      <c r="B8" s="3"/>
      <c r="C8" s="3"/>
      <c r="D8" s="3"/>
      <c r="E8" s="3"/>
      <c r="F8" s="3"/>
      <c r="G8" s="3"/>
      <c r="H8" s="3"/>
      <c r="I8" s="10"/>
      <c r="J8" s="11" t="s">
        <v>111</v>
      </c>
      <c r="K8" t="s">
        <v>108</v>
      </c>
      <c r="L8">
        <v>230</v>
      </c>
    </row>
    <row r="9" spans="1:14">
      <c r="A9" s="7"/>
      <c r="J9" s="11" t="s">
        <v>112</v>
      </c>
      <c r="K9" t="s">
        <v>108</v>
      </c>
      <c r="L9">
        <v>8925</v>
      </c>
    </row>
    <row r="10" spans="1:14" ht="15.6">
      <c r="A10" s="7" t="s">
        <v>113</v>
      </c>
      <c r="B10" s="8" t="s">
        <v>114</v>
      </c>
      <c r="C10" t="s">
        <v>108</v>
      </c>
      <c r="D10">
        <f>(B6*1000)/230</f>
        <v>163.04347826086999</v>
      </c>
      <c r="E10" t="s">
        <v>55</v>
      </c>
      <c r="J10" s="11" t="s">
        <v>115</v>
      </c>
      <c r="K10" t="s">
        <v>108</v>
      </c>
      <c r="L10">
        <v>1</v>
      </c>
    </row>
    <row r="11" spans="1:14">
      <c r="A11" s="7"/>
      <c r="B11" s="8">
        <v>230</v>
      </c>
    </row>
    <row r="12" spans="1:14" ht="15.6">
      <c r="A12" s="7"/>
      <c r="J12" s="11" t="s">
        <v>116</v>
      </c>
      <c r="K12" t="s">
        <v>108</v>
      </c>
      <c r="L12" s="8" t="s">
        <v>117</v>
      </c>
      <c r="M12">
        <f>(L6*3.28*L7)/(L8*L9*L10)</f>
        <v>0.16857182103353999</v>
      </c>
    </row>
    <row r="13" spans="1:14">
      <c r="A13" s="7" t="s">
        <v>118</v>
      </c>
      <c r="B13">
        <v>100</v>
      </c>
      <c r="C13" t="s">
        <v>108</v>
      </c>
      <c r="D13">
        <f>100/(B7*100)</f>
        <v>58.823529411764703</v>
      </c>
      <c r="L13" s="8" t="s">
        <v>119</v>
      </c>
    </row>
    <row r="14" spans="1:14">
      <c r="A14" s="7"/>
      <c r="B14" s="9">
        <f>B7</f>
        <v>1.7000000000000001E-2</v>
      </c>
    </row>
    <row r="15" spans="1:14">
      <c r="A15" s="7"/>
      <c r="J15" s="11" t="s">
        <v>118</v>
      </c>
      <c r="K15" t="s">
        <v>108</v>
      </c>
      <c r="L15" s="5">
        <v>1</v>
      </c>
      <c r="M15">
        <f>1/(1+M12)</f>
        <v>0.85574543387119595</v>
      </c>
    </row>
    <row r="16" spans="1:14">
      <c r="L16" s="5" t="s">
        <v>120</v>
      </c>
    </row>
    <row r="17" spans="1:14">
      <c r="A17" s="38" t="s">
        <v>121</v>
      </c>
      <c r="B17" s="39"/>
      <c r="C17" s="39"/>
      <c r="D17" s="39"/>
      <c r="E17" s="39"/>
    </row>
    <row r="18" spans="1:14" ht="15.6">
      <c r="J18" s="11" t="s">
        <v>122</v>
      </c>
      <c r="K18" t="s">
        <v>108</v>
      </c>
      <c r="L18" s="5" t="s">
        <v>123</v>
      </c>
      <c r="M18">
        <f>M15*D19</f>
        <v>8207.2771790715924</v>
      </c>
      <c r="N18" t="s">
        <v>55</v>
      </c>
    </row>
    <row r="19" spans="1:14" ht="15.6">
      <c r="A19" s="7" t="s">
        <v>124</v>
      </c>
      <c r="B19" t="s">
        <v>125</v>
      </c>
      <c r="C19" t="s">
        <v>108</v>
      </c>
      <c r="D19">
        <f>D13*D10</f>
        <v>9590.7928388747041</v>
      </c>
      <c r="E19" t="s">
        <v>55</v>
      </c>
      <c r="L19" s="5"/>
    </row>
  </sheetData>
  <mergeCells count="4">
    <mergeCell ref="A2:B2"/>
    <mergeCell ref="A4:I4"/>
    <mergeCell ref="J4:M4"/>
    <mergeCell ref="A17:E1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of loads</vt:lpstr>
      <vt:lpstr>Load calculation</vt:lpstr>
      <vt:lpstr>Voltage Drop</vt:lpstr>
      <vt:lpstr>Short Circuit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Joshua Miguel Badoria</cp:lastModifiedBy>
  <dcterms:created xsi:type="dcterms:W3CDTF">2024-09-28T11:58:00Z</dcterms:created>
  <dcterms:modified xsi:type="dcterms:W3CDTF">2025-10-10T19:11:44Z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43F5C30100D54373A7F7570F0E4A8130_12</vt:lpwstr>
  </property>
</Properties>
</file>