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4A8A269C143AD5/Desktop/CA/Financial Models/"/>
    </mc:Choice>
  </mc:AlternateContent>
  <xr:revisionPtr revIDLastSave="522" documentId="8_{4B639BD0-029B-4606-80FA-F73E0040CE39}" xr6:coauthVersionLast="47" xr6:coauthVersionMax="47" xr10:uidLastSave="{60F5D190-E56F-4400-9D04-F9B3FF140CBA}"/>
  <workbookProtection lockStructure="1"/>
  <bookViews>
    <workbookView xWindow="-110" yWindow="-110" windowWidth="19420" windowHeight="10300" tabRatio="1000" activeTab="3" xr2:uid="{9DBE3746-3BA1-48E3-982E-B48DC6725DE4}"/>
  </bookViews>
  <sheets>
    <sheet name="Cover" sheetId="34" r:id="rId1"/>
    <sheet name="Assumptions and Drivers" sheetId="35" r:id="rId2"/>
    <sheet name="Input --&gt;" sheetId="36" r:id="rId3"/>
    <sheet name="IS Assumptions" sheetId="37" r:id="rId4"/>
    <sheet name="BS Assumptions" sheetId="38" r:id="rId5"/>
    <sheet name="Working Capital" sheetId="39" r:id="rId6"/>
    <sheet name="Finance Costs" sheetId="40" r:id="rId7"/>
    <sheet name="Equity Funds" sheetId="41" r:id="rId8"/>
    <sheet name="Other Income" sheetId="42" r:id="rId9"/>
    <sheet name="PP&amp;E" sheetId="43" r:id="rId10"/>
    <sheet name="Output --&gt;" sheetId="45" r:id="rId11"/>
    <sheet name="Income Statement" sheetId="46" r:id="rId12"/>
    <sheet name="Balance Sheet" sheetId="47" r:id="rId13"/>
    <sheet name="Cash Flow" sheetId="49" r:id="rId14"/>
    <sheet name="Valuation --&gt;" sheetId="59" r:id="rId15"/>
    <sheet name="UFCF" sheetId="48" r:id="rId16"/>
    <sheet name="WACC" sheetId="44" r:id="rId17"/>
    <sheet name="DCF Valuation" sheetId="50" r:id="rId18"/>
    <sheet name="Sources --&gt;" sheetId="51" r:id="rId19"/>
    <sheet name="Income Statement Source" sheetId="52" r:id="rId20"/>
    <sheet name="Balance Sheet Source" sheetId="53" r:id="rId21"/>
    <sheet name="BS Sch III" sheetId="54" r:id="rId22"/>
    <sheet name="CFS Sch III" sheetId="55" r:id="rId2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46" l="1"/>
  <c r="E22" i="46"/>
  <c r="F22" i="46"/>
  <c r="G22" i="46"/>
  <c r="H22" i="46"/>
  <c r="C22" i="46"/>
  <c r="D40" i="47"/>
  <c r="E40" i="47"/>
  <c r="F40" i="47"/>
  <c r="G40" i="47"/>
  <c r="G42" i="47" s="1"/>
  <c r="H40" i="47"/>
  <c r="H42" i="47" s="1"/>
  <c r="D41" i="47"/>
  <c r="E41" i="47"/>
  <c r="E42" i="47" s="1"/>
  <c r="F41" i="47"/>
  <c r="F42" i="47" s="1"/>
  <c r="G41" i="47"/>
  <c r="H41" i="47"/>
  <c r="C41" i="47"/>
  <c r="C40" i="47"/>
  <c r="C35" i="47"/>
  <c r="D35" i="47"/>
  <c r="E35" i="47"/>
  <c r="F35" i="47"/>
  <c r="G35" i="47"/>
  <c r="H35" i="47"/>
  <c r="C36" i="47"/>
  <c r="C37" i="47" s="1"/>
  <c r="D36" i="47"/>
  <c r="D37" i="47" s="1"/>
  <c r="E36" i="47"/>
  <c r="E37" i="47" s="1"/>
  <c r="F36" i="47"/>
  <c r="G36" i="47"/>
  <c r="H36" i="47"/>
  <c r="D34" i="47"/>
  <c r="E34" i="47"/>
  <c r="F34" i="47"/>
  <c r="G34" i="47"/>
  <c r="H34" i="47"/>
  <c r="C34" i="47"/>
  <c r="D25" i="47"/>
  <c r="E25" i="47"/>
  <c r="F25" i="47"/>
  <c r="G25" i="47"/>
  <c r="H25" i="47"/>
  <c r="D26" i="47"/>
  <c r="E26" i="47"/>
  <c r="F26" i="47"/>
  <c r="G26" i="47"/>
  <c r="G31" i="47" s="1"/>
  <c r="H26" i="47"/>
  <c r="H31" i="47" s="1"/>
  <c r="D27" i="47"/>
  <c r="E27" i="47"/>
  <c r="E14" i="48" s="1"/>
  <c r="F27" i="47"/>
  <c r="G27" i="47"/>
  <c r="H27" i="47"/>
  <c r="D28" i="47"/>
  <c r="E28" i="47"/>
  <c r="F28" i="47"/>
  <c r="G28" i="47"/>
  <c r="H28" i="47"/>
  <c r="D29" i="47"/>
  <c r="E29" i="47"/>
  <c r="E15" i="48" s="1"/>
  <c r="F29" i="47"/>
  <c r="F31" i="47" s="1"/>
  <c r="G29" i="47"/>
  <c r="H15" i="48" s="1"/>
  <c r="H29" i="47"/>
  <c r="D30" i="47"/>
  <c r="E30" i="47"/>
  <c r="F30" i="47"/>
  <c r="G30" i="47"/>
  <c r="H30" i="47"/>
  <c r="C26" i="47"/>
  <c r="C27" i="47"/>
  <c r="C28" i="47"/>
  <c r="C31" i="47" s="1"/>
  <c r="C29" i="47"/>
  <c r="C30" i="47"/>
  <c r="C25" i="47"/>
  <c r="D15" i="47"/>
  <c r="E15" i="47"/>
  <c r="F15" i="47"/>
  <c r="G15" i="47"/>
  <c r="H15" i="47"/>
  <c r="D16" i="47"/>
  <c r="E16" i="47"/>
  <c r="F16" i="47"/>
  <c r="F20" i="47" s="1"/>
  <c r="G16" i="47"/>
  <c r="H16" i="47"/>
  <c r="D17" i="47"/>
  <c r="D20" i="47" s="1"/>
  <c r="E17" i="47"/>
  <c r="E20" i="47" s="1"/>
  <c r="F17" i="47"/>
  <c r="G17" i="47"/>
  <c r="H17" i="47"/>
  <c r="D18" i="47"/>
  <c r="E18" i="47"/>
  <c r="F18" i="47"/>
  <c r="G18" i="47"/>
  <c r="H18" i="47"/>
  <c r="D19" i="47"/>
  <c r="E19" i="47"/>
  <c r="F19" i="47"/>
  <c r="G19" i="47"/>
  <c r="H19" i="47"/>
  <c r="C16" i="47"/>
  <c r="C17" i="47"/>
  <c r="C18" i="47"/>
  <c r="C19" i="47"/>
  <c r="C15" i="47"/>
  <c r="C11" i="47"/>
  <c r="C10" i="47"/>
  <c r="C9" i="47"/>
  <c r="C8" i="47"/>
  <c r="C7" i="47"/>
  <c r="D11" i="48" s="1"/>
  <c r="D6" i="47"/>
  <c r="E6" i="47"/>
  <c r="F6" i="47"/>
  <c r="G6" i="47"/>
  <c r="H6" i="47"/>
  <c r="C6" i="47"/>
  <c r="J11" i="39"/>
  <c r="K11" i="39"/>
  <c r="L11" i="39"/>
  <c r="M11" i="39"/>
  <c r="J12" i="39"/>
  <c r="J14" i="39" s="1"/>
  <c r="K12" i="39"/>
  <c r="K14" i="39" s="1"/>
  <c r="L12" i="39"/>
  <c r="L14" i="39" s="1"/>
  <c r="M12" i="39"/>
  <c r="M14" i="39" s="1"/>
  <c r="J13" i="39"/>
  <c r="K13" i="39"/>
  <c r="L13" i="39"/>
  <c r="M13" i="39"/>
  <c r="E11" i="39"/>
  <c r="F11" i="39"/>
  <c r="G11" i="39"/>
  <c r="H11" i="39"/>
  <c r="E12" i="39"/>
  <c r="E14" i="39" s="1"/>
  <c r="F12" i="39"/>
  <c r="F14" i="39" s="1"/>
  <c r="G12" i="39"/>
  <c r="G14" i="39" s="1"/>
  <c r="H12" i="39"/>
  <c r="H14" i="39" s="1"/>
  <c r="E13" i="39"/>
  <c r="F13" i="39"/>
  <c r="G13" i="39"/>
  <c r="H13" i="39"/>
  <c r="E5" i="39"/>
  <c r="F5" i="39"/>
  <c r="G5" i="39"/>
  <c r="H5" i="39"/>
  <c r="E6" i="39"/>
  <c r="E8" i="39" s="1"/>
  <c r="F6" i="39"/>
  <c r="F8" i="39" s="1"/>
  <c r="G6" i="39"/>
  <c r="H6" i="39"/>
  <c r="E7" i="39"/>
  <c r="F7" i="39"/>
  <c r="G7" i="39"/>
  <c r="H7" i="39"/>
  <c r="G8" i="39"/>
  <c r="H8" i="39"/>
  <c r="E38" i="37"/>
  <c r="E39" i="37" s="1"/>
  <c r="F38" i="37"/>
  <c r="F39" i="37" s="1"/>
  <c r="G38" i="37"/>
  <c r="G39" i="37" s="1"/>
  <c r="H38" i="37"/>
  <c r="H39" i="37" s="1"/>
  <c r="D38" i="37"/>
  <c r="D39" i="37" s="1"/>
  <c r="H12" i="44"/>
  <c r="F16" i="50"/>
  <c r="F17" i="50" s="1"/>
  <c r="F18" i="50" s="1"/>
  <c r="F19" i="50" s="1"/>
  <c r="F20" i="50" s="1"/>
  <c r="H14" i="50"/>
  <c r="I14" i="50" s="1"/>
  <c r="J14" i="50" s="1"/>
  <c r="K14" i="50" s="1"/>
  <c r="L14" i="50" s="1"/>
  <c r="D5" i="44"/>
  <c r="D19" i="50"/>
  <c r="D20" i="50"/>
  <c r="D3" i="50"/>
  <c r="J40" i="37"/>
  <c r="K40" i="37"/>
  <c r="L40" i="37"/>
  <c r="M40" i="37"/>
  <c r="J41" i="37"/>
  <c r="K41" i="37"/>
  <c r="L41" i="37"/>
  <c r="M41" i="37"/>
  <c r="J42" i="37"/>
  <c r="K42" i="37"/>
  <c r="L42" i="37"/>
  <c r="M42" i="37"/>
  <c r="E15" i="44"/>
  <c r="F15" i="44"/>
  <c r="G15" i="44"/>
  <c r="H15" i="44"/>
  <c r="D15" i="44"/>
  <c r="E16" i="44"/>
  <c r="F16" i="44"/>
  <c r="G16" i="44"/>
  <c r="H16" i="44"/>
  <c r="D16" i="44"/>
  <c r="D16" i="53"/>
  <c r="E16" i="53"/>
  <c r="F16" i="53"/>
  <c r="G16" i="53"/>
  <c r="H16" i="53"/>
  <c r="D17" i="53"/>
  <c r="E17" i="53"/>
  <c r="F17" i="53"/>
  <c r="G17" i="53"/>
  <c r="H17" i="53"/>
  <c r="C17" i="53"/>
  <c r="C16" i="53"/>
  <c r="E11" i="48"/>
  <c r="F11" i="48"/>
  <c r="G11" i="48"/>
  <c r="H11" i="48"/>
  <c r="E12" i="48"/>
  <c r="F12" i="48"/>
  <c r="G12" i="48"/>
  <c r="H12" i="48"/>
  <c r="E13" i="48"/>
  <c r="F13" i="48"/>
  <c r="G13" i="48"/>
  <c r="H13" i="48"/>
  <c r="G14" i="48"/>
  <c r="H14" i="48"/>
  <c r="G15" i="48"/>
  <c r="D61" i="54"/>
  <c r="E61" i="54"/>
  <c r="F61" i="54"/>
  <c r="G61" i="54"/>
  <c r="H61" i="54"/>
  <c r="C61" i="54"/>
  <c r="D49" i="54"/>
  <c r="E49" i="54"/>
  <c r="F49" i="54"/>
  <c r="G49" i="54"/>
  <c r="H49" i="54"/>
  <c r="D40" i="54"/>
  <c r="E40" i="54"/>
  <c r="F40" i="54"/>
  <c r="G40" i="54"/>
  <c r="H40" i="54"/>
  <c r="D23" i="50"/>
  <c r="D17" i="50"/>
  <c r="D16" i="50"/>
  <c r="I40" i="37"/>
  <c r="I42" i="37"/>
  <c r="D15" i="48"/>
  <c r="D14" i="48"/>
  <c r="D13" i="48"/>
  <c r="D12" i="48"/>
  <c r="J9" i="47"/>
  <c r="K9" i="47"/>
  <c r="L9" i="47"/>
  <c r="M9" i="47"/>
  <c r="J11" i="47"/>
  <c r="K11" i="47"/>
  <c r="L11" i="47"/>
  <c r="M11" i="47"/>
  <c r="J18" i="47"/>
  <c r="K18" i="47"/>
  <c r="L18" i="47"/>
  <c r="M18" i="47"/>
  <c r="J19" i="47"/>
  <c r="K19" i="47"/>
  <c r="L19" i="47"/>
  <c r="M19" i="47"/>
  <c r="J28" i="47"/>
  <c r="K28" i="47"/>
  <c r="L28" i="47"/>
  <c r="M28" i="47"/>
  <c r="J30" i="47"/>
  <c r="K30" i="47"/>
  <c r="L30" i="47"/>
  <c r="M30" i="47"/>
  <c r="J34" i="47"/>
  <c r="K34" i="47"/>
  <c r="L34" i="47"/>
  <c r="M34" i="47"/>
  <c r="J36" i="47"/>
  <c r="K36" i="47"/>
  <c r="L36" i="47"/>
  <c r="M36" i="47"/>
  <c r="I36" i="47"/>
  <c r="I34" i="47"/>
  <c r="I30" i="47"/>
  <c r="I28" i="47"/>
  <c r="I19" i="47"/>
  <c r="I18" i="47"/>
  <c r="I11" i="47"/>
  <c r="I9" i="47"/>
  <c r="E43" i="38"/>
  <c r="F43" i="38"/>
  <c r="G43" i="38"/>
  <c r="H43" i="38"/>
  <c r="J43" i="38" s="1"/>
  <c r="D43" i="38"/>
  <c r="E31" i="38"/>
  <c r="F31" i="38"/>
  <c r="G31" i="38"/>
  <c r="H31" i="38"/>
  <c r="D31" i="38"/>
  <c r="E11" i="38"/>
  <c r="F11" i="38"/>
  <c r="G11" i="38"/>
  <c r="H11" i="38"/>
  <c r="D11" i="38"/>
  <c r="E8" i="38"/>
  <c r="F8" i="38"/>
  <c r="G8" i="38"/>
  <c r="H8" i="38"/>
  <c r="D8" i="38"/>
  <c r="E5" i="38"/>
  <c r="F5" i="38"/>
  <c r="G5" i="38"/>
  <c r="H5" i="38"/>
  <c r="D5" i="38"/>
  <c r="D42" i="47"/>
  <c r="C42" i="47"/>
  <c r="D31" i="47"/>
  <c r="C20" i="47"/>
  <c r="H20" i="47"/>
  <c r="H11" i="47"/>
  <c r="G11" i="47"/>
  <c r="F11" i="47"/>
  <c r="E11" i="47"/>
  <c r="D11" i="47"/>
  <c r="H10" i="47"/>
  <c r="G10" i="47"/>
  <c r="F10" i="47"/>
  <c r="E10" i="47"/>
  <c r="D10" i="47"/>
  <c r="H9" i="47"/>
  <c r="G9" i="47"/>
  <c r="F9" i="47"/>
  <c r="E9" i="47"/>
  <c r="D9" i="47"/>
  <c r="H8" i="47"/>
  <c r="G8" i="47"/>
  <c r="F8" i="47"/>
  <c r="E8" i="47"/>
  <c r="D8" i="47"/>
  <c r="H7" i="47"/>
  <c r="G7" i="47"/>
  <c r="F7" i="47"/>
  <c r="E7" i="47"/>
  <c r="D7" i="47"/>
  <c r="H12" i="47"/>
  <c r="G12" i="47"/>
  <c r="F12" i="47"/>
  <c r="E12" i="47"/>
  <c r="D12" i="47"/>
  <c r="D30" i="53"/>
  <c r="E30" i="53"/>
  <c r="F30" i="53"/>
  <c r="G30" i="53"/>
  <c r="H30" i="53"/>
  <c r="C30" i="53"/>
  <c r="D28" i="53"/>
  <c r="E28" i="53"/>
  <c r="F28" i="53"/>
  <c r="G28" i="53"/>
  <c r="H28" i="53"/>
  <c r="D29" i="53"/>
  <c r="E29" i="53"/>
  <c r="F29" i="53"/>
  <c r="G29" i="53"/>
  <c r="H29" i="53"/>
  <c r="C29" i="53"/>
  <c r="D11" i="53"/>
  <c r="E11" i="53"/>
  <c r="F11" i="53"/>
  <c r="G11" i="53"/>
  <c r="H11" i="53"/>
  <c r="D10" i="53"/>
  <c r="E10" i="53"/>
  <c r="F10" i="53"/>
  <c r="G10" i="53"/>
  <c r="H10" i="53"/>
  <c r="D9" i="53"/>
  <c r="E9" i="53"/>
  <c r="F9" i="53"/>
  <c r="G9" i="53"/>
  <c r="H9" i="53"/>
  <c r="C11" i="53"/>
  <c r="C9" i="53"/>
  <c r="C28" i="53"/>
  <c r="C10" i="53"/>
  <c r="F37" i="47" l="1"/>
  <c r="H37" i="47"/>
  <c r="G37" i="47"/>
  <c r="F14" i="48"/>
  <c r="F15" i="48"/>
  <c r="E31" i="47"/>
  <c r="E21" i="47"/>
  <c r="F21" i="47"/>
  <c r="H21" i="47"/>
  <c r="G20" i="47"/>
  <c r="G21" i="47" s="1"/>
  <c r="D21" i="47"/>
  <c r="C12" i="47"/>
  <c r="C21" i="47" s="1"/>
  <c r="L39" i="37"/>
  <c r="K39" i="37"/>
  <c r="J39" i="37"/>
  <c r="M39" i="37"/>
  <c r="I43" i="38"/>
  <c r="L43" i="38"/>
  <c r="K43" i="38"/>
  <c r="M43" i="38"/>
  <c r="F43" i="47"/>
  <c r="F45" i="47" s="1"/>
  <c r="D43" i="47"/>
  <c r="D45" i="47" s="1"/>
  <c r="E43" i="47"/>
  <c r="E45" i="47" s="1"/>
  <c r="G43" i="47"/>
  <c r="C43" i="47"/>
  <c r="H43" i="47"/>
  <c r="H45" i="47" s="1"/>
  <c r="G45" i="47" l="1"/>
  <c r="C45" i="47"/>
  <c r="D9" i="44"/>
  <c r="D3" i="44"/>
  <c r="B5" i="35"/>
  <c r="C9" i="55" l="1"/>
  <c r="D9" i="55"/>
  <c r="E9" i="55"/>
  <c r="F9" i="55"/>
  <c r="G9" i="55"/>
  <c r="H9" i="55"/>
  <c r="C13" i="55"/>
  <c r="C31" i="55" s="1"/>
  <c r="D13" i="55"/>
  <c r="D31" i="55" s="1"/>
  <c r="E13" i="55"/>
  <c r="E31" i="55" s="1"/>
  <c r="F13" i="55"/>
  <c r="F31" i="55" s="1"/>
  <c r="G13" i="55"/>
  <c r="G31" i="55" s="1"/>
  <c r="H13" i="55"/>
  <c r="H31" i="55" s="1"/>
  <c r="C20" i="55"/>
  <c r="D20" i="55"/>
  <c r="E20" i="55"/>
  <c r="F20" i="55"/>
  <c r="G20" i="55"/>
  <c r="H20" i="55"/>
  <c r="C29" i="55"/>
  <c r="D29" i="55"/>
  <c r="E29" i="55"/>
  <c r="F29" i="55"/>
  <c r="G29" i="55"/>
  <c r="H29" i="55"/>
  <c r="C18" i="54"/>
  <c r="D18" i="54"/>
  <c r="E18" i="54"/>
  <c r="F18" i="54"/>
  <c r="G18" i="54"/>
  <c r="H18" i="54"/>
  <c r="C31" i="54"/>
  <c r="D31" i="54"/>
  <c r="E31" i="54"/>
  <c r="E32" i="54" s="1"/>
  <c r="F31" i="54"/>
  <c r="F32" i="54" s="1"/>
  <c r="G31" i="54"/>
  <c r="G32" i="54" s="1"/>
  <c r="H31" i="54"/>
  <c r="H32" i="54" s="1"/>
  <c r="C40" i="54"/>
  <c r="C62" i="54" s="1"/>
  <c r="D62" i="54"/>
  <c r="C49" i="54"/>
  <c r="F62" i="54"/>
  <c r="G62" i="54"/>
  <c r="H62" i="54"/>
  <c r="C6" i="53"/>
  <c r="D6" i="53"/>
  <c r="E6" i="53"/>
  <c r="F6" i="53"/>
  <c r="G6" i="53"/>
  <c r="H6" i="53"/>
  <c r="C7" i="53"/>
  <c r="D7" i="53"/>
  <c r="D5" i="39" s="1"/>
  <c r="D11" i="39" s="1"/>
  <c r="E7" i="53"/>
  <c r="F7" i="53"/>
  <c r="G7" i="53"/>
  <c r="H7" i="53"/>
  <c r="C8" i="53"/>
  <c r="D8" i="53"/>
  <c r="D6" i="39" s="1"/>
  <c r="D12" i="39" s="1"/>
  <c r="E8" i="53"/>
  <c r="F8" i="53"/>
  <c r="G8" i="53"/>
  <c r="H8" i="53"/>
  <c r="C15" i="53"/>
  <c r="D15" i="53"/>
  <c r="E15" i="53"/>
  <c r="F15" i="53"/>
  <c r="G15" i="53"/>
  <c r="H15" i="53"/>
  <c r="C18" i="53"/>
  <c r="D18" i="53"/>
  <c r="D20" i="38" s="1"/>
  <c r="E18" i="53"/>
  <c r="E20" i="38" s="1"/>
  <c r="F18" i="53"/>
  <c r="G18" i="53"/>
  <c r="G20" i="38" s="1"/>
  <c r="H18" i="53"/>
  <c r="C19" i="53"/>
  <c r="D19" i="53"/>
  <c r="E19" i="53"/>
  <c r="F19" i="53"/>
  <c r="G19" i="53"/>
  <c r="H19" i="53"/>
  <c r="C25" i="53"/>
  <c r="C7" i="40" s="1"/>
  <c r="D25" i="53"/>
  <c r="D7" i="40" s="1"/>
  <c r="E25" i="53"/>
  <c r="F25" i="53"/>
  <c r="F7" i="40" s="1"/>
  <c r="G25" i="53"/>
  <c r="G7" i="40" s="1"/>
  <c r="H25" i="53"/>
  <c r="C26" i="53"/>
  <c r="C11" i="40" s="1"/>
  <c r="D26" i="53"/>
  <c r="D28" i="38" s="1"/>
  <c r="E26" i="53"/>
  <c r="F26" i="53"/>
  <c r="G26" i="53"/>
  <c r="G28" i="38" s="1"/>
  <c r="H26" i="53"/>
  <c r="H11" i="40" s="1"/>
  <c r="C27" i="53"/>
  <c r="D27" i="53"/>
  <c r="D7" i="39" s="1"/>
  <c r="D13" i="39" s="1"/>
  <c r="E27" i="53"/>
  <c r="F27" i="53"/>
  <c r="G27" i="53"/>
  <c r="H27" i="53"/>
  <c r="C34" i="53"/>
  <c r="C8" i="40" s="1"/>
  <c r="D34" i="53"/>
  <c r="D46" i="38" s="1"/>
  <c r="E34" i="53"/>
  <c r="F34" i="53"/>
  <c r="G34" i="53"/>
  <c r="G8" i="40" s="1"/>
  <c r="H34" i="53"/>
  <c r="H8" i="40" s="1"/>
  <c r="C35" i="53"/>
  <c r="D35" i="53"/>
  <c r="E35" i="53"/>
  <c r="F35" i="53"/>
  <c r="F12" i="40" s="1"/>
  <c r="G35" i="53"/>
  <c r="G12" i="40" s="1"/>
  <c r="H35" i="53"/>
  <c r="C36" i="53"/>
  <c r="D36" i="53"/>
  <c r="D51" i="38" s="1"/>
  <c r="E36" i="53"/>
  <c r="E51" i="38" s="1"/>
  <c r="F36" i="53"/>
  <c r="F51" i="38" s="1"/>
  <c r="G36" i="53"/>
  <c r="H36" i="53"/>
  <c r="C40" i="53"/>
  <c r="D40" i="53"/>
  <c r="E40" i="53"/>
  <c r="F40" i="53"/>
  <c r="G40" i="53"/>
  <c r="H40" i="53"/>
  <c r="C41" i="53"/>
  <c r="D41" i="53"/>
  <c r="E41" i="53"/>
  <c r="F41" i="53"/>
  <c r="G41" i="53"/>
  <c r="H41" i="53"/>
  <c r="C6" i="52"/>
  <c r="D6" i="52"/>
  <c r="E6" i="52"/>
  <c r="F6" i="52"/>
  <c r="G6" i="52"/>
  <c r="H6" i="52"/>
  <c r="C10" i="52"/>
  <c r="C12" i="52" s="1"/>
  <c r="C15" i="52" s="1"/>
  <c r="C17" i="52" s="1"/>
  <c r="D10" i="52"/>
  <c r="D12" i="52" s="1"/>
  <c r="D15" i="52" s="1"/>
  <c r="D17" i="52" s="1"/>
  <c r="E10" i="52"/>
  <c r="E12" i="52" s="1"/>
  <c r="E15" i="52" s="1"/>
  <c r="E17" i="52" s="1"/>
  <c r="F10" i="52"/>
  <c r="F12" i="52" s="1"/>
  <c r="F15" i="52" s="1"/>
  <c r="F17" i="52" s="1"/>
  <c r="G10" i="52"/>
  <c r="G12" i="52" s="1"/>
  <c r="G15" i="52" s="1"/>
  <c r="G17" i="52" s="1"/>
  <c r="H10" i="52"/>
  <c r="H12" i="52" s="1"/>
  <c r="H15" i="52" s="1"/>
  <c r="H17" i="52" s="1"/>
  <c r="C7" i="49"/>
  <c r="D7" i="49"/>
  <c r="E7" i="49"/>
  <c r="F7" i="49"/>
  <c r="G7" i="49"/>
  <c r="H7" i="49"/>
  <c r="C8" i="49"/>
  <c r="C9" i="49"/>
  <c r="D9" i="49"/>
  <c r="E9" i="49"/>
  <c r="F9" i="49"/>
  <c r="G9" i="49"/>
  <c r="H9" i="49"/>
  <c r="C13" i="49"/>
  <c r="D13" i="49"/>
  <c r="E13" i="49"/>
  <c r="F13" i="49"/>
  <c r="G13" i="49"/>
  <c r="H13" i="49"/>
  <c r="C14" i="49"/>
  <c r="D14" i="49"/>
  <c r="E14" i="49"/>
  <c r="E15" i="49" s="1"/>
  <c r="F14" i="49"/>
  <c r="F15" i="49" s="1"/>
  <c r="G14" i="49"/>
  <c r="G15" i="49" s="1"/>
  <c r="H14" i="49"/>
  <c r="H15" i="49" s="1"/>
  <c r="C15" i="49"/>
  <c r="D15" i="49"/>
  <c r="C18" i="49"/>
  <c r="D18" i="49"/>
  <c r="E18" i="49"/>
  <c r="F18" i="49"/>
  <c r="F22" i="49" s="1"/>
  <c r="G18" i="49"/>
  <c r="G22" i="49" s="1"/>
  <c r="H18" i="49"/>
  <c r="C19" i="49"/>
  <c r="D19" i="49"/>
  <c r="E19" i="49"/>
  <c r="F19" i="49"/>
  <c r="G19" i="49"/>
  <c r="H19" i="49"/>
  <c r="C20" i="49"/>
  <c r="D20" i="49"/>
  <c r="E20" i="49"/>
  <c r="F20" i="49"/>
  <c r="G20" i="49"/>
  <c r="H20" i="49"/>
  <c r="C21" i="49"/>
  <c r="D21" i="49"/>
  <c r="E21" i="49"/>
  <c r="F21" i="49"/>
  <c r="G21" i="49"/>
  <c r="H21" i="49"/>
  <c r="D16" i="48"/>
  <c r="E16" i="48"/>
  <c r="F16" i="48"/>
  <c r="G16" i="48"/>
  <c r="H16" i="48"/>
  <c r="C4" i="46"/>
  <c r="D4" i="46"/>
  <c r="D6" i="46" s="1"/>
  <c r="E4" i="46"/>
  <c r="E6" i="46" s="1"/>
  <c r="E10" i="46" s="1"/>
  <c r="E12" i="46" s="1"/>
  <c r="E15" i="46" s="1"/>
  <c r="E18" i="46" s="1"/>
  <c r="E5" i="49" s="1"/>
  <c r="F4" i="46"/>
  <c r="F6" i="46" s="1"/>
  <c r="F10" i="46" s="1"/>
  <c r="F12" i="46" s="1"/>
  <c r="F15" i="46" s="1"/>
  <c r="F18" i="46" s="1"/>
  <c r="F5" i="49" s="1"/>
  <c r="G4" i="46"/>
  <c r="G6" i="46" s="1"/>
  <c r="G10" i="46" s="1"/>
  <c r="G12" i="46" s="1"/>
  <c r="G15" i="46" s="1"/>
  <c r="G18" i="46" s="1"/>
  <c r="G5" i="49" s="1"/>
  <c r="H4" i="46"/>
  <c r="C5" i="46"/>
  <c r="D5" i="46"/>
  <c r="E5" i="46"/>
  <c r="F5" i="46"/>
  <c r="G5" i="46"/>
  <c r="H5" i="46"/>
  <c r="C7" i="46"/>
  <c r="D7" i="46"/>
  <c r="E7" i="46"/>
  <c r="F7" i="46"/>
  <c r="G7" i="46"/>
  <c r="H7" i="46"/>
  <c r="C8" i="46"/>
  <c r="D8" i="46"/>
  <c r="E8" i="46"/>
  <c r="F8" i="46"/>
  <c r="G8" i="46"/>
  <c r="H8" i="46"/>
  <c r="C9" i="46"/>
  <c r="D9" i="46"/>
  <c r="E9" i="46"/>
  <c r="F9" i="46"/>
  <c r="G9" i="46"/>
  <c r="H9" i="46"/>
  <c r="C11" i="46"/>
  <c r="C6" i="49" s="1"/>
  <c r="D11" i="46"/>
  <c r="D6" i="49" s="1"/>
  <c r="E11" i="46"/>
  <c r="E6" i="49" s="1"/>
  <c r="F11" i="46"/>
  <c r="F8" i="48" s="1"/>
  <c r="G11" i="46"/>
  <c r="G8" i="48" s="1"/>
  <c r="H11" i="46"/>
  <c r="H8" i="48" s="1"/>
  <c r="C13" i="46"/>
  <c r="D13" i="46"/>
  <c r="E13" i="46"/>
  <c r="F13" i="46"/>
  <c r="G13" i="46"/>
  <c r="H13" i="46"/>
  <c r="C14" i="46"/>
  <c r="D14" i="46"/>
  <c r="D8" i="49" s="1"/>
  <c r="E14" i="46"/>
  <c r="E8" i="49" s="1"/>
  <c r="F14" i="46"/>
  <c r="F8" i="49" s="1"/>
  <c r="G14" i="46"/>
  <c r="G8" i="49" s="1"/>
  <c r="H14" i="46"/>
  <c r="H8" i="49" s="1"/>
  <c r="C16" i="46"/>
  <c r="D16" i="46"/>
  <c r="E16" i="46"/>
  <c r="F16" i="46"/>
  <c r="G16" i="46"/>
  <c r="H16" i="46"/>
  <c r="D4" i="44"/>
  <c r="D8" i="44" s="1"/>
  <c r="D6" i="44"/>
  <c r="C12" i="43"/>
  <c r="C23" i="43" s="1"/>
  <c r="C13" i="43"/>
  <c r="D13" i="43"/>
  <c r="E13" i="43"/>
  <c r="F13" i="43"/>
  <c r="G13" i="43"/>
  <c r="C14" i="43"/>
  <c r="D14" i="43"/>
  <c r="E14" i="43"/>
  <c r="F14" i="43"/>
  <c r="G14" i="43"/>
  <c r="C15" i="43"/>
  <c r="D15" i="43"/>
  <c r="E15" i="43"/>
  <c r="F15" i="43"/>
  <c r="G15" i="43"/>
  <c r="C19" i="43"/>
  <c r="D19" i="43"/>
  <c r="E19" i="43"/>
  <c r="F19" i="43"/>
  <c r="G19" i="43"/>
  <c r="C20" i="43"/>
  <c r="D20" i="43"/>
  <c r="E20" i="43"/>
  <c r="F18" i="48" s="1"/>
  <c r="F20" i="43"/>
  <c r="G18" i="48" s="1"/>
  <c r="G20" i="43"/>
  <c r="H18" i="48" s="1"/>
  <c r="C24" i="43"/>
  <c r="D24" i="43"/>
  <c r="E24" i="43"/>
  <c r="F24" i="43"/>
  <c r="G24" i="43"/>
  <c r="B32" i="43"/>
  <c r="H32" i="43"/>
  <c r="I32" i="43"/>
  <c r="J32" i="43"/>
  <c r="K32" i="43"/>
  <c r="L32" i="43"/>
  <c r="B36" i="43"/>
  <c r="H36" i="43"/>
  <c r="H28" i="43" s="1"/>
  <c r="I36" i="43"/>
  <c r="I28" i="43" s="1"/>
  <c r="J36" i="43"/>
  <c r="J28" i="43" s="1"/>
  <c r="K36" i="43"/>
  <c r="K28" i="43" s="1"/>
  <c r="L36" i="43"/>
  <c r="L28" i="43" s="1"/>
  <c r="H37" i="43"/>
  <c r="H33" i="43" s="1"/>
  <c r="I37" i="43"/>
  <c r="I29" i="43" s="1"/>
  <c r="I25" i="43" s="1"/>
  <c r="J37" i="43"/>
  <c r="J29" i="43" s="1"/>
  <c r="J25" i="43" s="1"/>
  <c r="K37" i="43"/>
  <c r="K29" i="43" s="1"/>
  <c r="K25" i="43" s="1"/>
  <c r="L37" i="43"/>
  <c r="L29" i="43" s="1"/>
  <c r="L25" i="43" s="1"/>
  <c r="B40" i="43"/>
  <c r="H40" i="43"/>
  <c r="I40" i="43"/>
  <c r="J40" i="43"/>
  <c r="K40" i="43"/>
  <c r="L40" i="43"/>
  <c r="H41" i="43"/>
  <c r="I41" i="43"/>
  <c r="J41" i="43"/>
  <c r="K41" i="43"/>
  <c r="L41" i="43"/>
  <c r="D8" i="42"/>
  <c r="E8" i="42"/>
  <c r="F8" i="42"/>
  <c r="G8" i="42"/>
  <c r="H8" i="42"/>
  <c r="I16" i="42"/>
  <c r="J16" i="42"/>
  <c r="K16" i="42"/>
  <c r="L16" i="42"/>
  <c r="M16" i="42"/>
  <c r="I19" i="42"/>
  <c r="I13" i="42" s="1"/>
  <c r="I9" i="42" s="1"/>
  <c r="J19" i="42"/>
  <c r="J13" i="42" s="1"/>
  <c r="J9" i="42" s="1"/>
  <c r="K19" i="42"/>
  <c r="K13" i="42" s="1"/>
  <c r="K9" i="42" s="1"/>
  <c r="L19" i="42"/>
  <c r="L13" i="42" s="1"/>
  <c r="L9" i="42" s="1"/>
  <c r="M19" i="42"/>
  <c r="M13" i="42" s="1"/>
  <c r="M9" i="42" s="1"/>
  <c r="I22" i="42"/>
  <c r="J22" i="42"/>
  <c r="K22" i="42"/>
  <c r="L22" i="42"/>
  <c r="M22" i="42"/>
  <c r="D5" i="41"/>
  <c r="E5" i="41"/>
  <c r="F5" i="41"/>
  <c r="G5" i="41"/>
  <c r="H5" i="41"/>
  <c r="D7" i="41"/>
  <c r="D13" i="44" s="1"/>
  <c r="D14" i="44" s="1"/>
  <c r="E7" i="41"/>
  <c r="E13" i="44" s="1"/>
  <c r="E14" i="44" s="1"/>
  <c r="F7" i="41"/>
  <c r="G7" i="41"/>
  <c r="H7" i="41"/>
  <c r="D9" i="41"/>
  <c r="E9" i="41"/>
  <c r="F9" i="41"/>
  <c r="G9" i="41"/>
  <c r="H9" i="41"/>
  <c r="D12" i="41"/>
  <c r="E12" i="41"/>
  <c r="F12" i="41"/>
  <c r="G12" i="41"/>
  <c r="H12" i="41"/>
  <c r="I9" i="41" s="1"/>
  <c r="D14" i="41"/>
  <c r="E14" i="41"/>
  <c r="F14" i="41"/>
  <c r="G14" i="41"/>
  <c r="H14" i="41"/>
  <c r="D18" i="41"/>
  <c r="E18" i="41"/>
  <c r="F18" i="41"/>
  <c r="G18" i="41"/>
  <c r="H18" i="41"/>
  <c r="I14" i="41" s="1"/>
  <c r="D22" i="41"/>
  <c r="E22" i="41"/>
  <c r="F22" i="41"/>
  <c r="G22" i="41"/>
  <c r="H22" i="41"/>
  <c r="D26" i="41"/>
  <c r="E26" i="41"/>
  <c r="F26" i="41"/>
  <c r="G26" i="41"/>
  <c r="H26" i="41"/>
  <c r="H28" i="41" s="1"/>
  <c r="J28" i="41" s="1"/>
  <c r="D27" i="41"/>
  <c r="E27" i="41"/>
  <c r="F27" i="41"/>
  <c r="F28" i="41" s="1"/>
  <c r="G27" i="41"/>
  <c r="H27" i="41"/>
  <c r="D17" i="40"/>
  <c r="E17" i="40"/>
  <c r="F17" i="40"/>
  <c r="G17" i="40"/>
  <c r="H17" i="40"/>
  <c r="I23" i="40"/>
  <c r="I18" i="40" s="1"/>
  <c r="J23" i="40"/>
  <c r="J18" i="40" s="1"/>
  <c r="M23" i="40"/>
  <c r="M18" i="40" s="1"/>
  <c r="I26" i="40"/>
  <c r="J26" i="40"/>
  <c r="K26" i="40"/>
  <c r="L26" i="40"/>
  <c r="M26" i="40"/>
  <c r="I29" i="40"/>
  <c r="J29" i="40"/>
  <c r="K29" i="40"/>
  <c r="K23" i="40" s="1"/>
  <c r="K18" i="40" s="1"/>
  <c r="L29" i="40"/>
  <c r="L23" i="40" s="1"/>
  <c r="L18" i="40" s="1"/>
  <c r="M29" i="40"/>
  <c r="I32" i="40"/>
  <c r="J32" i="40"/>
  <c r="K32" i="40"/>
  <c r="L32" i="40"/>
  <c r="M32" i="40"/>
  <c r="I8" i="38"/>
  <c r="K8" i="38"/>
  <c r="L8" i="38"/>
  <c r="M8" i="38"/>
  <c r="J11" i="38"/>
  <c r="D14" i="38"/>
  <c r="E14" i="38"/>
  <c r="F14" i="38"/>
  <c r="G14" i="38"/>
  <c r="H14" i="38"/>
  <c r="L14" i="38" s="1"/>
  <c r="L16" i="47" s="1"/>
  <c r="D17" i="38"/>
  <c r="E17" i="38"/>
  <c r="F17" i="38"/>
  <c r="G17" i="38"/>
  <c r="H17" i="38"/>
  <c r="K17" i="38" s="1"/>
  <c r="K17" i="47" s="1"/>
  <c r="D34" i="38"/>
  <c r="E34" i="38"/>
  <c r="F34" i="38"/>
  <c r="G34" i="38"/>
  <c r="H34" i="38"/>
  <c r="D37" i="38"/>
  <c r="E37" i="38"/>
  <c r="F37" i="38"/>
  <c r="G37" i="38"/>
  <c r="H37" i="38"/>
  <c r="D40" i="38"/>
  <c r="E40" i="38"/>
  <c r="F40" i="38"/>
  <c r="G40" i="38"/>
  <c r="H40" i="38"/>
  <c r="L40" i="38" s="1"/>
  <c r="D8" i="37"/>
  <c r="D6" i="38" s="1"/>
  <c r="E8" i="37"/>
  <c r="E9" i="37" s="1"/>
  <c r="F8" i="37"/>
  <c r="G8" i="37"/>
  <c r="G6" i="38" s="1"/>
  <c r="H8" i="37"/>
  <c r="D14" i="37"/>
  <c r="E14" i="37"/>
  <c r="F14" i="37"/>
  <c r="G14" i="37"/>
  <c r="H14" i="37"/>
  <c r="I16" i="37"/>
  <c r="J16" i="37"/>
  <c r="K16" i="37"/>
  <c r="L16" i="37"/>
  <c r="M16" i="37"/>
  <c r="I17" i="37"/>
  <c r="J17" i="37"/>
  <c r="K17" i="37"/>
  <c r="L17" i="37"/>
  <c r="M17" i="37"/>
  <c r="I18" i="37"/>
  <c r="J18" i="37"/>
  <c r="K18" i="37"/>
  <c r="L18" i="37"/>
  <c r="M18" i="37"/>
  <c r="D20" i="37"/>
  <c r="D21" i="37" s="1"/>
  <c r="E20" i="37"/>
  <c r="F20" i="37"/>
  <c r="G20" i="37"/>
  <c r="H20" i="37"/>
  <c r="H21" i="37" s="1"/>
  <c r="I22" i="37"/>
  <c r="J22" i="37"/>
  <c r="K22" i="37"/>
  <c r="L22" i="37"/>
  <c r="M22" i="37"/>
  <c r="I23" i="37"/>
  <c r="J23" i="37"/>
  <c r="K23" i="37"/>
  <c r="L23" i="37"/>
  <c r="M23" i="37"/>
  <c r="I24" i="37"/>
  <c r="J24" i="37"/>
  <c r="K24" i="37"/>
  <c r="L24" i="37"/>
  <c r="M24" i="37"/>
  <c r="D26" i="37"/>
  <c r="E26" i="37"/>
  <c r="F26" i="37"/>
  <c r="G26" i="37"/>
  <c r="H26" i="37"/>
  <c r="H27" i="37" s="1"/>
  <c r="I28" i="37"/>
  <c r="J28" i="37"/>
  <c r="K28" i="37"/>
  <c r="L28" i="37"/>
  <c r="M28" i="37"/>
  <c r="I29" i="37"/>
  <c r="J29" i="37"/>
  <c r="K29" i="37"/>
  <c r="L29" i="37"/>
  <c r="M29" i="37"/>
  <c r="I30" i="37"/>
  <c r="J30" i="37"/>
  <c r="K30" i="37"/>
  <c r="L30" i="37"/>
  <c r="M30" i="37"/>
  <c r="D32" i="37"/>
  <c r="E32" i="37"/>
  <c r="F32" i="37"/>
  <c r="G32" i="37"/>
  <c r="H32" i="37"/>
  <c r="I34" i="37"/>
  <c r="J34" i="37"/>
  <c r="K34" i="37"/>
  <c r="L34" i="37"/>
  <c r="M34" i="37"/>
  <c r="I35" i="37"/>
  <c r="J35" i="37"/>
  <c r="K35" i="37"/>
  <c r="L35" i="37"/>
  <c r="M35" i="37"/>
  <c r="I36" i="37"/>
  <c r="J36" i="37"/>
  <c r="K36" i="37"/>
  <c r="L36" i="37"/>
  <c r="M36" i="37"/>
  <c r="I41" i="37"/>
  <c r="I39" i="37" s="1"/>
  <c r="C21" i="43" l="1"/>
  <c r="D21" i="43"/>
  <c r="E21" i="43"/>
  <c r="D33" i="37"/>
  <c r="G21" i="37"/>
  <c r="L27" i="37"/>
  <c r="F27" i="37"/>
  <c r="E27" i="37"/>
  <c r="D35" i="38"/>
  <c r="G33" i="37"/>
  <c r="G15" i="37"/>
  <c r="D27" i="37"/>
  <c r="F33" i="37"/>
  <c r="F15" i="37"/>
  <c r="E33" i="37"/>
  <c r="E15" i="37"/>
  <c r="D15" i="37"/>
  <c r="G38" i="38"/>
  <c r="H9" i="37"/>
  <c r="E21" i="37"/>
  <c r="F9" i="37"/>
  <c r="D38" i="38"/>
  <c r="D29" i="38"/>
  <c r="F6" i="38"/>
  <c r="F38" i="38"/>
  <c r="E6" i="38"/>
  <c r="J27" i="37"/>
  <c r="F21" i="37"/>
  <c r="G9" i="37"/>
  <c r="E38" i="38"/>
  <c r="I27" i="37"/>
  <c r="H6" i="38"/>
  <c r="I6" i="38" s="1"/>
  <c r="M33" i="37"/>
  <c r="G27" i="37"/>
  <c r="F35" i="38"/>
  <c r="E35" i="38"/>
  <c r="J33" i="37"/>
  <c r="K21" i="37"/>
  <c r="I9" i="37"/>
  <c r="I8" i="37" s="1"/>
  <c r="I4" i="46" s="1"/>
  <c r="H19" i="43" s="1"/>
  <c r="H13" i="43" s="1"/>
  <c r="K33" i="37"/>
  <c r="L21" i="37"/>
  <c r="K15" i="37"/>
  <c r="J15" i="37"/>
  <c r="I33" i="37"/>
  <c r="M27" i="37"/>
  <c r="I21" i="37"/>
  <c r="H6" i="41"/>
  <c r="D17" i="41"/>
  <c r="G6" i="41"/>
  <c r="G28" i="41"/>
  <c r="F6" i="41"/>
  <c r="K14" i="38"/>
  <c r="K16" i="47" s="1"/>
  <c r="J14" i="38"/>
  <c r="J16" i="47" s="1"/>
  <c r="K40" i="38"/>
  <c r="J40" i="38"/>
  <c r="I40" i="38"/>
  <c r="I11" i="38"/>
  <c r="C37" i="53"/>
  <c r="J17" i="38"/>
  <c r="J17" i="47" s="1"/>
  <c r="I17" i="38"/>
  <c r="I17" i="47" s="1"/>
  <c r="G7" i="42"/>
  <c r="G9" i="42" s="1"/>
  <c r="G12" i="53"/>
  <c r="E7" i="42"/>
  <c r="E9" i="42" s="1"/>
  <c r="E12" i="53"/>
  <c r="C12" i="53"/>
  <c r="H7" i="42"/>
  <c r="I8" i="42" s="1"/>
  <c r="I13" i="46" s="1"/>
  <c r="H12" i="53"/>
  <c r="F7" i="42"/>
  <c r="F9" i="42" s="1"/>
  <c r="F12" i="53"/>
  <c r="D7" i="42"/>
  <c r="D9" i="42" s="1"/>
  <c r="D12" i="53"/>
  <c r="C42" i="53"/>
  <c r="D42" i="53"/>
  <c r="I14" i="38"/>
  <c r="I16" i="47" s="1"/>
  <c r="H7" i="40"/>
  <c r="J7" i="40" s="1"/>
  <c r="J25" i="47" s="1"/>
  <c r="D18" i="50"/>
  <c r="E37" i="53"/>
  <c r="H19" i="41"/>
  <c r="F64" i="54"/>
  <c r="F11" i="40"/>
  <c r="F13" i="40" s="1"/>
  <c r="E11" i="40"/>
  <c r="H13" i="44"/>
  <c r="H14" i="44" s="1"/>
  <c r="E8" i="40"/>
  <c r="E6" i="41"/>
  <c r="E62" i="54"/>
  <c r="G13" i="44"/>
  <c r="G14" i="44" s="1"/>
  <c r="E20" i="53"/>
  <c r="E64" i="54"/>
  <c r="D32" i="54"/>
  <c r="D64" i="54" s="1"/>
  <c r="C20" i="53"/>
  <c r="C32" i="54"/>
  <c r="C64" i="54" s="1"/>
  <c r="D25" i="38"/>
  <c r="D8" i="40"/>
  <c r="D9" i="40" s="1"/>
  <c r="H17" i="41"/>
  <c r="F13" i="44"/>
  <c r="F14" i="44" s="1"/>
  <c r="H64" i="54"/>
  <c r="G64" i="54"/>
  <c r="D20" i="53"/>
  <c r="D11" i="40"/>
  <c r="D31" i="53"/>
  <c r="F8" i="40"/>
  <c r="F9" i="40" s="1"/>
  <c r="D37" i="53"/>
  <c r="E31" i="53"/>
  <c r="M15" i="37"/>
  <c r="D10" i="46"/>
  <c r="D12" i="46" s="1"/>
  <c r="D15" i="46" s="1"/>
  <c r="M21" i="37"/>
  <c r="L15" i="37"/>
  <c r="L33" i="37"/>
  <c r="K27" i="37"/>
  <c r="M9" i="37"/>
  <c r="J21" i="37"/>
  <c r="I15" i="37"/>
  <c r="H22" i="49"/>
  <c r="D22" i="49"/>
  <c r="C22" i="49"/>
  <c r="E18" i="48"/>
  <c r="D18" i="48"/>
  <c r="E22" i="49"/>
  <c r="D48" i="38"/>
  <c r="D49" i="38" s="1"/>
  <c r="G17" i="41"/>
  <c r="H46" i="38"/>
  <c r="G46" i="38"/>
  <c r="H38" i="38"/>
  <c r="I38" i="38" s="1"/>
  <c r="J38" i="38" s="1"/>
  <c r="K38" i="38" s="1"/>
  <c r="F46" i="38"/>
  <c r="E7" i="40"/>
  <c r="G42" i="53"/>
  <c r="G37" i="53"/>
  <c r="G31" i="53"/>
  <c r="H20" i="53"/>
  <c r="H20" i="38"/>
  <c r="C31" i="53"/>
  <c r="E19" i="41"/>
  <c r="E46" i="38"/>
  <c r="F25" i="38"/>
  <c r="C12" i="40"/>
  <c r="C13" i="40" s="1"/>
  <c r="E17" i="41"/>
  <c r="F37" i="53"/>
  <c r="F31" i="53"/>
  <c r="G20" i="53"/>
  <c r="F20" i="38"/>
  <c r="F17" i="41"/>
  <c r="D6" i="41"/>
  <c r="H42" i="53"/>
  <c r="H37" i="53"/>
  <c r="H31" i="53"/>
  <c r="E25" i="38"/>
  <c r="G11" i="40"/>
  <c r="G13" i="40" s="1"/>
  <c r="K8" i="40"/>
  <c r="J8" i="40"/>
  <c r="G9" i="40"/>
  <c r="H48" i="38"/>
  <c r="H49" i="38" s="1"/>
  <c r="I49" i="38" s="1"/>
  <c r="J49" i="38" s="1"/>
  <c r="G48" i="38"/>
  <c r="G49" i="38" s="1"/>
  <c r="E28" i="38"/>
  <c r="E29" i="38" s="1"/>
  <c r="F48" i="38"/>
  <c r="F49" i="38" s="1"/>
  <c r="H12" i="40"/>
  <c r="H13" i="40" s="1"/>
  <c r="H28" i="38"/>
  <c r="H29" i="38" s="1"/>
  <c r="I29" i="38" s="1"/>
  <c r="H23" i="38"/>
  <c r="F17" i="43"/>
  <c r="G12" i="43" s="1"/>
  <c r="G23" i="43" s="1"/>
  <c r="G25" i="43" s="1"/>
  <c r="H25" i="38"/>
  <c r="J25" i="38" s="1"/>
  <c r="F23" i="38"/>
  <c r="E12" i="40"/>
  <c r="E17" i="43"/>
  <c r="F12" i="43" s="1"/>
  <c r="F23" i="43" s="1"/>
  <c r="F25" i="43" s="1"/>
  <c r="F42" i="53"/>
  <c r="F20" i="53"/>
  <c r="E48" i="38"/>
  <c r="E49" i="38" s="1"/>
  <c r="G23" i="38"/>
  <c r="H51" i="38"/>
  <c r="K51" i="38" s="1"/>
  <c r="G25" i="38"/>
  <c r="E23" i="38"/>
  <c r="M17" i="38"/>
  <c r="M17" i="47" s="1"/>
  <c r="D12" i="40"/>
  <c r="D17" i="43"/>
  <c r="E12" i="43" s="1"/>
  <c r="E42" i="53"/>
  <c r="F28" i="38"/>
  <c r="F29" i="38" s="1"/>
  <c r="G17" i="43"/>
  <c r="H12" i="43" s="1"/>
  <c r="H23" i="43" s="1"/>
  <c r="G51" i="38"/>
  <c r="D23" i="38"/>
  <c r="L17" i="38"/>
  <c r="L17" i="47" s="1"/>
  <c r="C17" i="43"/>
  <c r="D12" i="43" s="1"/>
  <c r="D23" i="43" s="1"/>
  <c r="D25" i="43" s="1"/>
  <c r="C9" i="40"/>
  <c r="G20" i="52"/>
  <c r="G22" i="52"/>
  <c r="D22" i="52"/>
  <c r="D20" i="52"/>
  <c r="C22" i="52"/>
  <c r="C20" i="52"/>
  <c r="D10" i="41" s="1"/>
  <c r="D11" i="41" s="1"/>
  <c r="F20" i="52"/>
  <c r="F22" i="52"/>
  <c r="E20" i="52"/>
  <c r="E22" i="52"/>
  <c r="D4" i="48"/>
  <c r="H20" i="52"/>
  <c r="H23" i="41" s="1"/>
  <c r="H24" i="41" s="1"/>
  <c r="I24" i="41" s="1"/>
  <c r="H22" i="52"/>
  <c r="E10" i="49"/>
  <c r="C6" i="46"/>
  <c r="C10" i="46" s="1"/>
  <c r="C12" i="46" s="1"/>
  <c r="C15" i="46" s="1"/>
  <c r="G21" i="43"/>
  <c r="G6" i="49"/>
  <c r="G10" i="49" s="1"/>
  <c r="G24" i="49" s="1"/>
  <c r="G35" i="38"/>
  <c r="D28" i="41"/>
  <c r="F21" i="43"/>
  <c r="F6" i="49"/>
  <c r="F10" i="49" s="1"/>
  <c r="F24" i="49" s="1"/>
  <c r="E8" i="48"/>
  <c r="H35" i="38"/>
  <c r="I35" i="38" s="1"/>
  <c r="J35" i="38" s="1"/>
  <c r="E28" i="41"/>
  <c r="D8" i="48"/>
  <c r="H33" i="37"/>
  <c r="H15" i="37"/>
  <c r="I28" i="41"/>
  <c r="H6" i="49"/>
  <c r="G4" i="48"/>
  <c r="G29" i="38"/>
  <c r="F4" i="48"/>
  <c r="H6" i="46"/>
  <c r="H10" i="46" s="1"/>
  <c r="H12" i="46" s="1"/>
  <c r="E4" i="48"/>
  <c r="C17" i="46"/>
  <c r="C18" i="46"/>
  <c r="C5" i="49" s="1"/>
  <c r="C10" i="49" s="1"/>
  <c r="C24" i="49" s="1"/>
  <c r="G23" i="46"/>
  <c r="G21" i="46"/>
  <c r="F21" i="46"/>
  <c r="F23" i="46"/>
  <c r="G17" i="46"/>
  <c r="G6" i="48" s="1"/>
  <c r="F17" i="46"/>
  <c r="F6" i="48" s="1"/>
  <c r="F5" i="48" s="1"/>
  <c r="F7" i="48" s="1"/>
  <c r="F9" i="48" s="1"/>
  <c r="F20" i="48" s="1"/>
  <c r="E23" i="46"/>
  <c r="E21" i="46"/>
  <c r="E17" i="46"/>
  <c r="E6" i="48" s="1"/>
  <c r="K33" i="43"/>
  <c r="J33" i="43"/>
  <c r="L33" i="43"/>
  <c r="I33" i="43"/>
  <c r="H29" i="43"/>
  <c r="H25" i="43" s="1"/>
  <c r="M24" i="41"/>
  <c r="L24" i="41"/>
  <c r="F19" i="41"/>
  <c r="G19" i="41"/>
  <c r="D19" i="41"/>
  <c r="I5" i="41"/>
  <c r="I7" i="41" s="1"/>
  <c r="K28" i="41"/>
  <c r="M28" i="41"/>
  <c r="L28" i="41"/>
  <c r="M8" i="40"/>
  <c r="L8" i="40"/>
  <c r="I8" i="40"/>
  <c r="D14" i="39"/>
  <c r="D8" i="39"/>
  <c r="M11" i="38"/>
  <c r="L11" i="38"/>
  <c r="J8" i="38"/>
  <c r="M40" i="38"/>
  <c r="M14" i="38"/>
  <c r="M16" i="47" s="1"/>
  <c r="K11" i="38"/>
  <c r="J6" i="38" l="1"/>
  <c r="L6" i="38"/>
  <c r="M6" i="38"/>
  <c r="K6" i="38"/>
  <c r="I26" i="37"/>
  <c r="I8" i="46" s="1"/>
  <c r="I20" i="37"/>
  <c r="I7" i="46" s="1"/>
  <c r="I32" i="37"/>
  <c r="I9" i="46" s="1"/>
  <c r="I5" i="38"/>
  <c r="I10" i="47" s="1"/>
  <c r="I13" i="48" s="1"/>
  <c r="I14" i="37"/>
  <c r="I5" i="46" s="1"/>
  <c r="I6" i="46" s="1"/>
  <c r="G21" i="53"/>
  <c r="J9" i="37"/>
  <c r="J8" i="37" s="1"/>
  <c r="J4" i="46" s="1"/>
  <c r="I19" i="43" s="1"/>
  <c r="I13" i="43" s="1"/>
  <c r="J13" i="49" s="1"/>
  <c r="J15" i="49" s="1"/>
  <c r="J24" i="41"/>
  <c r="K24" i="41"/>
  <c r="D17" i="46"/>
  <c r="D6" i="48" s="1"/>
  <c r="D18" i="46"/>
  <c r="D5" i="49" s="1"/>
  <c r="D10" i="49" s="1"/>
  <c r="D24" i="49" s="1"/>
  <c r="I37" i="38"/>
  <c r="I34" i="38"/>
  <c r="I29" i="47" s="1"/>
  <c r="I15" i="48" s="1"/>
  <c r="C43" i="53"/>
  <c r="C21" i="53"/>
  <c r="C45" i="53" s="1"/>
  <c r="D16" i="43"/>
  <c r="F20" i="44"/>
  <c r="I13" i="39"/>
  <c r="F15" i="40"/>
  <c r="L7" i="40"/>
  <c r="D43" i="53"/>
  <c r="K7" i="40"/>
  <c r="H9" i="40"/>
  <c r="H15" i="40" s="1"/>
  <c r="I7" i="40"/>
  <c r="E21" i="53"/>
  <c r="M7" i="40"/>
  <c r="E43" i="53"/>
  <c r="D21" i="53"/>
  <c r="E13" i="40"/>
  <c r="I12" i="39"/>
  <c r="K25" i="38"/>
  <c r="E9" i="40"/>
  <c r="H21" i="53"/>
  <c r="C16" i="43"/>
  <c r="D13" i="40"/>
  <c r="D15" i="40" s="1"/>
  <c r="L9" i="37"/>
  <c r="K9" i="37"/>
  <c r="E24" i="49"/>
  <c r="J46" i="38"/>
  <c r="I46" i="38"/>
  <c r="K46" i="38"/>
  <c r="G43" i="53"/>
  <c r="G45" i="53" s="1"/>
  <c r="F43" i="53"/>
  <c r="M46" i="38"/>
  <c r="I48" i="38"/>
  <c r="I35" i="47" s="1"/>
  <c r="I37" i="47" s="1"/>
  <c r="L46" i="38"/>
  <c r="F16" i="43"/>
  <c r="C15" i="40"/>
  <c r="M20" i="38"/>
  <c r="I20" i="38"/>
  <c r="J20" i="38"/>
  <c r="L20" i="38"/>
  <c r="K20" i="38"/>
  <c r="H43" i="53"/>
  <c r="J29" i="38"/>
  <c r="I28" i="38"/>
  <c r="M23" i="38"/>
  <c r="L23" i="38"/>
  <c r="I23" i="38"/>
  <c r="J23" i="38"/>
  <c r="K23" i="38"/>
  <c r="G16" i="43"/>
  <c r="J51" i="38"/>
  <c r="H9" i="42"/>
  <c r="F21" i="53"/>
  <c r="G15" i="40"/>
  <c r="J9" i="40"/>
  <c r="I25" i="38"/>
  <c r="M25" i="38"/>
  <c r="L25" i="38"/>
  <c r="I31" i="38"/>
  <c r="J31" i="38"/>
  <c r="M31" i="38"/>
  <c r="K31" i="38"/>
  <c r="L31" i="38"/>
  <c r="I51" i="38"/>
  <c r="L51" i="38"/>
  <c r="M51" i="38"/>
  <c r="H20" i="43"/>
  <c r="I13" i="49"/>
  <c r="I15" i="49" s="1"/>
  <c r="F10" i="41"/>
  <c r="F11" i="41" s="1"/>
  <c r="E23" i="41"/>
  <c r="E24" i="41" s="1"/>
  <c r="G10" i="41"/>
  <c r="G11" i="41" s="1"/>
  <c r="F23" i="41"/>
  <c r="F24" i="41" s="1"/>
  <c r="E5" i="48"/>
  <c r="E7" i="48" s="1"/>
  <c r="E9" i="48" s="1"/>
  <c r="E20" i="48" s="1"/>
  <c r="D5" i="48"/>
  <c r="D7" i="48" s="1"/>
  <c r="D9" i="48" s="1"/>
  <c r="D20" i="48" s="1"/>
  <c r="E10" i="41"/>
  <c r="E11" i="41" s="1"/>
  <c r="D23" i="41"/>
  <c r="D24" i="41" s="1"/>
  <c r="G23" i="41"/>
  <c r="G24" i="41" s="1"/>
  <c r="H10" i="41"/>
  <c r="H11" i="41" s="1"/>
  <c r="H15" i="46"/>
  <c r="H4" i="48"/>
  <c r="G5" i="48"/>
  <c r="G7" i="48" s="1"/>
  <c r="G9" i="48" s="1"/>
  <c r="G20" i="48" s="1"/>
  <c r="C23" i="46"/>
  <c r="C21" i="46"/>
  <c r="D21" i="46"/>
  <c r="D23" i="46"/>
  <c r="E16" i="43"/>
  <c r="E23" i="43"/>
  <c r="E25" i="43" s="1"/>
  <c r="H24" i="43"/>
  <c r="H14" i="43" s="1"/>
  <c r="J5" i="41"/>
  <c r="J7" i="41" s="1"/>
  <c r="L38" i="38"/>
  <c r="K35" i="38"/>
  <c r="K49" i="38"/>
  <c r="L9" i="40" l="1"/>
  <c r="L25" i="47"/>
  <c r="M9" i="40"/>
  <c r="M25" i="47"/>
  <c r="I9" i="40"/>
  <c r="I25" i="47"/>
  <c r="K9" i="40"/>
  <c r="K25" i="47"/>
  <c r="I10" i="46"/>
  <c r="J5" i="38"/>
  <c r="J10" i="47" s="1"/>
  <c r="J13" i="48" s="1"/>
  <c r="J32" i="37"/>
  <c r="J9" i="46" s="1"/>
  <c r="J20" i="37"/>
  <c r="J7" i="46" s="1"/>
  <c r="J28" i="38"/>
  <c r="J11" i="40" s="1"/>
  <c r="J26" i="47" s="1"/>
  <c r="J48" i="38"/>
  <c r="J35" i="47" s="1"/>
  <c r="J37" i="47" s="1"/>
  <c r="J26" i="37"/>
  <c r="J8" i="46" s="1"/>
  <c r="J14" i="37"/>
  <c r="J5" i="46" s="1"/>
  <c r="J34" i="38"/>
  <c r="J37" i="38"/>
  <c r="I7" i="39"/>
  <c r="I27" i="47" s="1"/>
  <c r="I14" i="48" s="1"/>
  <c r="I6" i="39"/>
  <c r="I8" i="47" s="1"/>
  <c r="I12" i="48" s="1"/>
  <c r="K8" i="37"/>
  <c r="K14" i="37" s="1"/>
  <c r="K5" i="46" s="1"/>
  <c r="F18" i="44"/>
  <c r="E15" i="40"/>
  <c r="E16" i="40" s="1"/>
  <c r="E18" i="40" s="1"/>
  <c r="E45" i="53"/>
  <c r="F19" i="44"/>
  <c r="F22" i="44" s="1"/>
  <c r="D45" i="53"/>
  <c r="H45" i="53"/>
  <c r="D16" i="40"/>
  <c r="D18" i="40" s="1"/>
  <c r="G16" i="40"/>
  <c r="G18" i="40" s="1"/>
  <c r="D19" i="44"/>
  <c r="D18" i="44"/>
  <c r="D20" i="44"/>
  <c r="H18" i="44"/>
  <c r="H20" i="44"/>
  <c r="H19" i="44"/>
  <c r="E18" i="44"/>
  <c r="E20" i="44"/>
  <c r="E19" i="44"/>
  <c r="G18" i="44"/>
  <c r="G20" i="44"/>
  <c r="G19" i="44"/>
  <c r="I12" i="40"/>
  <c r="I11" i="40"/>
  <c r="F45" i="53"/>
  <c r="H16" i="40"/>
  <c r="H18" i="40" s="1"/>
  <c r="K29" i="38"/>
  <c r="I11" i="39"/>
  <c r="J5" i="39"/>
  <c r="H17" i="43"/>
  <c r="I11" i="46"/>
  <c r="I20" i="43"/>
  <c r="H21" i="43"/>
  <c r="I18" i="48"/>
  <c r="H5" i="48"/>
  <c r="H7" i="48" s="1"/>
  <c r="H9" i="48" s="1"/>
  <c r="H20" i="48" s="1"/>
  <c r="H18" i="46"/>
  <c r="H17" i="46"/>
  <c r="H6" i="48" s="1"/>
  <c r="K5" i="41"/>
  <c r="K7" i="41" s="1"/>
  <c r="L49" i="38"/>
  <c r="L35" i="38"/>
  <c r="M38" i="38"/>
  <c r="F16" i="40" l="1"/>
  <c r="F18" i="40" s="1"/>
  <c r="J6" i="39"/>
  <c r="J7" i="39"/>
  <c r="J27" i="47" s="1"/>
  <c r="J14" i="48" s="1"/>
  <c r="J8" i="39"/>
  <c r="K7" i="39"/>
  <c r="K6" i="39"/>
  <c r="J29" i="47"/>
  <c r="J15" i="48" s="1"/>
  <c r="K34" i="38"/>
  <c r="K48" i="38"/>
  <c r="K35" i="47" s="1"/>
  <c r="K37" i="47" s="1"/>
  <c r="K37" i="38"/>
  <c r="J12" i="40"/>
  <c r="J13" i="40" s="1"/>
  <c r="J6" i="46"/>
  <c r="J10" i="46" s="1"/>
  <c r="L8" i="37"/>
  <c r="L32" i="37" s="1"/>
  <c r="L9" i="46" s="1"/>
  <c r="K26" i="37"/>
  <c r="K8" i="46" s="1"/>
  <c r="K32" i="37"/>
  <c r="K9" i="46" s="1"/>
  <c r="K20" i="37"/>
  <c r="K7" i="46" s="1"/>
  <c r="K5" i="38"/>
  <c r="K10" i="47" s="1"/>
  <c r="K13" i="48" s="1"/>
  <c r="K28" i="38"/>
  <c r="K11" i="40" s="1"/>
  <c r="K26" i="47" s="1"/>
  <c r="K4" i="46"/>
  <c r="J19" i="43" s="1"/>
  <c r="J13" i="43" s="1"/>
  <c r="K13" i="49" s="1"/>
  <c r="K15" i="49" s="1"/>
  <c r="I12" i="43"/>
  <c r="I23" i="43" s="1"/>
  <c r="I24" i="43" s="1"/>
  <c r="I14" i="43" s="1"/>
  <c r="J11" i="46" s="1"/>
  <c r="J6" i="49" s="1"/>
  <c r="I15" i="47"/>
  <c r="I20" i="47" s="1"/>
  <c r="J8" i="47"/>
  <c r="J12" i="48" s="1"/>
  <c r="I13" i="40"/>
  <c r="I21" i="49" s="1"/>
  <c r="I26" i="47"/>
  <c r="I31" i="47" s="1"/>
  <c r="D22" i="44"/>
  <c r="L29" i="38"/>
  <c r="M29" i="38" s="1"/>
  <c r="G22" i="44"/>
  <c r="E22" i="44"/>
  <c r="H22" i="44"/>
  <c r="D4" i="50" s="1"/>
  <c r="I6" i="49"/>
  <c r="I8" i="48"/>
  <c r="J7" i="47"/>
  <c r="I12" i="46"/>
  <c r="I4" i="48" s="1"/>
  <c r="I5" i="39"/>
  <c r="I7" i="47" s="1"/>
  <c r="I14" i="39"/>
  <c r="H5" i="49"/>
  <c r="H10" i="49" s="1"/>
  <c r="H24" i="49" s="1"/>
  <c r="H21" i="46"/>
  <c r="H23" i="46"/>
  <c r="I21" i="43"/>
  <c r="J18" i="48"/>
  <c r="L5" i="41"/>
  <c r="L7" i="41" s="1"/>
  <c r="M35" i="38"/>
  <c r="M49" i="38"/>
  <c r="K5" i="39" l="1"/>
  <c r="K8" i="39" s="1"/>
  <c r="L26" i="37"/>
  <c r="L8" i="46" s="1"/>
  <c r="L20" i="37"/>
  <c r="L7" i="46" s="1"/>
  <c r="L48" i="38"/>
  <c r="L35" i="47" s="1"/>
  <c r="L37" i="47" s="1"/>
  <c r="L4" i="46"/>
  <c r="L5" i="39" s="1"/>
  <c r="L28" i="38"/>
  <c r="L37" i="38"/>
  <c r="K29" i="47"/>
  <c r="K15" i="48" s="1"/>
  <c r="K12" i="40"/>
  <c r="K13" i="40" s="1"/>
  <c r="K21" i="49" s="1"/>
  <c r="L14" i="37"/>
  <c r="L5" i="46" s="1"/>
  <c r="L34" i="38"/>
  <c r="L29" i="47" s="1"/>
  <c r="L15" i="48" s="1"/>
  <c r="M8" i="37"/>
  <c r="M5" i="38" s="1"/>
  <c r="I17" i="43"/>
  <c r="J15" i="47" s="1"/>
  <c r="J20" i="47" s="1"/>
  <c r="K7" i="47"/>
  <c r="K11" i="48" s="1"/>
  <c r="L5" i="38"/>
  <c r="L10" i="47" s="1"/>
  <c r="L13" i="48" s="1"/>
  <c r="K6" i="46"/>
  <c r="K10" i="46" s="1"/>
  <c r="J20" i="43"/>
  <c r="K18" i="48" s="1"/>
  <c r="J21" i="49"/>
  <c r="J11" i="48"/>
  <c r="J7" i="49"/>
  <c r="I11" i="48"/>
  <c r="I7" i="49"/>
  <c r="K27" i="47"/>
  <c r="K14" i="48" s="1"/>
  <c r="I15" i="40"/>
  <c r="I16" i="40" s="1"/>
  <c r="I17" i="40" s="1"/>
  <c r="I20" i="49" s="1"/>
  <c r="K8" i="47"/>
  <c r="K12" i="48" s="1"/>
  <c r="J31" i="47"/>
  <c r="I8" i="39"/>
  <c r="L7" i="47"/>
  <c r="J15" i="40"/>
  <c r="J12" i="46"/>
  <c r="J4" i="48" s="1"/>
  <c r="J8" i="48"/>
  <c r="L12" i="40"/>
  <c r="L11" i="40"/>
  <c r="L26" i="47" s="1"/>
  <c r="L23" i="46"/>
  <c r="I23" i="46"/>
  <c r="J23" i="46"/>
  <c r="M23" i="46"/>
  <c r="K23" i="46"/>
  <c r="M5" i="41"/>
  <c r="M7" i="41" s="1"/>
  <c r="K19" i="43" l="1"/>
  <c r="K13" i="43" s="1"/>
  <c r="L13" i="49" s="1"/>
  <c r="L15" i="49" s="1"/>
  <c r="L6" i="39"/>
  <c r="L7" i="39"/>
  <c r="L8" i="39"/>
  <c r="L6" i="46"/>
  <c r="L10" i="46" s="1"/>
  <c r="M48" i="38"/>
  <c r="M35" i="47" s="1"/>
  <c r="M37" i="47" s="1"/>
  <c r="M37" i="38"/>
  <c r="M14" i="37"/>
  <c r="M5" i="46" s="1"/>
  <c r="M20" i="37"/>
  <c r="M7" i="46" s="1"/>
  <c r="M32" i="37"/>
  <c r="M9" i="46" s="1"/>
  <c r="M26" i="37"/>
  <c r="M8" i="46" s="1"/>
  <c r="M4" i="46"/>
  <c r="M5" i="39" s="1"/>
  <c r="J21" i="43"/>
  <c r="M28" i="38"/>
  <c r="M11" i="40" s="1"/>
  <c r="M26" i="47" s="1"/>
  <c r="M34" i="38"/>
  <c r="J12" i="43"/>
  <c r="J23" i="43" s="1"/>
  <c r="J24" i="43" s="1"/>
  <c r="J14" i="43" s="1"/>
  <c r="K11" i="46" s="1"/>
  <c r="K6" i="49" s="1"/>
  <c r="I14" i="46"/>
  <c r="I15" i="46" s="1"/>
  <c r="K7" i="49"/>
  <c r="L11" i="48"/>
  <c r="L27" i="47"/>
  <c r="L14" i="48" s="1"/>
  <c r="L8" i="47"/>
  <c r="L12" i="48" s="1"/>
  <c r="K31" i="47"/>
  <c r="J16" i="40"/>
  <c r="J17" i="40" s="1"/>
  <c r="M10" i="47"/>
  <c r="M13" i="48" s="1"/>
  <c r="L13" i="40"/>
  <c r="L21" i="49" s="1"/>
  <c r="K15" i="40"/>
  <c r="K16" i="40" s="1"/>
  <c r="K17" i="40" s="1"/>
  <c r="K20" i="49" s="1"/>
  <c r="J16" i="48"/>
  <c r="I16" i="48"/>
  <c r="K20" i="43" l="1"/>
  <c r="L18" i="48" s="1"/>
  <c r="M7" i="39"/>
  <c r="M6" i="39"/>
  <c r="M8" i="39" s="1"/>
  <c r="M29" i="47"/>
  <c r="M15" i="48" s="1"/>
  <c r="M12" i="40"/>
  <c r="M13" i="40" s="1"/>
  <c r="M21" i="49" s="1"/>
  <c r="J17" i="43"/>
  <c r="K15" i="47" s="1"/>
  <c r="K20" i="47" s="1"/>
  <c r="I8" i="49"/>
  <c r="M6" i="46"/>
  <c r="M10" i="46" s="1"/>
  <c r="L19" i="43"/>
  <c r="L13" i="43" s="1"/>
  <c r="M13" i="49" s="1"/>
  <c r="M15" i="49" s="1"/>
  <c r="M7" i="47"/>
  <c r="M11" i="48" s="1"/>
  <c r="M27" i="47"/>
  <c r="M14" i="48" s="1"/>
  <c r="L31" i="47"/>
  <c r="K8" i="48"/>
  <c r="K12" i="46"/>
  <c r="K4" i="48" s="1"/>
  <c r="J14" i="46"/>
  <c r="J8" i="49" s="1"/>
  <c r="J20" i="49"/>
  <c r="L7" i="49"/>
  <c r="L15" i="40"/>
  <c r="L16" i="40" s="1"/>
  <c r="L17" i="40" s="1"/>
  <c r="L20" i="49" s="1"/>
  <c r="K16" i="48"/>
  <c r="M8" i="47"/>
  <c r="M12" i="48" s="1"/>
  <c r="K14" i="46"/>
  <c r="K8" i="49" s="1"/>
  <c r="L16" i="48"/>
  <c r="K21" i="43" l="1"/>
  <c r="K12" i="43"/>
  <c r="K23" i="43" s="1"/>
  <c r="K24" i="43" s="1"/>
  <c r="K14" i="43" s="1"/>
  <c r="L11" i="46" s="1"/>
  <c r="L12" i="46" s="1"/>
  <c r="L4" i="48" s="1"/>
  <c r="L20" i="43"/>
  <c r="M18" i="48" s="1"/>
  <c r="L6" i="49"/>
  <c r="M7" i="49"/>
  <c r="L14" i="46"/>
  <c r="L8" i="49" s="1"/>
  <c r="M16" i="48"/>
  <c r="M31" i="47"/>
  <c r="M15" i="40"/>
  <c r="M16" i="40" s="1"/>
  <c r="M17" i="40" s="1"/>
  <c r="L8" i="48" l="1"/>
  <c r="K17" i="43"/>
  <c r="L15" i="47" s="1"/>
  <c r="L20" i="47" s="1"/>
  <c r="L21" i="43"/>
  <c r="M14" i="46"/>
  <c r="M8" i="49" s="1"/>
  <c r="M20" i="49"/>
  <c r="I38" i="37"/>
  <c r="I16" i="46" s="1"/>
  <c r="I17" i="46" s="1"/>
  <c r="L12" i="43" l="1"/>
  <c r="L23" i="43" s="1"/>
  <c r="L24" i="43" s="1"/>
  <c r="L14" i="43" s="1"/>
  <c r="M11" i="46" s="1"/>
  <c r="I18" i="46"/>
  <c r="I5" i="49" s="1"/>
  <c r="I10" i="49" s="1"/>
  <c r="L17" i="43" l="1"/>
  <c r="M15" i="47" s="1"/>
  <c r="M20" i="47" s="1"/>
  <c r="M6" i="49"/>
  <c r="M12" i="46"/>
  <c r="M4" i="48" s="1"/>
  <c r="M8" i="48"/>
  <c r="I22" i="46"/>
  <c r="I21" i="46" s="1"/>
  <c r="I6" i="48"/>
  <c r="I5" i="48" s="1"/>
  <c r="I7" i="48" s="1"/>
  <c r="I9" i="48" s="1"/>
  <c r="I20" i="48" s="1"/>
  <c r="I7" i="50" s="1"/>
  <c r="I10" i="50" s="1"/>
  <c r="I15" i="41" l="1"/>
  <c r="I27" i="41"/>
  <c r="I26" i="41" s="1"/>
  <c r="I16" i="41" l="1"/>
  <c r="I17" i="41" s="1"/>
  <c r="I18" i="41" s="1"/>
  <c r="I19" i="49"/>
  <c r="J14" i="41" l="1"/>
  <c r="I41" i="47"/>
  <c r="I10" i="41"/>
  <c r="I23" i="41"/>
  <c r="I22" i="41" s="1"/>
  <c r="I11" i="41" l="1"/>
  <c r="I12" i="41" s="1"/>
  <c r="I18" i="49"/>
  <c r="I22" i="49" s="1"/>
  <c r="I24" i="49" s="1"/>
  <c r="I6" i="47" s="1"/>
  <c r="I12" i="47" s="1"/>
  <c r="I21" i="47" s="1"/>
  <c r="J9" i="41" l="1"/>
  <c r="I40" i="47"/>
  <c r="I42" i="47" s="1"/>
  <c r="I43" i="47" s="1"/>
  <c r="I45" i="47" s="1"/>
  <c r="I19" i="41"/>
  <c r="I7" i="42"/>
  <c r="J8" i="42" s="1"/>
  <c r="J13" i="46" s="1"/>
  <c r="J15" i="46" s="1"/>
  <c r="J38" i="37" s="1"/>
  <c r="J16" i="46" l="1"/>
  <c r="J17" i="46" s="1"/>
  <c r="J18" i="46" l="1"/>
  <c r="J5" i="49" s="1"/>
  <c r="J10" i="49" s="1"/>
  <c r="J6" i="48" l="1"/>
  <c r="J5" i="48" s="1"/>
  <c r="J7" i="48" s="1"/>
  <c r="J9" i="48" s="1"/>
  <c r="J20" i="48" s="1"/>
  <c r="J7" i="50" s="1"/>
  <c r="J10" i="50" s="1"/>
  <c r="J22" i="46"/>
  <c r="J15" i="41" l="1"/>
  <c r="J27" i="41"/>
  <c r="J26" i="41" s="1"/>
  <c r="J19" i="49" s="1"/>
  <c r="J21" i="46"/>
  <c r="J10" i="41" l="1"/>
  <c r="J23" i="41"/>
  <c r="J22" i="41" s="1"/>
  <c r="J16" i="41"/>
  <c r="J17" i="41" s="1"/>
  <c r="J18" i="41" s="1"/>
  <c r="J41" i="47" s="1"/>
  <c r="J18" i="49" l="1"/>
  <c r="J22" i="49" s="1"/>
  <c r="J24" i="49" s="1"/>
  <c r="J6" i="47" s="1"/>
  <c r="J12" i="47" s="1"/>
  <c r="J21" i="47" s="1"/>
  <c r="K14" i="41"/>
  <c r="J11" i="41"/>
  <c r="J12" i="41" s="1"/>
  <c r="J40" i="47" s="1"/>
  <c r="J42" i="47" s="1"/>
  <c r="J43" i="47" s="1"/>
  <c r="J45" i="47" l="1"/>
  <c r="J7" i="42"/>
  <c r="K8" i="42" s="1"/>
  <c r="K13" i="46" s="1"/>
  <c r="K15" i="46" s="1"/>
  <c r="K9" i="41"/>
  <c r="J19" i="41"/>
  <c r="K38" i="37" l="1"/>
  <c r="K16" i="46" l="1"/>
  <c r="K17" i="46" s="1"/>
  <c r="K18" i="46" l="1"/>
  <c r="K5" i="49" s="1"/>
  <c r="K10" i="49" s="1"/>
  <c r="K22" i="46" l="1"/>
  <c r="K6" i="48"/>
  <c r="K5" i="48" s="1"/>
  <c r="K7" i="48" s="1"/>
  <c r="K9" i="48" s="1"/>
  <c r="K20" i="48" s="1"/>
  <c r="K7" i="50" s="1"/>
  <c r="K10" i="50" s="1"/>
  <c r="K15" i="41" l="1"/>
  <c r="K27" i="41"/>
  <c r="K26" i="41" s="1"/>
  <c r="K19" i="49" s="1"/>
  <c r="K21" i="46"/>
  <c r="K10" i="41" l="1"/>
  <c r="K23" i="41"/>
  <c r="K22" i="41" s="1"/>
  <c r="K16" i="41"/>
  <c r="K17" i="41" s="1"/>
  <c r="K18" i="41" s="1"/>
  <c r="K41" i="47" s="1"/>
  <c r="K18" i="49" l="1"/>
  <c r="K22" i="49" s="1"/>
  <c r="K24" i="49" s="1"/>
  <c r="K6" i="47" s="1"/>
  <c r="K12" i="47" s="1"/>
  <c r="K21" i="47" s="1"/>
  <c r="K11" i="41"/>
  <c r="K12" i="41" s="1"/>
  <c r="K40" i="47" s="1"/>
  <c r="K42" i="47" s="1"/>
  <c r="K43" i="47" s="1"/>
  <c r="L14" i="41"/>
  <c r="K45" i="47" l="1"/>
  <c r="K7" i="42"/>
  <c r="L8" i="42" s="1"/>
  <c r="L13" i="46" s="1"/>
  <c r="L15" i="46" s="1"/>
  <c r="L9" i="41"/>
  <c r="K19" i="41"/>
  <c r="L38" i="37" l="1"/>
  <c r="L16" i="46" s="1"/>
  <c r="L18" i="46" l="1"/>
  <c r="L5" i="49" s="1"/>
  <c r="L10" i="49" s="1"/>
  <c r="L17" i="46"/>
  <c r="L6" i="48" s="1"/>
  <c r="L5" i="48" s="1"/>
  <c r="L7" i="48" s="1"/>
  <c r="L9" i="48" s="1"/>
  <c r="L20" i="48" s="1"/>
  <c r="L7" i="50" s="1"/>
  <c r="L10" i="50" s="1"/>
  <c r="L22" i="46" l="1"/>
  <c r="L21" i="46" s="1"/>
  <c r="L10" i="41" s="1"/>
  <c r="L27" i="41" l="1"/>
  <c r="L26" i="41" s="1"/>
  <c r="L19" i="49" s="1"/>
  <c r="L15" i="41"/>
  <c r="L23" i="41"/>
  <c r="L22" i="41" s="1"/>
  <c r="L18" i="49" s="1"/>
  <c r="L16" i="41" l="1"/>
  <c r="L17" i="41" s="1"/>
  <c r="L18" i="41" s="1"/>
  <c r="L11" i="41"/>
  <c r="L12" i="41" s="1"/>
  <c r="L40" i="47" s="1"/>
  <c r="L22" i="49"/>
  <c r="L24" i="49" s="1"/>
  <c r="L6" i="47" s="1"/>
  <c r="L12" i="47" s="1"/>
  <c r="L21" i="47" s="1"/>
  <c r="M9" i="41" l="1"/>
  <c r="L41" i="47"/>
  <c r="M14" i="41"/>
  <c r="L19" i="41"/>
  <c r="L42" i="47"/>
  <c r="L43" i="47" s="1"/>
  <c r="L45" i="47" s="1"/>
  <c r="L7" i="42"/>
  <c r="M8" i="42" s="1"/>
  <c r="M13" i="46" s="1"/>
  <c r="M15" i="46" s="1"/>
  <c r="M38" i="37" l="1"/>
  <c r="M16" i="46" s="1"/>
  <c r="M17" i="46" s="1"/>
  <c r="M18" i="46" l="1"/>
  <c r="M5" i="49" s="1"/>
  <c r="M10" i="49" s="1"/>
  <c r="M22" i="46" l="1"/>
  <c r="M21" i="46" s="1"/>
  <c r="M6" i="48"/>
  <c r="M5" i="48" s="1"/>
  <c r="M7" i="48" s="1"/>
  <c r="M9" i="48" s="1"/>
  <c r="M20" i="48" s="1"/>
  <c r="M7" i="50" s="1"/>
  <c r="M10" i="50" l="1"/>
  <c r="D13" i="50" s="1"/>
  <c r="M8" i="50"/>
  <c r="M11" i="50" s="1"/>
  <c r="D14" i="50" s="1"/>
  <c r="M10" i="41"/>
  <c r="M23" i="41"/>
  <c r="M22" i="41" s="1"/>
  <c r="M18" i="49" s="1"/>
  <c r="M27" i="41"/>
  <c r="M26" i="41" s="1"/>
  <c r="M19" i="49" s="1"/>
  <c r="M15" i="41"/>
  <c r="M22" i="49" l="1"/>
  <c r="M24" i="49" s="1"/>
  <c r="M6" i="47" s="1"/>
  <c r="M12" i="47" s="1"/>
  <c r="M21" i="47" s="1"/>
  <c r="D15" i="50"/>
  <c r="D22" i="50" s="1"/>
  <c r="D25" i="50" s="1"/>
  <c r="F14" i="50" s="1"/>
  <c r="M11" i="41"/>
  <c r="M12" i="41" s="1"/>
  <c r="M40" i="47" s="1"/>
  <c r="M16" i="41"/>
  <c r="M17" i="41" s="1"/>
  <c r="M18" i="41" s="1"/>
  <c r="M41" i="47" s="1"/>
  <c r="M42" i="47" l="1"/>
  <c r="M43" i="47" s="1"/>
  <c r="M45" i="47" s="1"/>
  <c r="M19" i="41"/>
  <c r="M7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</author>
  </authors>
  <commentList>
    <comment ref="B12" authorId="0" shapeId="0" xr:uid="{9C4E296C-4609-4E6B-B564-D129505B5B36}">
      <text>
        <r>
          <rPr>
            <b/>
            <sz val="9"/>
            <color indexed="81"/>
            <rFont val="Tahoma"/>
            <charset val="1"/>
          </rPr>
          <t>Joshua:</t>
        </r>
        <r>
          <rPr>
            <sz val="9"/>
            <color indexed="81"/>
            <rFont val="Tahoma"/>
            <charset val="1"/>
          </rPr>
          <t xml:space="preserve">
Average of the last 5 years considering it a cycle as prices have increased and decreased</t>
        </r>
      </text>
    </comment>
    <comment ref="B13" authorId="0" shapeId="0" xr:uid="{2A00CEE9-82FB-485E-B063-D574AFD6A8D3}">
      <text>
        <r>
          <rPr>
            <b/>
            <sz val="9"/>
            <color indexed="81"/>
            <rFont val="Tahoma"/>
            <charset val="1"/>
          </rPr>
          <t>Joshua:</t>
        </r>
        <r>
          <rPr>
            <sz val="9"/>
            <color indexed="81"/>
            <rFont val="Tahoma"/>
            <charset val="1"/>
          </rPr>
          <t xml:space="preserve">
Taken the rate of FY25 Since Company is pivoting into newer Segments
</t>
        </r>
      </text>
    </comment>
  </commentList>
</comments>
</file>

<file path=xl/sharedStrings.xml><?xml version="1.0" encoding="utf-8"?>
<sst xmlns="http://schemas.openxmlformats.org/spreadsheetml/2006/main" count="640" uniqueCount="295">
  <si>
    <t>Assumptions &amp; Drivers</t>
  </si>
  <si>
    <t>Company</t>
  </si>
  <si>
    <t>MARICO Ltd.</t>
  </si>
  <si>
    <t>Currency</t>
  </si>
  <si>
    <t>INR</t>
  </si>
  <si>
    <t>Domestic Country</t>
  </si>
  <si>
    <t>India</t>
  </si>
  <si>
    <t>Current Market Price (June 5th 2026)</t>
  </si>
  <si>
    <t>Tax Rate</t>
  </si>
  <si>
    <t>Face Value</t>
  </si>
  <si>
    <t>Beta</t>
  </si>
  <si>
    <t>Yield of 10 Year Gov. bonds (Rf)</t>
  </si>
  <si>
    <t>Perpetual Growth Rate (g)</t>
  </si>
  <si>
    <t>Cost of Goods Sold Margin</t>
  </si>
  <si>
    <t xml:space="preserve">Employee Expenses Rate </t>
  </si>
  <si>
    <t>Advertisement and Selling Expenses</t>
  </si>
  <si>
    <t>Other Operating Expenses</t>
  </si>
  <si>
    <t>Yield on Liquid Funds</t>
  </si>
  <si>
    <t xml:space="preserve"> </t>
  </si>
  <si>
    <t xml:space="preserve">  </t>
  </si>
  <si>
    <t>Input ----&gt;</t>
  </si>
  <si>
    <t>P&amp;L assumptions</t>
  </si>
  <si>
    <t>Case scenarios:</t>
  </si>
  <si>
    <t>Case 1: Optimistic case</t>
  </si>
  <si>
    <t>Case 2: Base case</t>
  </si>
  <si>
    <t>Selected case</t>
  </si>
  <si>
    <t>Case 3: Worst case</t>
  </si>
  <si>
    <t>FY22
Actual</t>
  </si>
  <si>
    <t>FY23
Actual</t>
  </si>
  <si>
    <t>FY24
Actual</t>
  </si>
  <si>
    <t>FY25
Actual</t>
  </si>
  <si>
    <t>FY26
Actual</t>
  </si>
  <si>
    <t>FY27
Forecast</t>
  </si>
  <si>
    <t>FY28
Forecast</t>
  </si>
  <si>
    <t>FY29
Forecast</t>
  </si>
  <si>
    <t>FY30
Forecast</t>
  </si>
  <si>
    <t>FY31
Forecast</t>
  </si>
  <si>
    <t>Revenues</t>
  </si>
  <si>
    <t>Implied Growth %</t>
  </si>
  <si>
    <t>Case 1</t>
  </si>
  <si>
    <t>Case 2</t>
  </si>
  <si>
    <t>Case 3</t>
  </si>
  <si>
    <t>Cost of Goods Sold</t>
  </si>
  <si>
    <t>Average COGS Margin</t>
  </si>
  <si>
    <t>Employee Benefit Expenses</t>
  </si>
  <si>
    <t>As a % of Revenue</t>
  </si>
  <si>
    <t>Tax</t>
  </si>
  <si>
    <t>As a % of EBT</t>
  </si>
  <si>
    <t>BS assumptions</t>
  </si>
  <si>
    <t>Particulars</t>
  </si>
  <si>
    <t>Current Assets (Operating)</t>
  </si>
  <si>
    <t>Other Current Assets (Tax Assets)</t>
  </si>
  <si>
    <t>Flat</t>
  </si>
  <si>
    <t>Financial Assets (Current)</t>
  </si>
  <si>
    <t>Capital WIP</t>
  </si>
  <si>
    <t>Goodwill</t>
  </si>
  <si>
    <t>Financial assets (Non Current)</t>
  </si>
  <si>
    <t>Other Non Current Assets (Incl Tax Assets)</t>
  </si>
  <si>
    <t>Current Borrowings</t>
  </si>
  <si>
    <t>Current Lease Liabilities</t>
  </si>
  <si>
    <t>Financial Liabilities</t>
  </si>
  <si>
    <t>Other Current Liabilities</t>
  </si>
  <si>
    <t>Employee Benefit Obligations</t>
  </si>
  <si>
    <t>Provisions and Tax Liabilities</t>
  </si>
  <si>
    <t>Non-Current Borrowings</t>
  </si>
  <si>
    <t>Non-Current Lease Liabilities</t>
  </si>
  <si>
    <t>Deferred Taxes &amp; Other LT Liab.</t>
  </si>
  <si>
    <t>Working capital</t>
  </si>
  <si>
    <t>Marico Working capital</t>
  </si>
  <si>
    <t>Average Trade receivables</t>
  </si>
  <si>
    <t>Average Inventory</t>
  </si>
  <si>
    <t>Average Trade payables</t>
  </si>
  <si>
    <t>Net trade cycle</t>
  </si>
  <si>
    <t>Selected case:</t>
  </si>
  <si>
    <t>DSO</t>
  </si>
  <si>
    <t>DIO</t>
  </si>
  <si>
    <t>DPO</t>
  </si>
  <si>
    <t>Net trade cycle (Days)</t>
  </si>
  <si>
    <t>Finance Costs</t>
  </si>
  <si>
    <t>Selected Case</t>
  </si>
  <si>
    <t>FY21
Actual</t>
  </si>
  <si>
    <t>Total Bank Debt</t>
  </si>
  <si>
    <t>Current Lease Liab.</t>
  </si>
  <si>
    <t>Non-Current Lease Liab.</t>
  </si>
  <si>
    <t>Total Lease Liabilities</t>
  </si>
  <si>
    <t>Total Interest-Bearing Base</t>
  </si>
  <si>
    <t>Average Interest Bearing Base</t>
  </si>
  <si>
    <t>P&amp;L Finance Cost</t>
  </si>
  <si>
    <t>Implied Interest Rate</t>
  </si>
  <si>
    <t>Implied Future Rate of Interest</t>
  </si>
  <si>
    <t>Best case</t>
  </si>
  <si>
    <t>Base case</t>
  </si>
  <si>
    <t>Worst case</t>
  </si>
  <si>
    <t>`</t>
  </si>
  <si>
    <t>Marico Shareholders Funds / Total Equity</t>
  </si>
  <si>
    <t>Opening Share Capital</t>
  </si>
  <si>
    <t>Issue/Buybacks</t>
  </si>
  <si>
    <t>Closing Share Capital (A)</t>
  </si>
  <si>
    <t>Opening Reserves</t>
  </si>
  <si>
    <t>(+) Net Profit</t>
  </si>
  <si>
    <t>(-) Dividend and other Adjustments</t>
  </si>
  <si>
    <t>Closing Reserves (B)</t>
  </si>
  <si>
    <t>Opening Minority Interest</t>
  </si>
  <si>
    <t>(+) Share of PAT</t>
  </si>
  <si>
    <t>(-) Dividend Paid to NCI</t>
  </si>
  <si>
    <t>(Additions/Deductions)</t>
  </si>
  <si>
    <t>Closing Minority Interest (C)</t>
  </si>
  <si>
    <t>Total Equity</t>
  </si>
  <si>
    <t>Dividend Paid to Shareholders</t>
  </si>
  <si>
    <t>Net Profit Attributable to Owners</t>
  </si>
  <si>
    <t>Dividend Payout Ratio</t>
  </si>
  <si>
    <t>Dividend Paid to NCI</t>
  </si>
  <si>
    <t>Net Profit Attributable to NCI</t>
  </si>
  <si>
    <t>Other Income</t>
  </si>
  <si>
    <t>Marico Other Income</t>
  </si>
  <si>
    <t>Total Liquid Funds</t>
  </si>
  <si>
    <t>Total Operating Depreciable Assets Roll Forward Schedule</t>
  </si>
  <si>
    <t xml:space="preserve">Marico PP&amp;E </t>
  </si>
  <si>
    <t>Beginning Depreciable Assets</t>
  </si>
  <si>
    <t>Capex</t>
  </si>
  <si>
    <t>D&amp;A</t>
  </si>
  <si>
    <t>Asset Sales</t>
  </si>
  <si>
    <t>M&amp;A Plug</t>
  </si>
  <si>
    <t>Ending Depreciable Assets</t>
  </si>
  <si>
    <t>Revenue</t>
  </si>
  <si>
    <t>Capex as a % of Revenue</t>
  </si>
  <si>
    <t xml:space="preserve">Capex % </t>
  </si>
  <si>
    <t>Beginning PPE</t>
  </si>
  <si>
    <t>D&amp;A %</t>
  </si>
  <si>
    <t>Capex as a % of revenue</t>
  </si>
  <si>
    <t>D&amp;A Rate</t>
  </si>
  <si>
    <t>Output ---&gt;</t>
  </si>
  <si>
    <t>Income Statement</t>
  </si>
  <si>
    <t>Revenue From Operations</t>
  </si>
  <si>
    <t>Gross Profit</t>
  </si>
  <si>
    <t>Advertising and Selling Expenses</t>
  </si>
  <si>
    <t>EBITDA</t>
  </si>
  <si>
    <t>Depreciation and Amortisation</t>
  </si>
  <si>
    <t>EBIT</t>
  </si>
  <si>
    <t>Interest Expenses</t>
  </si>
  <si>
    <t>EBT</t>
  </si>
  <si>
    <t>Tax Rate (%)</t>
  </si>
  <si>
    <t>Net Profit</t>
  </si>
  <si>
    <t>Net Profit Attributable to:</t>
  </si>
  <si>
    <t>Owners</t>
  </si>
  <si>
    <t>NCI</t>
  </si>
  <si>
    <t>% of NCI Share in Net Income</t>
  </si>
  <si>
    <t>Balance Sheet</t>
  </si>
  <si>
    <t>ASSETS</t>
  </si>
  <si>
    <t>Current Assets</t>
  </si>
  <si>
    <t>Cash &amp; Cash Equivalents</t>
  </si>
  <si>
    <t>Trade Receivables</t>
  </si>
  <si>
    <t>Inventories</t>
  </si>
  <si>
    <t>Financial Assets</t>
  </si>
  <si>
    <t>Other Current Assets (Incl. Tax Assets)</t>
  </si>
  <si>
    <t>Total Current Assets</t>
  </si>
  <si>
    <t>Non-Current Assets</t>
  </si>
  <si>
    <t>Total Operating Depreciable Assets</t>
  </si>
  <si>
    <t>Capital Work-in-Progress</t>
  </si>
  <si>
    <t>Total Non-Current Assets</t>
  </si>
  <si>
    <t>TOTAL ASSETS</t>
  </si>
  <si>
    <t>LIABILITIES &amp; EQUITY</t>
  </si>
  <si>
    <t>Current Liabilities</t>
  </si>
  <si>
    <t>Trade Payables</t>
  </si>
  <si>
    <t>Current Liabilities (Operating)</t>
  </si>
  <si>
    <t>Other Current Liabilities (Incl Tax Liab)</t>
  </si>
  <si>
    <t>Total Current Liabilities</t>
  </si>
  <si>
    <t>Non-Current Liabilities</t>
  </si>
  <si>
    <t>Non Current Borrowings</t>
  </si>
  <si>
    <t>Total Non-Current Liabilities</t>
  </si>
  <si>
    <t>Shareholders' Equity</t>
  </si>
  <si>
    <t>Parent Shareholders' Equity</t>
  </si>
  <si>
    <t>Non-Controlling Interest (NCI)</t>
  </si>
  <si>
    <t>TOTAL LIABILITIES &amp; EQUITY</t>
  </si>
  <si>
    <t>Balance Sheet CHECK</t>
  </si>
  <si>
    <t>Cash Flow Statement</t>
  </si>
  <si>
    <t>Cash Flow from Operations (CFO)</t>
  </si>
  <si>
    <t>Net Income (PAT)</t>
  </si>
  <si>
    <t>Add: Depreciation &amp; Amortization</t>
  </si>
  <si>
    <t>Add/(Less): Change in Net Working Capital</t>
  </si>
  <si>
    <t>Add: Finance Costs</t>
  </si>
  <si>
    <t>Add/(Less): Other Operating Adjustments</t>
  </si>
  <si>
    <t>Net Cash from Operations</t>
  </si>
  <si>
    <t>Cash Flow from Investing (CFI)</t>
  </si>
  <si>
    <t>Less: Capital Expenditure (Capex)</t>
  </si>
  <si>
    <t>Add/(Less): Other Investing Activities</t>
  </si>
  <si>
    <t>Net Cash from Investing</t>
  </si>
  <si>
    <t>Cash Flow from Financing (CFF)</t>
  </si>
  <si>
    <t>Less: Dividends Paid to Shareholders</t>
  </si>
  <si>
    <t>Less: Dividends Paid to NCI</t>
  </si>
  <si>
    <t>Less: Interest Paid</t>
  </si>
  <si>
    <t>Add/(Less): Net Debt,Lease Liabilities</t>
  </si>
  <si>
    <t>Net Cash from Financing</t>
  </si>
  <si>
    <t>Exchange Difference (D)</t>
  </si>
  <si>
    <t>Net Change in Cash &amp; Equivalents</t>
  </si>
  <si>
    <t>Valuation---&gt;</t>
  </si>
  <si>
    <t>NOPAT</t>
  </si>
  <si>
    <t>(+) D&amp;A</t>
  </si>
  <si>
    <t>Gross Cash Flow</t>
  </si>
  <si>
    <t>Trade Receiveables</t>
  </si>
  <si>
    <t>Other Current Assets (Operating)</t>
  </si>
  <si>
    <t>Other Current Liabilities (Operating)</t>
  </si>
  <si>
    <t>Investment in Working Capital</t>
  </si>
  <si>
    <t>UFCF</t>
  </si>
  <si>
    <t>WACC</t>
  </si>
  <si>
    <t>Risk Free rate</t>
  </si>
  <si>
    <t>Market Risk Premium</t>
  </si>
  <si>
    <t>Cost of Equity</t>
  </si>
  <si>
    <t>Cost of Debt</t>
  </si>
  <si>
    <t>Current Market Price</t>
  </si>
  <si>
    <t>Outstanding Shares</t>
  </si>
  <si>
    <t>Total Equity (Incl. Reserves)</t>
  </si>
  <si>
    <t>Total Debt</t>
  </si>
  <si>
    <t>Weight of Equity</t>
  </si>
  <si>
    <t>Weight of NCI</t>
  </si>
  <si>
    <t>Weight of Debt</t>
  </si>
  <si>
    <t>DCF Valuation</t>
  </si>
  <si>
    <t>WACC (Ko)</t>
  </si>
  <si>
    <t>Unlevered Free Cash Flow</t>
  </si>
  <si>
    <t>Terminal Value</t>
  </si>
  <si>
    <t>Present Value of UFCF</t>
  </si>
  <si>
    <t>Present Value of Terminal Value</t>
  </si>
  <si>
    <t>Present Value of UFCFs</t>
  </si>
  <si>
    <t>Sensitivity Analysis Table</t>
  </si>
  <si>
    <t>Enterprise Value</t>
  </si>
  <si>
    <t>(+) Cash and Cash Equivalents</t>
  </si>
  <si>
    <t>(+) Financial Assets</t>
  </si>
  <si>
    <t>(-) Total Debt</t>
  </si>
  <si>
    <t>(-) Financial Liabilities</t>
  </si>
  <si>
    <t>(-) Non Controlling Interest</t>
  </si>
  <si>
    <t>Equity Value</t>
  </si>
  <si>
    <t>Intrinsic Share Price</t>
  </si>
  <si>
    <t>Sources ---&gt;</t>
  </si>
  <si>
    <t>FY21</t>
  </si>
  <si>
    <t>FY22</t>
  </si>
  <si>
    <t>FY23</t>
  </si>
  <si>
    <t>FY24</t>
  </si>
  <si>
    <t>FY25</t>
  </si>
  <si>
    <t>FY26</t>
  </si>
  <si>
    <t>Balance Sheet Schedule III</t>
  </si>
  <si>
    <t>Property, Plant and Equipment</t>
  </si>
  <si>
    <t>Right of Use Assets</t>
  </si>
  <si>
    <t>Other Intangible Assets</t>
  </si>
  <si>
    <t>Investment Properties</t>
  </si>
  <si>
    <t>Financial Assets: Investments</t>
  </si>
  <si>
    <t>Financial Assets: Loans</t>
  </si>
  <si>
    <t>Financial Assets: Others</t>
  </si>
  <si>
    <t>Deferred Tax Assets (Net)</t>
  </si>
  <si>
    <t>Non-Current Tax Assets (Net)</t>
  </si>
  <si>
    <t>Other Non-Current Assets</t>
  </si>
  <si>
    <t>Cash and Cash Equivalents</t>
  </si>
  <si>
    <t>Bank Balances (Other than above)</t>
  </si>
  <si>
    <t>Current Tax Assets (Net)</t>
  </si>
  <si>
    <t>Other Current Assets</t>
  </si>
  <si>
    <t>Assets Classified as Held for Sale</t>
  </si>
  <si>
    <t>-</t>
  </si>
  <si>
    <t>EQUITY AND LIABILITIES</t>
  </si>
  <si>
    <t>Equity</t>
  </si>
  <si>
    <t>Equity Share Capital</t>
  </si>
  <si>
    <t>Other Equity (Reserves &amp; Surplus)</t>
  </si>
  <si>
    <t>Share Application Money Pending</t>
  </si>
  <si>
    <t>Non-Controlling Interests</t>
  </si>
  <si>
    <t>Borrowings</t>
  </si>
  <si>
    <t>Lease Liabilities</t>
  </si>
  <si>
    <t>Other Financial Liabilities</t>
  </si>
  <si>
    <t>Provisions</t>
  </si>
  <si>
    <t>Deferred Tax Liabilities (Net)</t>
  </si>
  <si>
    <t>Trade Payables (Micro/Small)</t>
  </si>
  <si>
    <t>Trade Payables (Others)</t>
  </si>
  <si>
    <t>Current Tax Liabilities (Net)</t>
  </si>
  <si>
    <t>TOTAL EQUITY &amp; LIABILITIES</t>
  </si>
  <si>
    <t>CASH FLOW FROM OPERATING ACTIVITIES (CFO)</t>
  </si>
  <si>
    <t>Profit Before Tax (PBT)</t>
  </si>
  <si>
    <t>(+) Depreciation &amp; Amortization</t>
  </si>
  <si>
    <t>(+) Finance Costs</t>
  </si>
  <si>
    <t>(+/-) Other Non-Cash/Non-Op Adjustments (Net)</t>
  </si>
  <si>
    <t>Operating Profit Before WC Changes</t>
  </si>
  <si>
    <t>(+/-) Changes in Working Capital</t>
  </si>
  <si>
    <t>(-) Income Taxes Paid (Net of refunds)</t>
  </si>
  <si>
    <t>(+/-) FX Translation Effects*</t>
  </si>
  <si>
    <t>Net Cash from Operating Activities (A)</t>
  </si>
  <si>
    <t>CASH FLOW FROM INVESTING ACTIVITIES (CFI)</t>
  </si>
  <si>
    <t>(-) Payment for PPE &amp; Intangibles (CapEx)</t>
  </si>
  <si>
    <t>(-) Acquisition of Subsidiaries (M&amp;A Cash Outflow)</t>
  </si>
  <si>
    <t>(+)Proceeds From Sale Of PP&amp;E</t>
  </si>
  <si>
    <t>(+/-) Net Treasury Inv. &amp; Interest Received</t>
  </si>
  <si>
    <t>Net Cash from Investing Activities (B)</t>
  </si>
  <si>
    <t>CASH FLOW FROM FINANCING ACTIVITIES (CFF)</t>
  </si>
  <si>
    <t>(+/-) Net Borrowings (taken / repaid)</t>
  </si>
  <si>
    <t>(-) Payment of Lease Liabilities (Principal + Int)</t>
  </si>
  <si>
    <t>(-) Interest Paid</t>
  </si>
  <si>
    <t>(-) Dividends Paid to Shareholders</t>
  </si>
  <si>
    <t>(+/-) Other Equity/NCI Transactions</t>
  </si>
  <si>
    <t>Net Cash from Financing Activities (C)</t>
  </si>
  <si>
    <t>NET INCREASE / (DECREASE) IN CASH (A+B+C+D)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</si>
</sst>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₹&quot;\ #,##0.00;[Red]&quot;₹&quot;\ \-#,##0.00"/>
    <numFmt numFmtId="43" formatCode="_ * #,##0.00_ ;_ * \-#,##0.00_ ;_ * &quot;-&quot;??_ ;_ @_ "/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###,##0;\(###,##0\);\-"/>
    <numFmt numFmtId="169" formatCode="###,##0.00;\(###,##0.00\);\-"/>
    <numFmt numFmtId="170" formatCode="0.000%"/>
    <numFmt numFmtId="171" formatCode="_ [$₹-44D]\ * #,##0.00_ ;_ [$₹-44D]\ * \-#,##0.00_ ;_ [$₹-44D]\ * &quot;-&quot;??_ ;_ @_ "/>
    <numFmt numFmtId="172" formatCode="_ [$₹-44D]\ * #,##0_ ;_ [$₹-44D]\ * \-#,##0_ ;_ [$₹-44D]\ * &quot;-&quot;_ ;_ @_ "/>
    <numFmt numFmtId="173" formatCode=";;;"/>
  </numFmts>
  <fonts count="62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1"/>
      <color rgb="FF00B050"/>
      <name val="Calibri"/>
      <family val="2"/>
    </font>
    <font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1F1F1F"/>
      <name val="Calibri"/>
      <family val="2"/>
      <scheme val="minor"/>
    </font>
    <font>
      <sz val="11"/>
      <color rgb="FF1F1F1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1F1F1F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4"/>
      <color rgb="FF00206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70C0"/>
      <name val="Calibri"/>
      <family val="2"/>
    </font>
    <font>
      <b/>
      <sz val="18"/>
      <color rgb="FF002060"/>
      <name val="Calibri"/>
      <family val="2"/>
      <scheme val="minor"/>
    </font>
    <font>
      <b/>
      <i/>
      <sz val="14"/>
      <color rgb="FF00206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1F1F1F"/>
      <name val="Calibri"/>
      <family val="2"/>
    </font>
    <font>
      <sz val="11"/>
      <color rgb="FF1F1F1F"/>
      <name val="Calibri"/>
      <family val="2"/>
    </font>
    <font>
      <b/>
      <sz val="14"/>
      <color rgb="FF002060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9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72"/>
      <color rgb="FFC00000"/>
      <name val="Calibri"/>
      <family val="2"/>
    </font>
    <font>
      <b/>
      <sz val="16"/>
      <color rgb="FF002060"/>
      <name val="Calibri"/>
      <family val="2"/>
    </font>
    <font>
      <b/>
      <sz val="20"/>
      <color rgb="FF00206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i/>
      <sz val="9"/>
      <color rgb="FF00B05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i/>
      <sz val="11"/>
      <color theme="1"/>
      <name val="Calibri"/>
      <family val="2"/>
    </font>
    <font>
      <b/>
      <i/>
      <u val="doubleAccounting"/>
      <sz val="14"/>
      <color rgb="FF00206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</font>
    <font>
      <b/>
      <i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ay"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gray125">
        <bgColor theme="0" tint="-0.14996795556505021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medium">
        <color rgb="FF002060"/>
      </top>
      <bottom/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168" fontId="1" fillId="0" borderId="0">
      <alignment vertical="top"/>
    </xf>
    <xf numFmtId="9" fontId="1" fillId="0" borderId="0" applyFont="0" applyFill="0" applyBorder="0" applyAlignment="0" applyProtection="0"/>
    <xf numFmtId="168" fontId="3" fillId="0" borderId="0"/>
    <xf numFmtId="166" fontId="3" fillId="0" borderId="0"/>
    <xf numFmtId="168" fontId="4" fillId="0" borderId="0"/>
    <xf numFmtId="166" fontId="1" fillId="0" borderId="0"/>
    <xf numFmtId="166" fontId="4" fillId="0" borderId="0"/>
  </cellStyleXfs>
  <cellXfs count="254">
    <xf numFmtId="0" fontId="0" fillId="0" borderId="0" xfId="0"/>
    <xf numFmtId="0" fontId="2" fillId="0" borderId="0" xfId="0" applyFont="1"/>
    <xf numFmtId="43" fontId="0" fillId="0" borderId="0" xfId="1" applyFont="1" applyBorder="1"/>
    <xf numFmtId="43" fontId="0" fillId="0" borderId="0" xfId="1" applyFont="1" applyFill="1" applyBorder="1"/>
    <xf numFmtId="168" fontId="1" fillId="0" borderId="0" xfId="2">
      <alignment vertical="top"/>
    </xf>
    <xf numFmtId="4" fontId="0" fillId="0" borderId="0" xfId="0" applyNumberFormat="1"/>
    <xf numFmtId="166" fontId="3" fillId="0" borderId="0" xfId="5"/>
    <xf numFmtId="168" fontId="3" fillId="0" borderId="0" xfId="4"/>
    <xf numFmtId="166" fontId="1" fillId="0" borderId="0" xfId="7"/>
    <xf numFmtId="11" fontId="0" fillId="0" borderId="0" xfId="0" applyNumberFormat="1"/>
    <xf numFmtId="168" fontId="5" fillId="0" borderId="0" xfId="6" applyFont="1"/>
    <xf numFmtId="164" fontId="6" fillId="2" borderId="0" xfId="0" applyNumberFormat="1" applyFont="1" applyFill="1"/>
    <xf numFmtId="164" fontId="7" fillId="2" borderId="0" xfId="0" applyNumberFormat="1" applyFont="1" applyFill="1"/>
    <xf numFmtId="168" fontId="4" fillId="0" borderId="0" xfId="6"/>
    <xf numFmtId="9" fontId="7" fillId="2" borderId="0" xfId="3" applyFont="1" applyFill="1"/>
    <xf numFmtId="0" fontId="2" fillId="4" borderId="2" xfId="0" applyFont="1" applyFill="1" applyBorder="1"/>
    <xf numFmtId="0" fontId="7" fillId="2" borderId="0" xfId="0" applyFont="1" applyFill="1"/>
    <xf numFmtId="0" fontId="7" fillId="0" borderId="0" xfId="0" applyFont="1"/>
    <xf numFmtId="167" fontId="11" fillId="7" borderId="0" xfId="0" applyNumberFormat="1" applyFont="1" applyFill="1" applyAlignment="1">
      <alignment horizontal="right" vertical="top"/>
    </xf>
    <xf numFmtId="165" fontId="11" fillId="7" borderId="0" xfId="0" applyNumberFormat="1" applyFont="1" applyFill="1" applyAlignment="1">
      <alignment horizontal="right" vertical="top"/>
    </xf>
    <xf numFmtId="0" fontId="9" fillId="4" borderId="0" xfId="0" applyFont="1" applyFill="1" applyAlignment="1">
      <alignment vertical="top"/>
    </xf>
    <xf numFmtId="0" fontId="11" fillId="4" borderId="0" xfId="0" applyFont="1" applyFill="1" applyAlignment="1">
      <alignment vertical="top"/>
    </xf>
    <xf numFmtId="0" fontId="11" fillId="2" borderId="0" xfId="0" applyFont="1" applyFill="1" applyAlignment="1">
      <alignment vertical="top"/>
    </xf>
    <xf numFmtId="0" fontId="11" fillId="4" borderId="0" xfId="0" applyFont="1" applyFill="1" applyAlignment="1">
      <alignment horizontal="right" vertical="top"/>
    </xf>
    <xf numFmtId="9" fontId="11" fillId="4" borderId="0" xfId="3" applyFont="1" applyFill="1" applyAlignment="1">
      <alignment vertical="top"/>
    </xf>
    <xf numFmtId="168" fontId="7" fillId="0" borderId="0" xfId="6" applyFont="1"/>
    <xf numFmtId="9" fontId="7" fillId="0" borderId="0" xfId="0" applyNumberFormat="1" applyFont="1"/>
    <xf numFmtId="0" fontId="13" fillId="0" borderId="0" xfId="0" applyFont="1" applyAlignment="1">
      <alignment vertical="center" wrapText="1" readingOrder="1"/>
    </xf>
    <xf numFmtId="0" fontId="12" fillId="4" borderId="4" xfId="0" applyFont="1" applyFill="1" applyBorder="1" applyAlignment="1">
      <alignment vertical="center" wrapText="1" readingOrder="1"/>
    </xf>
    <xf numFmtId="3" fontId="12" fillId="4" borderId="4" xfId="0" applyNumberFormat="1" applyFont="1" applyFill="1" applyBorder="1" applyAlignment="1">
      <alignment vertical="center" wrapText="1" readingOrder="1"/>
    </xf>
    <xf numFmtId="0" fontId="14" fillId="0" borderId="0" xfId="0" applyFont="1" applyAlignment="1">
      <alignment wrapText="1"/>
    </xf>
    <xf numFmtId="0" fontId="14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6" fillId="0" borderId="0" xfId="0" applyFont="1" applyAlignment="1">
      <alignment vertical="center"/>
    </xf>
    <xf numFmtId="0" fontId="17" fillId="0" borderId="0" xfId="0" applyFont="1"/>
    <xf numFmtId="0" fontId="15" fillId="4" borderId="2" xfId="0" applyFont="1" applyFill="1" applyBorder="1" applyAlignment="1">
      <alignment wrapText="1"/>
    </xf>
    <xf numFmtId="0" fontId="18" fillId="0" borderId="0" xfId="0" applyFont="1" applyAlignment="1">
      <alignment vertical="center" wrapText="1" readingOrder="1"/>
    </xf>
    <xf numFmtId="168" fontId="13" fillId="0" borderId="0" xfId="0" applyNumberFormat="1" applyFont="1" applyAlignment="1">
      <alignment vertical="center" wrapText="1" readingOrder="1"/>
    </xf>
    <xf numFmtId="0" fontId="14" fillId="0" borderId="0" xfId="0" applyFont="1" applyAlignment="1">
      <alignment horizontal="right" wrapText="1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8" fontId="0" fillId="0" borderId="0" xfId="0" applyNumberFormat="1"/>
    <xf numFmtId="0" fontId="22" fillId="2" borderId="0" xfId="0" applyFont="1" applyFill="1"/>
    <xf numFmtId="0" fontId="17" fillId="6" borderId="2" xfId="0" applyFont="1" applyFill="1" applyBorder="1"/>
    <xf numFmtId="166" fontId="2" fillId="6" borderId="2" xfId="7" applyFont="1" applyFill="1" applyBorder="1"/>
    <xf numFmtId="166" fontId="1" fillId="4" borderId="0" xfId="7" applyFill="1"/>
    <xf numFmtId="0" fontId="7" fillId="4" borderId="0" xfId="0" applyFont="1" applyFill="1"/>
    <xf numFmtId="0" fontId="24" fillId="2" borderId="0" xfId="0" applyFont="1" applyFill="1"/>
    <xf numFmtId="0" fontId="25" fillId="2" borderId="0" xfId="0" applyFont="1" applyFill="1"/>
    <xf numFmtId="0" fontId="10" fillId="4" borderId="3" xfId="0" applyFont="1" applyFill="1" applyBorder="1"/>
    <xf numFmtId="168" fontId="26" fillId="4" borderId="4" xfId="6" applyFont="1" applyFill="1" applyBorder="1"/>
    <xf numFmtId="164" fontId="27" fillId="2" borderId="0" xfId="0" applyNumberFormat="1" applyFont="1" applyFill="1"/>
    <xf numFmtId="164" fontId="7" fillId="5" borderId="0" xfId="0" applyNumberFormat="1" applyFont="1" applyFill="1"/>
    <xf numFmtId="168" fontId="5" fillId="0" borderId="6" xfId="6" applyFont="1" applyBorder="1"/>
    <xf numFmtId="0" fontId="28" fillId="2" borderId="0" xfId="0" applyFont="1" applyFill="1"/>
    <xf numFmtId="0" fontId="31" fillId="2" borderId="0" xfId="0" applyFont="1" applyFill="1" applyAlignment="1">
      <alignment vertical="top"/>
    </xf>
    <xf numFmtId="0" fontId="30" fillId="2" borderId="3" xfId="0" applyFont="1" applyFill="1" applyBorder="1"/>
    <xf numFmtId="167" fontId="30" fillId="2" borderId="3" xfId="0" applyNumberFormat="1" applyFont="1" applyFill="1" applyBorder="1"/>
    <xf numFmtId="0" fontId="32" fillId="4" borderId="0" xfId="0" applyFont="1" applyFill="1" applyAlignment="1">
      <alignment vertical="top"/>
    </xf>
    <xf numFmtId="0" fontId="33" fillId="4" borderId="0" xfId="0" applyFont="1" applyFill="1" applyAlignment="1">
      <alignment vertical="top"/>
    </xf>
    <xf numFmtId="168" fontId="12" fillId="4" borderId="4" xfId="0" applyNumberFormat="1" applyFont="1" applyFill="1" applyBorder="1" applyAlignment="1">
      <alignment vertical="center" wrapText="1" readingOrder="1"/>
    </xf>
    <xf numFmtId="168" fontId="2" fillId="0" borderId="0" xfId="2" applyFont="1">
      <alignment vertical="top"/>
    </xf>
    <xf numFmtId="0" fontId="30" fillId="4" borderId="4" xfId="0" applyFont="1" applyFill="1" applyBorder="1"/>
    <xf numFmtId="168" fontId="4" fillId="7" borderId="0" xfId="6" applyFill="1"/>
    <xf numFmtId="167" fontId="30" fillId="7" borderId="3" xfId="0" applyNumberFormat="1" applyFont="1" applyFill="1" applyBorder="1"/>
    <xf numFmtId="168" fontId="7" fillId="7" borderId="0" xfId="6" applyFont="1" applyFill="1"/>
    <xf numFmtId="167" fontId="10" fillId="7" borderId="3" xfId="0" applyNumberFormat="1" applyFont="1" applyFill="1" applyBorder="1"/>
    <xf numFmtId="0" fontId="7" fillId="0" borderId="0" xfId="0" applyFont="1" applyAlignment="1">
      <alignment vertical="center"/>
    </xf>
    <xf numFmtId="167" fontId="0" fillId="0" borderId="0" xfId="0" applyNumberFormat="1"/>
    <xf numFmtId="164" fontId="6" fillId="4" borderId="7" xfId="0" applyNumberFormat="1" applyFont="1" applyFill="1" applyBorder="1" applyAlignment="1">
      <alignment horizontal="right" wrapText="1"/>
    </xf>
    <xf numFmtId="164" fontId="34" fillId="2" borderId="0" xfId="0" applyNumberFormat="1" applyFont="1" applyFill="1" applyAlignment="1">
      <alignment horizontal="right" wrapText="1"/>
    </xf>
    <xf numFmtId="169" fontId="4" fillId="4" borderId="0" xfId="6" applyNumberFormat="1" applyFill="1"/>
    <xf numFmtId="169" fontId="1" fillId="4" borderId="0" xfId="2" applyNumberFormat="1" applyFill="1">
      <alignment vertical="top"/>
    </xf>
    <xf numFmtId="169" fontId="1" fillId="4" borderId="4" xfId="2" applyNumberFormat="1" applyFill="1" applyBorder="1">
      <alignment vertical="top"/>
    </xf>
    <xf numFmtId="0" fontId="13" fillId="7" borderId="0" xfId="0" applyFont="1" applyFill="1" applyAlignment="1">
      <alignment vertical="center" wrapText="1" readingOrder="1"/>
    </xf>
    <xf numFmtId="165" fontId="7" fillId="7" borderId="0" xfId="0" applyNumberFormat="1" applyFont="1" applyFill="1"/>
    <xf numFmtId="166" fontId="7" fillId="7" borderId="0" xfId="3" applyNumberFormat="1" applyFont="1" applyFill="1"/>
    <xf numFmtId="166" fontId="5" fillId="7" borderId="0" xfId="8" applyFont="1" applyFill="1"/>
    <xf numFmtId="167" fontId="7" fillId="7" borderId="0" xfId="0" applyNumberFormat="1" applyFont="1" applyFill="1"/>
    <xf numFmtId="168" fontId="7" fillId="7" borderId="0" xfId="2" applyFont="1" applyFill="1">
      <alignment vertical="top"/>
    </xf>
    <xf numFmtId="166" fontId="7" fillId="7" borderId="0" xfId="7" applyFont="1" applyFill="1"/>
    <xf numFmtId="9" fontId="7" fillId="7" borderId="0" xfId="3" applyFont="1" applyFill="1"/>
    <xf numFmtId="0" fontId="35" fillId="0" borderId="0" xfId="0" applyFont="1" applyAlignment="1">
      <alignment vertical="center" wrapText="1" readingOrder="1"/>
    </xf>
    <xf numFmtId="0" fontId="36" fillId="0" borderId="0" xfId="0" applyFont="1" applyAlignment="1">
      <alignment vertical="center" wrapText="1" readingOrder="1"/>
    </xf>
    <xf numFmtId="0" fontId="35" fillId="0" borderId="2" xfId="0" applyFont="1" applyBorder="1" applyAlignment="1">
      <alignment vertical="center" wrapText="1" readingOrder="1"/>
    </xf>
    <xf numFmtId="0" fontId="35" fillId="4" borderId="4" xfId="0" applyFont="1" applyFill="1" applyBorder="1" applyAlignment="1">
      <alignment vertical="center" wrapText="1" readingOrder="1"/>
    </xf>
    <xf numFmtId="166" fontId="1" fillId="4" borderId="4" xfId="7" applyFill="1" applyBorder="1"/>
    <xf numFmtId="168" fontId="2" fillId="7" borderId="0" xfId="4" applyFont="1" applyFill="1"/>
    <xf numFmtId="166" fontId="1" fillId="6" borderId="4" xfId="7" applyFill="1" applyBorder="1"/>
    <xf numFmtId="168" fontId="1" fillId="7" borderId="0" xfId="2" applyFill="1">
      <alignment vertical="top"/>
    </xf>
    <xf numFmtId="168" fontId="2" fillId="2" borderId="2" xfId="4" applyFont="1" applyFill="1" applyBorder="1"/>
    <xf numFmtId="164" fontId="28" fillId="2" borderId="0" xfId="0" applyNumberFormat="1" applyFont="1" applyFill="1"/>
    <xf numFmtId="164" fontId="38" fillId="2" borderId="0" xfId="0" applyNumberFormat="1" applyFont="1" applyFill="1"/>
    <xf numFmtId="0" fontId="39" fillId="0" borderId="0" xfId="0" applyFont="1"/>
    <xf numFmtId="0" fontId="0" fillId="7" borderId="0" xfId="0" applyFill="1"/>
    <xf numFmtId="0" fontId="40" fillId="0" borderId="0" xfId="0" applyFont="1"/>
    <xf numFmtId="0" fontId="30" fillId="2" borderId="4" xfId="0" applyFont="1" applyFill="1" applyBorder="1"/>
    <xf numFmtId="166" fontId="1" fillId="0" borderId="4" xfId="7" applyBorder="1"/>
    <xf numFmtId="0" fontId="30" fillId="6" borderId="0" xfId="0" applyFont="1" applyFill="1"/>
    <xf numFmtId="0" fontId="11" fillId="6" borderId="0" xfId="0" applyFont="1" applyFill="1" applyAlignment="1">
      <alignment vertical="top"/>
    </xf>
    <xf numFmtId="0" fontId="9" fillId="6" borderId="0" xfId="0" applyFont="1" applyFill="1" applyAlignment="1">
      <alignment vertical="top"/>
    </xf>
    <xf numFmtId="0" fontId="41" fillId="0" borderId="0" xfId="0" applyFont="1" applyAlignment="1">
      <alignment vertical="center"/>
    </xf>
    <xf numFmtId="0" fontId="15" fillId="8" borderId="2" xfId="0" applyFont="1" applyFill="1" applyBorder="1" applyAlignment="1">
      <alignment wrapText="1"/>
    </xf>
    <xf numFmtId="168" fontId="2" fillId="8" borderId="2" xfId="2" applyFont="1" applyFill="1" applyBorder="1">
      <alignment vertical="top"/>
    </xf>
    <xf numFmtId="0" fontId="14" fillId="7" borderId="0" xfId="0" applyFont="1" applyFill="1" applyAlignment="1">
      <alignment wrapText="1"/>
    </xf>
    <xf numFmtId="168" fontId="4" fillId="0" borderId="0" xfId="2" applyFont="1">
      <alignment vertical="top"/>
    </xf>
    <xf numFmtId="168" fontId="4" fillId="7" borderId="0" xfId="2" applyFont="1" applyFill="1">
      <alignment vertical="top"/>
    </xf>
    <xf numFmtId="0" fontId="17" fillId="2" borderId="0" xfId="0" applyFont="1" applyFill="1"/>
    <xf numFmtId="168" fontId="1" fillId="7" borderId="0" xfId="6" applyFont="1" applyFill="1"/>
    <xf numFmtId="10" fontId="39" fillId="0" borderId="0" xfId="0" applyNumberFormat="1" applyFont="1"/>
    <xf numFmtId="0" fontId="31" fillId="2" borderId="1" xfId="0" applyFont="1" applyFill="1" applyBorder="1" applyAlignment="1">
      <alignment vertical="top"/>
    </xf>
    <xf numFmtId="168" fontId="1" fillId="0" borderId="1" xfId="2" applyBorder="1">
      <alignment vertical="top"/>
    </xf>
    <xf numFmtId="168" fontId="4" fillId="7" borderId="1" xfId="6" applyFill="1" applyBorder="1"/>
    <xf numFmtId="166" fontId="1" fillId="7" borderId="0" xfId="7" applyFill="1"/>
    <xf numFmtId="0" fontId="0" fillId="0" borderId="2" xfId="0" applyBorder="1"/>
    <xf numFmtId="168" fontId="0" fillId="0" borderId="2" xfId="0" applyNumberFormat="1" applyBorder="1"/>
    <xf numFmtId="168" fontId="2" fillId="4" borderId="2" xfId="0" applyNumberFormat="1" applyFont="1" applyFill="1" applyBorder="1"/>
    <xf numFmtId="0" fontId="43" fillId="0" borderId="2" xfId="0" applyFont="1" applyBorder="1"/>
    <xf numFmtId="168" fontId="45" fillId="0" borderId="2" xfId="0" applyNumberFormat="1" applyFont="1" applyBorder="1"/>
    <xf numFmtId="0" fontId="46" fillId="0" borderId="2" xfId="0" applyFont="1" applyBorder="1"/>
    <xf numFmtId="0" fontId="19" fillId="0" borderId="0" xfId="0" applyFont="1" applyAlignment="1">
      <alignment horizontal="left" vertical="center" wrapText="1"/>
    </xf>
    <xf numFmtId="0" fontId="0" fillId="9" borderId="0" xfId="0" applyFill="1"/>
    <xf numFmtId="0" fontId="47" fillId="9" borderId="0" xfId="0" applyFont="1" applyFill="1"/>
    <xf numFmtId="0" fontId="20" fillId="9" borderId="0" xfId="0" applyFont="1" applyFill="1"/>
    <xf numFmtId="168" fontId="1" fillId="9" borderId="0" xfId="2" applyFill="1">
      <alignment vertical="top"/>
    </xf>
    <xf numFmtId="0" fontId="49" fillId="0" borderId="0" xfId="0" applyFont="1" applyAlignment="1">
      <alignment vertical="center"/>
    </xf>
    <xf numFmtId="0" fontId="48" fillId="0" borderId="0" xfId="0" applyFont="1" applyAlignment="1">
      <alignment horizontal="left" vertical="center"/>
    </xf>
    <xf numFmtId="166" fontId="4" fillId="0" borderId="0" xfId="8"/>
    <xf numFmtId="0" fontId="0" fillId="10" borderId="0" xfId="0" applyFill="1"/>
    <xf numFmtId="168" fontId="1" fillId="10" borderId="0" xfId="2" applyFill="1">
      <alignment vertical="top"/>
    </xf>
    <xf numFmtId="0" fontId="2" fillId="10" borderId="0" xfId="0" applyFont="1" applyFill="1"/>
    <xf numFmtId="168" fontId="0" fillId="7" borderId="2" xfId="0" applyNumberFormat="1" applyFill="1" applyBorder="1"/>
    <xf numFmtId="0" fontId="7" fillId="7" borderId="0" xfId="0" applyFont="1" applyFill="1"/>
    <xf numFmtId="10" fontId="52" fillId="2" borderId="0" xfId="0" applyNumberFormat="1" applyFont="1" applyFill="1"/>
    <xf numFmtId="164" fontId="52" fillId="2" borderId="0" xfId="0" applyNumberFormat="1" applyFont="1" applyFill="1"/>
    <xf numFmtId="10" fontId="39" fillId="7" borderId="0" xfId="2" applyNumberFormat="1" applyFont="1" applyFill="1">
      <alignment vertical="top"/>
    </xf>
    <xf numFmtId="168" fontId="39" fillId="7" borderId="0" xfId="2" applyFont="1" applyFill="1">
      <alignment vertical="top"/>
    </xf>
    <xf numFmtId="0" fontId="39" fillId="7" borderId="0" xfId="0" applyFont="1" applyFill="1"/>
    <xf numFmtId="0" fontId="7" fillId="2" borderId="0" xfId="0" applyFont="1" applyFill="1" applyAlignment="1">
      <alignment horizontal="center"/>
    </xf>
    <xf numFmtId="168" fontId="2" fillId="4" borderId="2" xfId="2" applyFont="1" applyFill="1" applyBorder="1">
      <alignment vertical="top"/>
    </xf>
    <xf numFmtId="0" fontId="2" fillId="4" borderId="4" xfId="0" applyFont="1" applyFill="1" applyBorder="1"/>
    <xf numFmtId="168" fontId="2" fillId="4" borderId="4" xfId="0" applyNumberFormat="1" applyFont="1" applyFill="1" applyBorder="1"/>
    <xf numFmtId="10" fontId="53" fillId="0" borderId="0" xfId="2" applyNumberFormat="1" applyFont="1">
      <alignment vertical="top"/>
    </xf>
    <xf numFmtId="168" fontId="53" fillId="0" borderId="0" xfId="2" applyFont="1">
      <alignment vertical="top"/>
    </xf>
    <xf numFmtId="0" fontId="53" fillId="0" borderId="0" xfId="0" applyFont="1"/>
    <xf numFmtId="165" fontId="5" fillId="2" borderId="0" xfId="0" applyNumberFormat="1" applyFont="1" applyFill="1"/>
    <xf numFmtId="9" fontId="5" fillId="7" borderId="0" xfId="3" applyFont="1" applyFill="1"/>
    <xf numFmtId="166" fontId="4" fillId="4" borderId="0" xfId="7" applyFont="1" applyFill="1"/>
    <xf numFmtId="0" fontId="48" fillId="0" borderId="0" xfId="0" applyFont="1"/>
    <xf numFmtId="0" fontId="4" fillId="0" borderId="0" xfId="0" applyFont="1"/>
    <xf numFmtId="171" fontId="0" fillId="0" borderId="0" xfId="0" applyNumberFormat="1"/>
    <xf numFmtId="172" fontId="0" fillId="0" borderId="0" xfId="0" applyNumberFormat="1"/>
    <xf numFmtId="173" fontId="0" fillId="7" borderId="8" xfId="0" applyNumberFormat="1" applyFill="1" applyBorder="1"/>
    <xf numFmtId="0" fontId="56" fillId="0" borderId="0" xfId="0" applyFont="1"/>
    <xf numFmtId="166" fontId="56" fillId="7" borderId="8" xfId="7" applyFont="1" applyFill="1" applyBorder="1"/>
    <xf numFmtId="0" fontId="2" fillId="4" borderId="8" xfId="0" applyFont="1" applyFill="1" applyBorder="1"/>
    <xf numFmtId="9" fontId="42" fillId="4" borderId="8" xfId="0" applyNumberFormat="1" applyFont="1" applyFill="1" applyBorder="1"/>
    <xf numFmtId="10" fontId="42" fillId="4" borderId="8" xfId="0" applyNumberFormat="1" applyFont="1" applyFill="1" applyBorder="1"/>
    <xf numFmtId="0" fontId="2" fillId="0" borderId="0" xfId="0" applyFont="1" applyProtection="1">
      <protection locked="0"/>
    </xf>
    <xf numFmtId="168" fontId="23" fillId="0" borderId="0" xfId="4" applyFont="1" applyAlignment="1" applyProtection="1">
      <alignment horizontal="right"/>
      <protection locked="0"/>
    </xf>
    <xf numFmtId="166" fontId="23" fillId="0" borderId="0" xfId="5" applyFont="1" applyProtection="1">
      <protection locked="0"/>
    </xf>
    <xf numFmtId="8" fontId="23" fillId="0" borderId="0" xfId="0" applyNumberFormat="1" applyFont="1" applyProtection="1">
      <protection locked="0"/>
    </xf>
    <xf numFmtId="168" fontId="23" fillId="0" borderId="0" xfId="4" applyFont="1" applyProtection="1">
      <protection locked="0"/>
    </xf>
    <xf numFmtId="4" fontId="23" fillId="0" borderId="0" xfId="0" applyNumberFormat="1" applyFont="1" applyProtection="1">
      <protection locked="0"/>
    </xf>
    <xf numFmtId="10" fontId="23" fillId="0" borderId="0" xfId="5" applyNumberFormat="1" applyFont="1" applyProtection="1">
      <protection locked="0"/>
    </xf>
    <xf numFmtId="166" fontId="3" fillId="7" borderId="0" xfId="5" applyFill="1" applyProtection="1">
      <protection locked="0"/>
    </xf>
    <xf numFmtId="168" fontId="55" fillId="0" borderId="2" xfId="2" applyFont="1" applyBorder="1">
      <alignment vertical="top"/>
    </xf>
    <xf numFmtId="8" fontId="1" fillId="0" borderId="8" xfId="2" applyNumberFormat="1" applyBorder="1">
      <alignment vertical="top"/>
    </xf>
    <xf numFmtId="0" fontId="37" fillId="11" borderId="9" xfId="0" applyFont="1" applyFill="1" applyBorder="1" applyAlignment="1">
      <alignment vertical="center"/>
    </xf>
    <xf numFmtId="8" fontId="57" fillId="11" borderId="10" xfId="0" applyNumberFormat="1" applyFont="1" applyFill="1" applyBorder="1" applyAlignment="1">
      <alignment vertical="center"/>
    </xf>
    <xf numFmtId="164" fontId="58" fillId="2" borderId="0" xfId="0" applyNumberFormat="1" applyFont="1" applyFill="1"/>
    <xf numFmtId="165" fontId="58" fillId="2" borderId="0" xfId="0" applyNumberFormat="1" applyFont="1" applyFill="1" applyAlignment="1">
      <alignment horizontal="right"/>
    </xf>
    <xf numFmtId="166" fontId="58" fillId="2" borderId="0" xfId="3" applyNumberFormat="1" applyFont="1" applyFill="1" applyBorder="1"/>
    <xf numFmtId="9" fontId="58" fillId="2" borderId="0" xfId="3" applyFont="1" applyFill="1" applyBorder="1"/>
    <xf numFmtId="166" fontId="58" fillId="0" borderId="0" xfId="7" applyFont="1"/>
    <xf numFmtId="9" fontId="59" fillId="2" borderId="0" xfId="3" applyFont="1" applyFill="1" applyBorder="1"/>
    <xf numFmtId="167" fontId="5" fillId="2" borderId="0" xfId="0" applyNumberFormat="1" applyFont="1" applyFill="1" applyAlignment="1">
      <alignment horizontal="right" vertical="top"/>
    </xf>
    <xf numFmtId="166" fontId="2" fillId="4" borderId="0" xfId="7" applyFont="1" applyFill="1"/>
    <xf numFmtId="0" fontId="2" fillId="7" borderId="0" xfId="0" applyFont="1" applyFill="1"/>
    <xf numFmtId="168" fontId="0" fillId="7" borderId="0" xfId="0" applyNumberFormat="1" applyFill="1"/>
    <xf numFmtId="168" fontId="2" fillId="4" borderId="4" xfId="2" applyFont="1" applyFill="1" applyBorder="1">
      <alignment vertical="top"/>
    </xf>
    <xf numFmtId="10" fontId="2" fillId="4" borderId="2" xfId="0" applyNumberFormat="1" applyFont="1" applyFill="1" applyBorder="1"/>
    <xf numFmtId="0" fontId="12" fillId="4" borderId="2" xfId="0" applyFont="1" applyFill="1" applyBorder="1" applyAlignment="1">
      <alignment vertical="center" wrapText="1" readingOrder="1"/>
    </xf>
    <xf numFmtId="168" fontId="12" fillId="4" borderId="2" xfId="0" applyNumberFormat="1" applyFont="1" applyFill="1" applyBorder="1" applyAlignment="1">
      <alignment vertical="center" wrapText="1" readingOrder="1"/>
    </xf>
    <xf numFmtId="3" fontId="12" fillId="4" borderId="2" xfId="0" applyNumberFormat="1" applyFont="1" applyFill="1" applyBorder="1" applyAlignment="1">
      <alignment vertical="center" wrapText="1" readingOrder="1"/>
    </xf>
    <xf numFmtId="0" fontId="54" fillId="3" borderId="2" xfId="0" applyFont="1" applyFill="1" applyBorder="1" applyAlignment="1">
      <alignment vertical="center"/>
    </xf>
    <xf numFmtId="0" fontId="54" fillId="3" borderId="2" xfId="0" applyFont="1" applyFill="1" applyBorder="1" applyAlignment="1">
      <alignment horizontal="right" vertical="center"/>
    </xf>
    <xf numFmtId="0" fontId="15" fillId="7" borderId="2" xfId="0" applyFont="1" applyFill="1" applyBorder="1" applyAlignment="1">
      <alignment wrapText="1"/>
    </xf>
    <xf numFmtId="3" fontId="15" fillId="8" borderId="2" xfId="0" applyNumberFormat="1" applyFont="1" applyFill="1" applyBorder="1" applyAlignment="1">
      <alignment horizontal="right" wrapText="1"/>
    </xf>
    <xf numFmtId="43" fontId="2" fillId="12" borderId="1" xfId="1" applyFont="1" applyFill="1" applyBorder="1"/>
    <xf numFmtId="168" fontId="2" fillId="12" borderId="1" xfId="4" applyFont="1" applyFill="1" applyBorder="1"/>
    <xf numFmtId="10" fontId="39" fillId="12" borderId="2" xfId="0" applyNumberFormat="1" applyFont="1" applyFill="1" applyBorder="1"/>
    <xf numFmtId="0" fontId="12" fillId="12" borderId="2" xfId="0" applyFont="1" applyFill="1" applyBorder="1" applyAlignment="1">
      <alignment vertical="center" wrapText="1" readingOrder="1"/>
    </xf>
    <xf numFmtId="3" fontId="12" fillId="12" borderId="2" xfId="0" applyNumberFormat="1" applyFont="1" applyFill="1" applyBorder="1" applyAlignment="1">
      <alignment vertical="center" wrapText="1" readingOrder="1"/>
    </xf>
    <xf numFmtId="0" fontId="12" fillId="12" borderId="4" xfId="0" applyFont="1" applyFill="1" applyBorder="1" applyAlignment="1">
      <alignment vertical="center" wrapText="1" readingOrder="1"/>
    </xf>
    <xf numFmtId="0" fontId="12" fillId="8" borderId="2" xfId="0" applyFont="1" applyFill="1" applyBorder="1" applyAlignment="1">
      <alignment vertical="center" wrapText="1" readingOrder="1"/>
    </xf>
    <xf numFmtId="168" fontId="12" fillId="8" borderId="2" xfId="0" applyNumberFormat="1" applyFont="1" applyFill="1" applyBorder="1" applyAlignment="1">
      <alignment vertical="center" wrapText="1" readingOrder="1"/>
    </xf>
    <xf numFmtId="0" fontId="12" fillId="7" borderId="4" xfId="0" applyFont="1" applyFill="1" applyBorder="1" applyAlignment="1">
      <alignment vertical="center" wrapText="1" readingOrder="1"/>
    </xf>
    <xf numFmtId="168" fontId="12" fillId="7" borderId="4" xfId="0" applyNumberFormat="1" applyFont="1" applyFill="1" applyBorder="1" applyAlignment="1">
      <alignment vertical="center" wrapText="1" readingOrder="1"/>
    </xf>
    <xf numFmtId="3" fontId="12" fillId="7" borderId="4" xfId="0" applyNumberFormat="1" applyFont="1" applyFill="1" applyBorder="1" applyAlignment="1">
      <alignment vertical="center" wrapText="1" readingOrder="1"/>
    </xf>
    <xf numFmtId="43" fontId="2" fillId="8" borderId="1" xfId="1" applyFont="1" applyFill="1" applyBorder="1"/>
    <xf numFmtId="168" fontId="2" fillId="8" borderId="1" xfId="4" applyFont="1" applyFill="1" applyBorder="1"/>
    <xf numFmtId="164" fontId="6" fillId="4" borderId="7" xfId="0" applyNumberFormat="1" applyFont="1" applyFill="1" applyBorder="1"/>
    <xf numFmtId="0" fontId="30" fillId="8" borderId="2" xfId="0" applyFont="1" applyFill="1" applyBorder="1" applyAlignment="1">
      <alignment vertical="top"/>
    </xf>
    <xf numFmtId="168" fontId="42" fillId="8" borderId="2" xfId="6" applyFont="1" applyFill="1" applyBorder="1"/>
    <xf numFmtId="168" fontId="2" fillId="8" borderId="2" xfId="6" applyFont="1" applyFill="1" applyBorder="1"/>
    <xf numFmtId="43" fontId="2" fillId="4" borderId="4" xfId="1" applyFont="1" applyFill="1" applyBorder="1"/>
    <xf numFmtId="168" fontId="2" fillId="4" borderId="4" xfId="4" applyFont="1" applyFill="1" applyBorder="1"/>
    <xf numFmtId="10" fontId="44" fillId="4" borderId="2" xfId="0" applyNumberFormat="1" applyFont="1" applyFill="1" applyBorder="1"/>
    <xf numFmtId="3" fontId="12" fillId="8" borderId="2" xfId="0" applyNumberFormat="1" applyFont="1" applyFill="1" applyBorder="1" applyAlignment="1">
      <alignment vertical="center" wrapText="1" readingOrder="1"/>
    </xf>
    <xf numFmtId="0" fontId="15" fillId="4" borderId="4" xfId="0" applyFont="1" applyFill="1" applyBorder="1" applyAlignment="1">
      <alignment wrapText="1"/>
    </xf>
    <xf numFmtId="0" fontId="2" fillId="8" borderId="2" xfId="0" applyFont="1" applyFill="1" applyBorder="1"/>
    <xf numFmtId="0" fontId="7" fillId="2" borderId="0" xfId="0" applyFont="1" applyFill="1" applyAlignment="1">
      <alignment vertical="center"/>
    </xf>
    <xf numFmtId="0" fontId="10" fillId="2" borderId="11" xfId="0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right" vertical="center" wrapText="1"/>
    </xf>
    <xf numFmtId="164" fontId="6" fillId="7" borderId="11" xfId="0" applyNumberFormat="1" applyFont="1" applyFill="1" applyBorder="1" applyAlignment="1">
      <alignment horizontal="right" vertical="center" wrapText="1"/>
    </xf>
    <xf numFmtId="0" fontId="6" fillId="2" borderId="11" xfId="0" applyFont="1" applyFill="1" applyBorder="1" applyAlignment="1">
      <alignment vertical="center"/>
    </xf>
    <xf numFmtId="0" fontId="2" fillId="4" borderId="11" xfId="0" applyFont="1" applyFill="1" applyBorder="1" applyAlignment="1">
      <alignment vertical="center"/>
    </xf>
    <xf numFmtId="164" fontId="6" fillId="6" borderId="11" xfId="0" applyNumberFormat="1" applyFont="1" applyFill="1" applyBorder="1" applyAlignment="1">
      <alignment horizontal="right" wrapText="1"/>
    </xf>
    <xf numFmtId="0" fontId="60" fillId="4" borderId="11" xfId="0" applyFont="1" applyFill="1" applyBorder="1" applyAlignment="1">
      <alignment vertical="center"/>
    </xf>
    <xf numFmtId="164" fontId="6" fillId="4" borderId="11" xfId="0" applyNumberFormat="1" applyFont="1" applyFill="1" applyBorder="1" applyAlignment="1">
      <alignment horizontal="right" wrapText="1"/>
    </xf>
    <xf numFmtId="0" fontId="10" fillId="2" borderId="11" xfId="0" applyFont="1" applyFill="1" applyBorder="1"/>
    <xf numFmtId="164" fontId="6" fillId="2" borderId="11" xfId="0" applyNumberFormat="1" applyFont="1" applyFill="1" applyBorder="1" applyAlignment="1">
      <alignment horizontal="right" wrapText="1"/>
    </xf>
    <xf numFmtId="164" fontId="6" fillId="7" borderId="11" xfId="0" applyNumberFormat="1" applyFont="1" applyFill="1" applyBorder="1" applyAlignment="1">
      <alignment horizontal="right" wrapText="1"/>
    </xf>
    <xf numFmtId="0" fontId="17" fillId="4" borderId="11" xfId="0" applyFont="1" applyFill="1" applyBorder="1" applyAlignment="1">
      <alignment vertical="center"/>
    </xf>
    <xf numFmtId="0" fontId="30" fillId="2" borderId="11" xfId="0" applyFont="1" applyFill="1" applyBorder="1"/>
    <xf numFmtId="0" fontId="12" fillId="7" borderId="5" xfId="0" applyFont="1" applyFill="1" applyBorder="1" applyAlignment="1">
      <alignment vertical="center" wrapText="1" readingOrder="1"/>
    </xf>
    <xf numFmtId="3" fontId="12" fillId="7" borderId="5" xfId="0" applyNumberFormat="1" applyFont="1" applyFill="1" applyBorder="1" applyAlignment="1">
      <alignment vertical="center" wrapText="1" readingOrder="1"/>
    </xf>
    <xf numFmtId="43" fontId="2" fillId="7" borderId="4" xfId="1" applyFont="1" applyFill="1" applyBorder="1"/>
    <xf numFmtId="168" fontId="2" fillId="7" borderId="4" xfId="4" applyFont="1" applyFill="1" applyBorder="1"/>
    <xf numFmtId="0" fontId="15" fillId="12" borderId="2" xfId="0" applyFont="1" applyFill="1" applyBorder="1" applyAlignment="1">
      <alignment wrapText="1"/>
    </xf>
    <xf numFmtId="3" fontId="15" fillId="12" borderId="2" xfId="0" applyNumberFormat="1" applyFont="1" applyFill="1" applyBorder="1" applyAlignment="1">
      <alignment horizontal="right" wrapText="1"/>
    </xf>
    <xf numFmtId="168" fontId="15" fillId="12" borderId="2" xfId="0" applyNumberFormat="1" applyFont="1" applyFill="1" applyBorder="1" applyAlignment="1">
      <alignment horizontal="right" wrapText="1"/>
    </xf>
    <xf numFmtId="168" fontId="2" fillId="12" borderId="2" xfId="2" applyFont="1" applyFill="1" applyBorder="1">
      <alignment vertical="top"/>
    </xf>
    <xf numFmtId="0" fontId="0" fillId="8" borderId="2" xfId="0" applyFill="1" applyBorder="1"/>
    <xf numFmtId="168" fontId="1" fillId="8" borderId="2" xfId="2" applyFill="1" applyBorder="1">
      <alignment vertical="top"/>
    </xf>
    <xf numFmtId="0" fontId="2" fillId="7" borderId="2" xfId="0" applyFont="1" applyFill="1" applyBorder="1"/>
    <xf numFmtId="170" fontId="2" fillId="7" borderId="2" xfId="7" applyNumberFormat="1" applyFont="1" applyFill="1" applyBorder="1"/>
    <xf numFmtId="166" fontId="4" fillId="0" borderId="0" xfId="7" applyFont="1"/>
    <xf numFmtId="168" fontId="42" fillId="4" borderId="2" xfId="2" applyFont="1" applyFill="1" applyBorder="1">
      <alignment vertical="top"/>
    </xf>
    <xf numFmtId="166" fontId="4" fillId="7" borderId="0" xfId="7" applyFont="1" applyFill="1"/>
    <xf numFmtId="9" fontId="2" fillId="4" borderId="8" xfId="0" applyNumberFormat="1" applyFont="1" applyFill="1" applyBorder="1"/>
    <xf numFmtId="0" fontId="29" fillId="3" borderId="0" xfId="0" applyFont="1" applyFill="1" applyAlignment="1">
      <alignment horizontal="center" vertical="top"/>
    </xf>
    <xf numFmtId="0" fontId="29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9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Protection="1">
      <protection locked="0"/>
    </xf>
    <xf numFmtId="10" fontId="8" fillId="3" borderId="0" xfId="0" applyNumberFormat="1" applyFont="1" applyFill="1" applyProtection="1">
      <protection locked="0"/>
    </xf>
    <xf numFmtId="166" fontId="23" fillId="0" borderId="0" xfId="7" applyFont="1" applyProtection="1">
      <protection locked="0"/>
    </xf>
    <xf numFmtId="0" fontId="61" fillId="2" borderId="0" xfId="0" applyFont="1" applyFill="1"/>
    <xf numFmtId="0" fontId="0" fillId="0" borderId="0" xfId="0" applyFont="1"/>
    <xf numFmtId="9" fontId="8" fillId="3" borderId="0" xfId="0" applyNumberFormat="1" applyFont="1" applyFill="1" applyProtection="1">
      <protection locked="0"/>
    </xf>
    <xf numFmtId="9" fontId="0" fillId="0" borderId="0" xfId="0" applyNumberFormat="1"/>
  </cellXfs>
  <cellStyles count="9">
    <cellStyle name="Comma" xfId="1" builtinId="3"/>
    <cellStyle name="Formula %" xfId="7" xr:uid="{7D8CF3F8-6D8D-49AE-BDE7-2089090691B0}"/>
    <cellStyle name="Formulas" xfId="2" xr:uid="{6077EEEB-85AB-4FEA-AFEA-7FB78792AF11}"/>
    <cellStyle name="HC" xfId="4" xr:uid="{0E3CD893-A9F2-4C41-87B8-76752FD9BF67}"/>
    <cellStyle name="HC %" xfId="5" xr:uid="{BAB1DD7F-ED94-4BAE-9F94-5EC3D582CB5F}"/>
    <cellStyle name="Links" xfId="6" xr:uid="{0ED8851A-EFFD-4FD2-8CA9-74F08A844852}"/>
    <cellStyle name="Links %" xfId="8" xr:uid="{C44C6A22-1225-47A4-A081-A553B77B196A}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70556</xdr:colOff>
      <xdr:row>0</xdr:row>
      <xdr:rowOff>35279</xdr:rowOff>
    </xdr:from>
    <xdr:to>
      <xdr:col>27</xdr:col>
      <xdr:colOff>185450</xdr:colOff>
      <xdr:row>41</xdr:row>
      <xdr:rowOff>61737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17B037-D5A0-59D6-3AD1-B8871A8AF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56" y="35279"/>
          <a:ext cx="16545519" cy="76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240897</xdr:colOff>
      <xdr:row>0</xdr:row>
      <xdr:rowOff>373063</xdr:rowOff>
    </xdr:from>
    <xdr:to>
      <xdr:col>16</xdr:col>
      <xdr:colOff>581738</xdr:colOff>
      <xdr:row>17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1C6F64-4A04-DE43-1B14-9387C0BD3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6772" y="373063"/>
          <a:ext cx="8286280" cy="3198812"/>
        </a:xfrm>
        <a:prstGeom prst="rect">
          <a:avLst/>
        </a:prstGeom>
      </xdr:spPr>
    </xdr:pic>
    <xdr:clientData/>
  </xdr:twoCellAnchor>
  <xdr:twoCellAnchor editAs="oneCell">
    <xdr:from>
      <xdr:col>1</xdr:col>
      <xdr:colOff>16493</xdr:colOff>
      <xdr:row>19</xdr:row>
      <xdr:rowOff>8246</xdr:rowOff>
    </xdr:from>
    <xdr:to>
      <xdr:col>3</xdr:col>
      <xdr:colOff>321624</xdr:colOff>
      <xdr:row>34</xdr:row>
      <xdr:rowOff>24740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C794BA-FC85-D13E-BD48-62B799557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675" y="3793506"/>
          <a:ext cx="5607793" cy="2737922"/>
        </a:xfrm>
        <a:prstGeom prst="rect">
          <a:avLst/>
        </a:prstGeom>
      </xdr:spPr>
    </xdr:pic>
    <xdr:clientData/>
  </xdr:twoCellAnchor>
  <xdr:twoCellAnchor editAs="oneCell">
    <xdr:from>
      <xdr:col>3</xdr:col>
      <xdr:colOff>310180</xdr:colOff>
      <xdr:row>18</xdr:row>
      <xdr:rowOff>164935</xdr:rowOff>
    </xdr:from>
    <xdr:to>
      <xdr:col>17</xdr:col>
      <xdr:colOff>30779</xdr:colOff>
      <xdr:row>36</xdr:row>
      <xdr:rowOff>147822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AD4C8B-691D-92D8-0E46-2145FBB9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86024" y="3768766"/>
          <a:ext cx="8264236" cy="32486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1C90EF1-621C-4C8B-B438-246654A01706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F89A31F8-AD91-4429-AD5B-6A822D0B7E22}">
  <we:reference id="wa104379220" version="8.0.0.0" store="en-US" storeType="OMEX"/>
  <we:alternateReferences>
    <we:reference id="WA104379220" version="8.0.0.0" store="WA104379220" storeType="OMEX"/>
  </we:alternateReferences>
  <we:properties>
    <we:property name="stocksChange" value="{}"/>
    <we:property name="stocks" value="{}"/>
    <we:property name="stocksOrder" value="[]"/>
    <we:property name="updateIntervalIndex" value="2"/>
    <we:property name="stocksSources" value="{}"/>
    <we:property name="lastCryptoCompare" value="0"/>
    <we:property name="lastIexCall" value="0"/>
    <we:property name="lastMutualFundsCall" value="0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14A7-F99C-4E04-A613-CA41D4400D27}">
  <sheetPr codeName="Sheet1">
    <tabColor rgb="FFFF0000"/>
  </sheetPr>
  <dimension ref="A1"/>
  <sheetViews>
    <sheetView showGridLines="0" showRowColHeaders="0" zoomScale="72" zoomScaleNormal="70" workbookViewId="0">
      <selection activeCell="R25" sqref="R25"/>
    </sheetView>
  </sheetViews>
  <sheetFormatPr defaultRowHeight="14.5" x14ac:dyDescent="0.35"/>
  <sheetData/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7086F-26DA-4FA3-9508-34CAF66065DD}">
  <sheetPr codeName="Sheet2"/>
  <dimension ref="B1:F27"/>
  <sheetViews>
    <sheetView showGridLines="0" zoomScale="77" workbookViewId="0">
      <selection activeCell="C11" sqref="C11"/>
    </sheetView>
  </sheetViews>
  <sheetFormatPr defaultRowHeight="14.5" x14ac:dyDescent="0.35"/>
  <cols>
    <col min="1" max="1" width="2.453125" customWidth="1"/>
    <col min="2" max="2" width="38" bestFit="1" customWidth="1"/>
    <col min="3" max="3" width="37.81640625" customWidth="1"/>
  </cols>
  <sheetData>
    <row r="1" spans="2:6" ht="41.15" customHeight="1" x14ac:dyDescent="0.35">
      <c r="B1" s="126" t="s">
        <v>0</v>
      </c>
    </row>
    <row r="2" spans="2:6" x14ac:dyDescent="0.35">
      <c r="B2" s="159" t="s">
        <v>1</v>
      </c>
      <c r="C2" s="160" t="s">
        <v>2</v>
      </c>
    </row>
    <row r="3" spans="2:6" x14ac:dyDescent="0.35">
      <c r="B3" s="159" t="s">
        <v>3</v>
      </c>
      <c r="C3" s="160" t="s">
        <v>4</v>
      </c>
    </row>
    <row r="4" spans="2:6" x14ac:dyDescent="0.35">
      <c r="B4" s="159" t="s">
        <v>5</v>
      </c>
      <c r="C4" s="160" t="s">
        <v>6</v>
      </c>
    </row>
    <row r="5" spans="2:6" x14ac:dyDescent="0.35">
      <c r="B5" s="159" t="str">
        <f>"Market Risk Premium"&amp;" "&amp;(C4)&amp;"(ERP)"</f>
        <v>Market Risk Premium India(ERP)</v>
      </c>
      <c r="C5" s="161">
        <v>7.0000000000000007E-2</v>
      </c>
    </row>
    <row r="6" spans="2:6" x14ac:dyDescent="0.35">
      <c r="B6" s="159" t="s">
        <v>7</v>
      </c>
      <c r="C6" s="162">
        <v>810.65</v>
      </c>
      <c r="D6" s="151"/>
      <c r="E6" s="152"/>
      <c r="F6" s="151"/>
    </row>
    <row r="7" spans="2:6" x14ac:dyDescent="0.35">
      <c r="B7" s="159" t="s">
        <v>8</v>
      </c>
      <c r="C7" s="161">
        <v>0.22</v>
      </c>
    </row>
    <row r="8" spans="2:6" x14ac:dyDescent="0.35">
      <c r="B8" s="159" t="s">
        <v>9</v>
      </c>
      <c r="C8" s="163">
        <v>1</v>
      </c>
    </row>
    <row r="9" spans="2:6" x14ac:dyDescent="0.35">
      <c r="B9" s="159" t="s">
        <v>10</v>
      </c>
      <c r="C9" s="164">
        <v>0.5</v>
      </c>
    </row>
    <row r="10" spans="2:6" x14ac:dyDescent="0.35">
      <c r="B10" s="159" t="s">
        <v>11</v>
      </c>
      <c r="C10" s="165">
        <v>6.8000000000000005E-2</v>
      </c>
    </row>
    <row r="11" spans="2:6" x14ac:dyDescent="0.35">
      <c r="B11" s="159" t="s">
        <v>12</v>
      </c>
      <c r="C11" s="165">
        <v>0.05</v>
      </c>
    </row>
    <row r="12" spans="2:6" x14ac:dyDescent="0.35">
      <c r="B12" s="159" t="s">
        <v>13</v>
      </c>
      <c r="C12" s="161">
        <v>0.53400000000000003</v>
      </c>
    </row>
    <row r="13" spans="2:6" x14ac:dyDescent="0.35">
      <c r="B13" s="159" t="s">
        <v>14</v>
      </c>
      <c r="C13" s="161">
        <v>7.6999999999999999E-2</v>
      </c>
    </row>
    <row r="14" spans="2:6" x14ac:dyDescent="0.35">
      <c r="B14" s="159" t="s">
        <v>15</v>
      </c>
      <c r="C14" s="161">
        <v>9.5000000000000001E-2</v>
      </c>
    </row>
    <row r="15" spans="2:6" x14ac:dyDescent="0.35">
      <c r="B15" s="159" t="s">
        <v>16</v>
      </c>
      <c r="C15" s="161">
        <v>0.115</v>
      </c>
    </row>
    <row r="16" spans="2:6" x14ac:dyDescent="0.35">
      <c r="B16" s="159" t="s">
        <v>17</v>
      </c>
      <c r="C16" s="161">
        <v>9.5000000000000001E-2</v>
      </c>
    </row>
    <row r="19" spans="2:5" x14ac:dyDescent="0.35">
      <c r="B19" t="s">
        <v>18</v>
      </c>
    </row>
    <row r="20" spans="2:5" x14ac:dyDescent="0.35">
      <c r="B20" s="9"/>
    </row>
    <row r="21" spans="2:5" x14ac:dyDescent="0.35">
      <c r="E21" t="s">
        <v>18</v>
      </c>
    </row>
    <row r="22" spans="2:5" x14ac:dyDescent="0.35">
      <c r="C22" s="6"/>
    </row>
    <row r="27" spans="2:5" x14ac:dyDescent="0.35">
      <c r="B27" t="s">
        <v>19</v>
      </c>
    </row>
  </sheetData>
  <sheetProtection sheet="1" objects="1" scenarios="1" selectLockedCells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BCD7-4A84-4054-8153-B05A5C49BE98}">
  <sheetPr codeName="Sheet3">
    <tabColor rgb="FFFF0000"/>
  </sheetPr>
  <dimension ref="B8"/>
  <sheetViews>
    <sheetView showGridLines="0" workbookViewId="0">
      <selection activeCell="I14" sqref="I14"/>
    </sheetView>
  </sheetViews>
  <sheetFormatPr defaultColWidth="8.7265625" defaultRowHeight="14.5" x14ac:dyDescent="0.35"/>
  <cols>
    <col min="1" max="1" width="4.1796875" style="122" customWidth="1"/>
    <col min="2" max="16384" width="8.7265625" style="122"/>
  </cols>
  <sheetData>
    <row r="8" spans="2:2" ht="92" x14ac:dyDescent="2">
      <c r="B8" s="123" t="s">
        <v>20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4CD3-2B7D-40AB-9604-CD190AED158B}">
  <sheetPr codeName="Sheet4"/>
  <dimension ref="C1:P63"/>
  <sheetViews>
    <sheetView showGridLines="0" tabSelected="1" zoomScale="78" zoomScaleNormal="78" workbookViewId="0">
      <pane ySplit="7" topLeftCell="A8" activePane="bottomLeft" state="frozen"/>
      <selection activeCell="B8" sqref="B8"/>
      <selection pane="bottomLeft" activeCell="I25" sqref="I25"/>
    </sheetView>
  </sheetViews>
  <sheetFormatPr defaultColWidth="9.1796875" defaultRowHeight="14.5" x14ac:dyDescent="0.35"/>
  <cols>
    <col min="1" max="2" width="2" style="12" customWidth="1"/>
    <col min="3" max="3" width="31.54296875" style="12" bestFit="1" customWidth="1"/>
    <col min="4" max="8" width="13.54296875" style="12" customWidth="1"/>
    <col min="9" max="9" width="26.1796875" style="12" customWidth="1"/>
    <col min="10" max="13" width="13.54296875" style="12" customWidth="1"/>
    <col min="14" max="14" width="9.1796875" style="12"/>
    <col min="15" max="15" width="22.1796875" style="12" bestFit="1" customWidth="1"/>
    <col min="16" max="16384" width="9.1796875" style="12"/>
  </cols>
  <sheetData>
    <row r="1" spans="3:16" ht="22" customHeight="1" x14ac:dyDescent="0.35">
      <c r="C1" s="11" t="s">
        <v>21</v>
      </c>
    </row>
    <row r="2" spans="3:16" x14ac:dyDescent="0.35">
      <c r="I2" s="52" t="s">
        <v>22</v>
      </c>
    </row>
    <row r="3" spans="3:16" x14ac:dyDescent="0.35">
      <c r="I3" s="12" t="s">
        <v>23</v>
      </c>
    </row>
    <row r="4" spans="3:16" x14ac:dyDescent="0.35">
      <c r="I4" s="12" t="s">
        <v>24</v>
      </c>
    </row>
    <row r="5" spans="3:16" x14ac:dyDescent="0.35">
      <c r="C5" s="52" t="s">
        <v>25</v>
      </c>
      <c r="D5" s="247">
        <v>2</v>
      </c>
      <c r="I5" s="12" t="s">
        <v>26</v>
      </c>
    </row>
    <row r="6" spans="3:16" ht="15" thickBot="1" x14ac:dyDescent="0.4"/>
    <row r="7" spans="3:16" ht="29.5" thickBot="1" x14ac:dyDescent="0.4">
      <c r="C7" s="203"/>
      <c r="D7" s="70" t="s">
        <v>27</v>
      </c>
      <c r="E7" s="70" t="s">
        <v>28</v>
      </c>
      <c r="F7" s="70" t="s">
        <v>29</v>
      </c>
      <c r="G7" s="70" t="s">
        <v>30</v>
      </c>
      <c r="H7" s="70" t="s">
        <v>31</v>
      </c>
      <c r="I7" s="70" t="s">
        <v>32</v>
      </c>
      <c r="J7" s="70" t="s">
        <v>33</v>
      </c>
      <c r="K7" s="70" t="s">
        <v>34</v>
      </c>
      <c r="L7" s="70" t="s">
        <v>35</v>
      </c>
      <c r="M7" s="70" t="s">
        <v>36</v>
      </c>
    </row>
    <row r="8" spans="3:16" ht="15" customHeight="1" x14ac:dyDescent="0.35">
      <c r="C8" s="12" t="s">
        <v>37</v>
      </c>
      <c r="D8" s="54">
        <f>'Income Statement Source'!D4</f>
        <v>9512</v>
      </c>
      <c r="E8" s="54">
        <f>'Income Statement Source'!E4</f>
        <v>9764</v>
      </c>
      <c r="F8" s="54">
        <f>'Income Statement Source'!F4</f>
        <v>9653</v>
      </c>
      <c r="G8" s="54">
        <f>'Income Statement Source'!G4</f>
        <v>10831</v>
      </c>
      <c r="H8" s="54">
        <f>'Income Statement Source'!H4</f>
        <v>13611</v>
      </c>
      <c r="I8" s="76">
        <f>H8*(1+I9)</f>
        <v>15353.208000000002</v>
      </c>
      <c r="J8" s="76">
        <f>I8*(1+J9)</f>
        <v>17042.060880000005</v>
      </c>
      <c r="K8" s="76">
        <f>J8*(1+K9)</f>
        <v>18746.266968000007</v>
      </c>
      <c r="L8" s="76">
        <f>K8*(1+L9)</f>
        <v>20339.699660280006</v>
      </c>
      <c r="M8" s="76">
        <f>L8*(1+M9)</f>
        <v>21865.177134801004</v>
      </c>
      <c r="P8" s="71"/>
    </row>
    <row r="9" spans="3:16" ht="15" customHeight="1" x14ac:dyDescent="0.35">
      <c r="C9" s="171" t="s">
        <v>38</v>
      </c>
      <c r="D9" s="172"/>
      <c r="E9" s="173">
        <f>E8/D8-1</f>
        <v>2.6492851135407891E-2</v>
      </c>
      <c r="F9" s="173">
        <f t="shared" ref="F9:H9" si="0">F8/E8-1</f>
        <v>-1.1368291683736209E-2</v>
      </c>
      <c r="G9" s="173">
        <f t="shared" si="0"/>
        <v>0.12203460064228744</v>
      </c>
      <c r="H9" s="173">
        <f t="shared" si="0"/>
        <v>0.25667066752839074</v>
      </c>
      <c r="I9" s="77">
        <f>CHOOSE($D$5,I10,I11,I12)</f>
        <v>0.128</v>
      </c>
      <c r="J9" s="77">
        <f>CHOOSE($D$5,J10,J11,J12)</f>
        <v>0.11</v>
      </c>
      <c r="K9" s="77">
        <f>CHOOSE($D$5,K10,K11,K12)</f>
        <v>0.1</v>
      </c>
      <c r="L9" s="77">
        <f>CHOOSE($D$5,L10,L11,L12)</f>
        <v>8.5000000000000006E-2</v>
      </c>
      <c r="M9" s="77">
        <f>CHOOSE($D$5,M10,M11,M12)</f>
        <v>7.4999999999999997E-2</v>
      </c>
    </row>
    <row r="10" spans="3:16" ht="15" customHeight="1" x14ac:dyDescent="0.35">
      <c r="C10" s="12" t="s">
        <v>39</v>
      </c>
      <c r="D10" s="53"/>
      <c r="E10" s="53"/>
      <c r="F10" s="53"/>
      <c r="G10" s="53"/>
      <c r="H10" s="53"/>
      <c r="I10" s="166">
        <v>0.13800000000000001</v>
      </c>
      <c r="J10" s="166">
        <v>0.12</v>
      </c>
      <c r="K10" s="166">
        <v>0.11</v>
      </c>
      <c r="L10" s="166">
        <v>9.5000000000000001E-2</v>
      </c>
      <c r="M10" s="166">
        <v>8.5000000000000006E-2</v>
      </c>
    </row>
    <row r="11" spans="3:16" ht="15" customHeight="1" x14ac:dyDescent="0.35">
      <c r="C11" s="12" t="s">
        <v>40</v>
      </c>
      <c r="D11" s="53"/>
      <c r="E11" s="53"/>
      <c r="F11" s="53"/>
      <c r="G11" s="53"/>
      <c r="H11" s="53"/>
      <c r="I11" s="166">
        <v>0.128</v>
      </c>
      <c r="J11" s="166">
        <v>0.11</v>
      </c>
      <c r="K11" s="166">
        <v>0.1</v>
      </c>
      <c r="L11" s="166">
        <v>8.5000000000000006E-2</v>
      </c>
      <c r="M11" s="166">
        <v>7.4999999999999997E-2</v>
      </c>
    </row>
    <row r="12" spans="3:16" ht="15" customHeight="1" x14ac:dyDescent="0.35">
      <c r="C12" s="12" t="s">
        <v>41</v>
      </c>
      <c r="D12" s="53"/>
      <c r="E12" s="53"/>
      <c r="F12" s="53"/>
      <c r="G12" s="53"/>
      <c r="H12" s="53"/>
      <c r="I12" s="166">
        <v>0.11799999999999999</v>
      </c>
      <c r="J12" s="166">
        <v>0.1</v>
      </c>
      <c r="K12" s="166">
        <v>0.09</v>
      </c>
      <c r="L12" s="166">
        <v>7.4999999999999997E-2</v>
      </c>
      <c r="M12" s="166">
        <v>6.5000000000000002E-2</v>
      </c>
    </row>
    <row r="13" spans="3:16" ht="15" customHeight="1" x14ac:dyDescent="0.35">
      <c r="I13" s="76"/>
      <c r="J13" s="76"/>
      <c r="K13" s="76"/>
      <c r="L13" s="76"/>
      <c r="M13" s="76"/>
    </row>
    <row r="14" spans="3:16" ht="15" customHeight="1" x14ac:dyDescent="0.35">
      <c r="C14" s="12" t="s">
        <v>42</v>
      </c>
      <c r="D14" s="10">
        <f>'Income Statement Source'!D5</f>
        <v>-5436</v>
      </c>
      <c r="E14" s="10">
        <f>'Income Statement Source'!E5</f>
        <v>-5351</v>
      </c>
      <c r="F14" s="10">
        <f>'Income Statement Source'!F5</f>
        <v>-4748</v>
      </c>
      <c r="G14" s="10">
        <f>'Income Statement Source'!G5</f>
        <v>-5388</v>
      </c>
      <c r="H14" s="10">
        <f>'Income Statement Source'!H5</f>
        <v>-7559</v>
      </c>
      <c r="I14" s="76">
        <f>(I$8*I15)</f>
        <v>-8198.6130720000019</v>
      </c>
      <c r="J14" s="76">
        <f>(J$8*J15)</f>
        <v>-9100.4605099200035</v>
      </c>
      <c r="K14" s="76">
        <f>(K$8*K15)</f>
        <v>-10010.506560912005</v>
      </c>
      <c r="L14" s="76">
        <f>(L$8*L15)</f>
        <v>-10861.399618589525</v>
      </c>
      <c r="M14" s="76">
        <f>(M$8*M15)</f>
        <v>-11676.004589983737</v>
      </c>
    </row>
    <row r="15" spans="3:16" ht="15" customHeight="1" x14ac:dyDescent="0.35">
      <c r="C15" s="171" t="s">
        <v>43</v>
      </c>
      <c r="D15" s="174">
        <f>D14/D$8</f>
        <v>-0.57148864592094195</v>
      </c>
      <c r="E15" s="174">
        <f>E14/E$8</f>
        <v>-0.54803359278984021</v>
      </c>
      <c r="F15" s="174">
        <f>F14/F$8</f>
        <v>-0.49186781311509375</v>
      </c>
      <c r="G15" s="174">
        <f>G14/G$8</f>
        <v>-0.49746099159819041</v>
      </c>
      <c r="H15" s="174">
        <f>H14/H$8</f>
        <v>-0.55535963558886192</v>
      </c>
      <c r="I15" s="77">
        <f>(CHOOSE($D$5,I16,I17,I18))</f>
        <v>-0.53400000000000003</v>
      </c>
      <c r="J15" s="77">
        <f>(CHOOSE($D$5,J16,J17,J18))</f>
        <v>-0.53400000000000003</v>
      </c>
      <c r="K15" s="77">
        <f>(CHOOSE($D$5,K16,K17,K18))</f>
        <v>-0.53400000000000003</v>
      </c>
      <c r="L15" s="77">
        <f>(CHOOSE($D$5,L16,L17,L18))</f>
        <v>-0.53400000000000003</v>
      </c>
      <c r="M15" s="77">
        <f>(CHOOSE($D$5,M16,M17,M18))</f>
        <v>-0.53400000000000003</v>
      </c>
    </row>
    <row r="16" spans="3:16" ht="15" customHeight="1" x14ac:dyDescent="0.35">
      <c r="C16" s="12" t="s">
        <v>39</v>
      </c>
      <c r="D16" s="53"/>
      <c r="E16" s="53"/>
      <c r="F16" s="53"/>
      <c r="G16" s="53"/>
      <c r="H16" s="53"/>
      <c r="I16" s="78">
        <f>-('Assumptions and Drivers'!$C$12-0.02)</f>
        <v>-0.51400000000000001</v>
      </c>
      <c r="J16" s="78">
        <f>-('Assumptions and Drivers'!$C$12-0.02)</f>
        <v>-0.51400000000000001</v>
      </c>
      <c r="K16" s="78">
        <f>-('Assumptions and Drivers'!$C$12-0.02)</f>
        <v>-0.51400000000000001</v>
      </c>
      <c r="L16" s="78">
        <f>-('Assumptions and Drivers'!$C$12-0.02)</f>
        <v>-0.51400000000000001</v>
      </c>
      <c r="M16" s="78">
        <f>-('Assumptions and Drivers'!$C$12-0.02)</f>
        <v>-0.51400000000000001</v>
      </c>
    </row>
    <row r="17" spans="3:15" ht="15" customHeight="1" x14ac:dyDescent="0.35">
      <c r="C17" s="12" t="s">
        <v>40</v>
      </c>
      <c r="D17" s="53"/>
      <c r="E17" s="53"/>
      <c r="F17" s="53"/>
      <c r="G17" s="53"/>
      <c r="H17" s="53"/>
      <c r="I17" s="78">
        <f>-('Assumptions and Drivers'!$C$12)</f>
        <v>-0.53400000000000003</v>
      </c>
      <c r="J17" s="78">
        <f>-('Assumptions and Drivers'!$C$12)</f>
        <v>-0.53400000000000003</v>
      </c>
      <c r="K17" s="78">
        <f>-('Assumptions and Drivers'!$C$12)</f>
        <v>-0.53400000000000003</v>
      </c>
      <c r="L17" s="78">
        <f>-('Assumptions and Drivers'!$C$12)</f>
        <v>-0.53400000000000003</v>
      </c>
      <c r="M17" s="78">
        <f>-('Assumptions and Drivers'!$C$12)</f>
        <v>-0.53400000000000003</v>
      </c>
    </row>
    <row r="18" spans="3:15" ht="15" customHeight="1" x14ac:dyDescent="0.35">
      <c r="C18" s="12" t="s">
        <v>41</v>
      </c>
      <c r="D18" s="53"/>
      <c r="E18" s="53"/>
      <c r="F18" s="53"/>
      <c r="G18" s="53"/>
      <c r="H18" s="53"/>
      <c r="I18" s="78">
        <f>-('Assumptions and Drivers'!$C$12+0.02)</f>
        <v>-0.55400000000000005</v>
      </c>
      <c r="J18" s="78">
        <f>-('Assumptions and Drivers'!$C$12+0.02)</f>
        <v>-0.55400000000000005</v>
      </c>
      <c r="K18" s="78">
        <f>-('Assumptions and Drivers'!$C$12+0.02)</f>
        <v>-0.55400000000000005</v>
      </c>
      <c r="L18" s="78">
        <f>-('Assumptions and Drivers'!$C$12+0.02)</f>
        <v>-0.55400000000000005</v>
      </c>
      <c r="M18" s="78">
        <f>-('Assumptions and Drivers'!$C$12+0.02)</f>
        <v>-0.55400000000000005</v>
      </c>
    </row>
    <row r="19" spans="3:15" ht="15" customHeight="1" x14ac:dyDescent="0.35">
      <c r="I19" s="76"/>
      <c r="J19" s="76"/>
      <c r="K19" s="76"/>
      <c r="L19" s="76"/>
      <c r="M19" s="76"/>
    </row>
    <row r="20" spans="3:15" ht="15" customHeight="1" x14ac:dyDescent="0.35">
      <c r="C20" s="12" t="s">
        <v>44</v>
      </c>
      <c r="D20" s="10">
        <f>'Income Statement Source'!D7</f>
        <v>-586</v>
      </c>
      <c r="E20" s="10">
        <f>'Income Statement Source'!E7</f>
        <v>-653</v>
      </c>
      <c r="F20" s="10">
        <f>'Income Statement Source'!F7</f>
        <v>-743</v>
      </c>
      <c r="G20" s="10">
        <f>'Income Statement Source'!G7</f>
        <v>-831</v>
      </c>
      <c r="H20" s="10">
        <f>'Income Statement Source'!H7</f>
        <v>-916</v>
      </c>
      <c r="I20" s="79">
        <f>(I$8*I21)</f>
        <v>-1182.1970160000001</v>
      </c>
      <c r="J20" s="79">
        <f>(J$8*J21)</f>
        <v>-1312.2386877600004</v>
      </c>
      <c r="K20" s="79">
        <f>(K$8*K21)</f>
        <v>-1443.4625565360006</v>
      </c>
      <c r="L20" s="79">
        <f>(L$8*L21)</f>
        <v>-1566.1568738415606</v>
      </c>
      <c r="M20" s="79">
        <f>(M$8*M21)</f>
        <v>-1683.6186393796772</v>
      </c>
    </row>
    <row r="21" spans="3:15" ht="15" customHeight="1" x14ac:dyDescent="0.35">
      <c r="C21" s="171" t="s">
        <v>45</v>
      </c>
      <c r="D21" s="174">
        <f>D20/D$8</f>
        <v>-6.1606391925988227E-2</v>
      </c>
      <c r="E21" s="174">
        <f>E20/E$8</f>
        <v>-6.6878328553871366E-2</v>
      </c>
      <c r="F21" s="174">
        <f>F20/F$8</f>
        <v>-7.6970889878794163E-2</v>
      </c>
      <c r="G21" s="174">
        <f>G20/G$8</f>
        <v>-7.6724217523774355E-2</v>
      </c>
      <c r="H21" s="174">
        <f>H20/H$8</f>
        <v>-6.7298508559253539E-2</v>
      </c>
      <c r="I21" s="77">
        <f>(CHOOSE($D$5,I22,I23,I24))</f>
        <v>-7.6999999999999999E-2</v>
      </c>
      <c r="J21" s="77">
        <f>(CHOOSE($D$5,J22,J23,J24))</f>
        <v>-7.6999999999999999E-2</v>
      </c>
      <c r="K21" s="77">
        <f>(CHOOSE($D$5,K22,K23,K24))</f>
        <v>-7.6999999999999999E-2</v>
      </c>
      <c r="L21" s="77">
        <f>(CHOOSE($D$5,L22,L23,L24))</f>
        <v>-7.6999999999999999E-2</v>
      </c>
      <c r="M21" s="77">
        <f>(CHOOSE($D$5,M22,M23,M24))</f>
        <v>-7.6999999999999999E-2</v>
      </c>
    </row>
    <row r="22" spans="3:15" ht="15" customHeight="1" x14ac:dyDescent="0.35">
      <c r="C22" s="12" t="s">
        <v>39</v>
      </c>
      <c r="D22" s="53"/>
      <c r="E22" s="53"/>
      <c r="F22" s="53"/>
      <c r="G22" s="53"/>
      <c r="H22" s="53"/>
      <c r="I22" s="78">
        <f>-('Assumptions and Drivers'!$C$13-0.002)</f>
        <v>-7.4999999999999997E-2</v>
      </c>
      <c r="J22" s="78">
        <f>-('Assumptions and Drivers'!$C$13-0.002)</f>
        <v>-7.4999999999999997E-2</v>
      </c>
      <c r="K22" s="78">
        <f>-('Assumptions and Drivers'!$C$13-0.002)</f>
        <v>-7.4999999999999997E-2</v>
      </c>
      <c r="L22" s="78">
        <f>-('Assumptions and Drivers'!$C$13-0.002)</f>
        <v>-7.4999999999999997E-2</v>
      </c>
      <c r="M22" s="78">
        <f>-('Assumptions and Drivers'!$C$13-0.002)</f>
        <v>-7.4999999999999997E-2</v>
      </c>
    </row>
    <row r="23" spans="3:15" ht="15" customHeight="1" x14ac:dyDescent="0.35">
      <c r="C23" s="12" t="s">
        <v>40</v>
      </c>
      <c r="D23" s="53"/>
      <c r="E23" s="53"/>
      <c r="F23" s="53"/>
      <c r="G23" s="53"/>
      <c r="H23" s="53"/>
      <c r="I23" s="78">
        <f>-('Assumptions and Drivers'!$C$13)</f>
        <v>-7.6999999999999999E-2</v>
      </c>
      <c r="J23" s="78">
        <f>-('Assumptions and Drivers'!$C$13)</f>
        <v>-7.6999999999999999E-2</v>
      </c>
      <c r="K23" s="78">
        <f>-('Assumptions and Drivers'!$C$13)</f>
        <v>-7.6999999999999999E-2</v>
      </c>
      <c r="L23" s="78">
        <f>-('Assumptions and Drivers'!$C$13)</f>
        <v>-7.6999999999999999E-2</v>
      </c>
      <c r="M23" s="78">
        <f>-('Assumptions and Drivers'!$C$13)</f>
        <v>-7.6999999999999999E-2</v>
      </c>
      <c r="O23" s="17"/>
    </row>
    <row r="24" spans="3:15" ht="15" customHeight="1" x14ac:dyDescent="0.35">
      <c r="C24" s="12" t="s">
        <v>41</v>
      </c>
      <c r="D24" s="53"/>
      <c r="E24" s="53"/>
      <c r="F24" s="53"/>
      <c r="G24" s="53"/>
      <c r="H24" s="53"/>
      <c r="I24" s="78">
        <f>-('Assumptions and Drivers'!$C$13+0.002)</f>
        <v>-7.9000000000000001E-2</v>
      </c>
      <c r="J24" s="78">
        <f>-('Assumptions and Drivers'!$C$13+0.002)</f>
        <v>-7.9000000000000001E-2</v>
      </c>
      <c r="K24" s="78">
        <f>-('Assumptions and Drivers'!$C$13+0.002)</f>
        <v>-7.9000000000000001E-2</v>
      </c>
      <c r="L24" s="78">
        <f>-('Assumptions and Drivers'!$C$13+0.002)</f>
        <v>-7.9000000000000001E-2</v>
      </c>
      <c r="M24" s="78">
        <f>-('Assumptions and Drivers'!$C$13+0.002)</f>
        <v>-7.9000000000000001E-2</v>
      </c>
    </row>
    <row r="25" spans="3:15" ht="15" customHeight="1" x14ac:dyDescent="0.35">
      <c r="I25" s="76"/>
      <c r="J25" s="76"/>
      <c r="K25" s="76"/>
      <c r="L25" s="76"/>
      <c r="M25" s="76"/>
    </row>
    <row r="26" spans="3:15" ht="15" customHeight="1" x14ac:dyDescent="0.35">
      <c r="C26" s="12" t="s">
        <v>15</v>
      </c>
      <c r="D26" s="10">
        <f>'Income Statement Source'!D8</f>
        <v>-796</v>
      </c>
      <c r="E26" s="10">
        <f>'Income Statement Source'!E8</f>
        <v>-842</v>
      </c>
      <c r="F26" s="10">
        <f>'Income Statement Source'!F8</f>
        <v>-952</v>
      </c>
      <c r="G26" s="10">
        <f>'Income Statement Source'!G8</f>
        <v>-1128</v>
      </c>
      <c r="H26" s="10">
        <f>'Income Statement Source'!H8</f>
        <v>-1300</v>
      </c>
      <c r="I26" s="80">
        <f>(I$8*I27)</f>
        <v>-1458.5547600000002</v>
      </c>
      <c r="J26" s="80">
        <f>(J$8*J27)</f>
        <v>-1618.9957836000005</v>
      </c>
      <c r="K26" s="80">
        <f>(K$8*K27)</f>
        <v>-1780.8953619600006</v>
      </c>
      <c r="L26" s="80">
        <f>(L$8*L27)</f>
        <v>-1932.2714677266006</v>
      </c>
      <c r="M26" s="80">
        <f>(M$8*M27)</f>
        <v>-2077.1918278060953</v>
      </c>
    </row>
    <row r="27" spans="3:15" ht="15" customHeight="1" x14ac:dyDescent="0.35">
      <c r="C27" s="171" t="s">
        <v>45</v>
      </c>
      <c r="D27" s="175">
        <f>D26/D$8</f>
        <v>-8.3683767872161474E-2</v>
      </c>
      <c r="E27" s="175">
        <f>E26/E$8</f>
        <v>-8.6235149528881602E-2</v>
      </c>
      <c r="F27" s="175">
        <f>F26/F$8</f>
        <v>-9.8622189992748369E-2</v>
      </c>
      <c r="G27" s="175">
        <f>G26/G$8</f>
        <v>-0.10414550826331825</v>
      </c>
      <c r="H27" s="175">
        <f>H26/H$8</f>
        <v>-9.5510983763132759E-2</v>
      </c>
      <c r="I27" s="81">
        <f>(CHOOSE($D$5,I28,I29,I30))</f>
        <v>-9.5000000000000001E-2</v>
      </c>
      <c r="J27" s="81">
        <f>(CHOOSE($D$5,J28,J29,J30))</f>
        <v>-9.5000000000000001E-2</v>
      </c>
      <c r="K27" s="81">
        <f>(CHOOSE($D$5,K28,K29,K30))</f>
        <v>-9.5000000000000001E-2</v>
      </c>
      <c r="L27" s="81">
        <f>(CHOOSE($D$5,L28,L29,L30))</f>
        <v>-9.5000000000000001E-2</v>
      </c>
      <c r="M27" s="81">
        <f>(CHOOSE($D$5,M28,M29,M30))</f>
        <v>-9.5000000000000001E-2</v>
      </c>
    </row>
    <row r="28" spans="3:15" ht="15" customHeight="1" x14ac:dyDescent="0.35">
      <c r="C28" s="12" t="s">
        <v>39</v>
      </c>
      <c r="D28" s="53"/>
      <c r="E28" s="53"/>
      <c r="F28" s="53"/>
      <c r="G28" s="53"/>
      <c r="H28" s="53"/>
      <c r="I28" s="78">
        <f>-('Assumptions and Drivers'!$C$14-0.001)</f>
        <v>-9.4E-2</v>
      </c>
      <c r="J28" s="78">
        <f>-('Assumptions and Drivers'!$C$14-0.001)</f>
        <v>-9.4E-2</v>
      </c>
      <c r="K28" s="78">
        <f>-('Assumptions and Drivers'!$C$14-0.001)</f>
        <v>-9.4E-2</v>
      </c>
      <c r="L28" s="78">
        <f>-('Assumptions and Drivers'!$C$14-0.001)</f>
        <v>-9.4E-2</v>
      </c>
      <c r="M28" s="78">
        <f>-('Assumptions and Drivers'!$C$14-0.001)</f>
        <v>-9.4E-2</v>
      </c>
    </row>
    <row r="29" spans="3:15" ht="15" customHeight="1" x14ac:dyDescent="0.35">
      <c r="C29" s="12" t="s">
        <v>40</v>
      </c>
      <c r="D29" s="53"/>
      <c r="E29" s="53"/>
      <c r="F29" s="53"/>
      <c r="G29" s="53"/>
      <c r="H29" s="53"/>
      <c r="I29" s="78">
        <f>-'Assumptions and Drivers'!$C$14</f>
        <v>-9.5000000000000001E-2</v>
      </c>
      <c r="J29" s="78">
        <f>-'Assumptions and Drivers'!$C$14</f>
        <v>-9.5000000000000001E-2</v>
      </c>
      <c r="K29" s="78">
        <f>-'Assumptions and Drivers'!$C$14</f>
        <v>-9.5000000000000001E-2</v>
      </c>
      <c r="L29" s="78">
        <f>-'Assumptions and Drivers'!$C$14</f>
        <v>-9.5000000000000001E-2</v>
      </c>
      <c r="M29" s="78">
        <f>-'Assumptions and Drivers'!$C$14</f>
        <v>-9.5000000000000001E-2</v>
      </c>
    </row>
    <row r="30" spans="3:15" ht="15" customHeight="1" x14ac:dyDescent="0.35">
      <c r="C30" s="12" t="s">
        <v>41</v>
      </c>
      <c r="D30" s="53"/>
      <c r="E30" s="53"/>
      <c r="F30" s="53"/>
      <c r="G30" s="53"/>
      <c r="H30" s="53"/>
      <c r="I30" s="78">
        <f>-('Assumptions and Drivers'!$C$14+0.001)</f>
        <v>-9.6000000000000002E-2</v>
      </c>
      <c r="J30" s="78">
        <f>-('Assumptions and Drivers'!$C$14+0.001)</f>
        <v>-9.6000000000000002E-2</v>
      </c>
      <c r="K30" s="78">
        <f>-('Assumptions and Drivers'!$C$14+0.001)</f>
        <v>-9.6000000000000002E-2</v>
      </c>
      <c r="L30" s="78">
        <f>-('Assumptions and Drivers'!$C$14+0.001)</f>
        <v>-9.6000000000000002E-2</v>
      </c>
      <c r="M30" s="78">
        <f>-('Assumptions and Drivers'!$C$14+0.001)</f>
        <v>-9.6000000000000002E-2</v>
      </c>
    </row>
    <row r="31" spans="3:15" ht="15" customHeight="1" x14ac:dyDescent="0.35">
      <c r="I31" s="76"/>
      <c r="J31" s="76"/>
      <c r="K31" s="76"/>
      <c r="L31" s="76"/>
      <c r="M31" s="76"/>
    </row>
    <row r="32" spans="3:15" ht="15" customHeight="1" x14ac:dyDescent="0.35">
      <c r="C32" s="12" t="s">
        <v>16</v>
      </c>
      <c r="D32" s="10">
        <f>'Income Statement Source'!D9</f>
        <v>-1013</v>
      </c>
      <c r="E32" s="10">
        <f>'Income Statement Source'!E9</f>
        <v>-1108</v>
      </c>
      <c r="F32" s="10">
        <f>'Income Statement Source'!F9</f>
        <v>-1184</v>
      </c>
      <c r="G32" s="10">
        <f>'Income Statement Source'!G9</f>
        <v>-1345</v>
      </c>
      <c r="H32" s="10">
        <f>'Income Statement Source'!H9</f>
        <v>-1508</v>
      </c>
      <c r="I32" s="79">
        <f>(I$8*I33)</f>
        <v>-1765.6189200000003</v>
      </c>
      <c r="J32" s="79">
        <f>(J$8*J33)</f>
        <v>-1959.8370012000007</v>
      </c>
      <c r="K32" s="79">
        <f>(K$8*K33)</f>
        <v>-2155.8207013200008</v>
      </c>
      <c r="L32" s="79">
        <f>(L$8*L33)</f>
        <v>-2339.0654609322009</v>
      </c>
      <c r="M32" s="79">
        <f>(M$8*M33)</f>
        <v>-2514.4953705021157</v>
      </c>
    </row>
    <row r="33" spans="3:13" ht="15" customHeight="1" x14ac:dyDescent="0.35">
      <c r="C33" s="171" t="s">
        <v>45</v>
      </c>
      <c r="D33" s="174">
        <f>D32/D$8</f>
        <v>-0.10649705634987384</v>
      </c>
      <c r="E33" s="174">
        <f>E32/E$8</f>
        <v>-0.1134780827529701</v>
      </c>
      <c r="F33" s="174">
        <f>F32/F$8</f>
        <v>-0.12265616906661142</v>
      </c>
      <c r="G33" s="174">
        <f>G32/G$8</f>
        <v>-0.12418059274305235</v>
      </c>
      <c r="H33" s="174">
        <f>H32/H$8</f>
        <v>-0.11079274116523401</v>
      </c>
      <c r="I33" s="82">
        <f>(CHOOSE($D$5,I34,I35,I36))</f>
        <v>-0.115</v>
      </c>
      <c r="J33" s="82">
        <f>(CHOOSE($D$5,J34,J35,J36))</f>
        <v>-0.115</v>
      </c>
      <c r="K33" s="82">
        <f>(CHOOSE($D$5,K34,K35,K36))</f>
        <v>-0.115</v>
      </c>
      <c r="L33" s="82">
        <f>(CHOOSE($D$5,L34,L35,L36))</f>
        <v>-0.115</v>
      </c>
      <c r="M33" s="82">
        <f>(CHOOSE($D$5,M34,M35,M36))</f>
        <v>-0.115</v>
      </c>
    </row>
    <row r="34" spans="3:13" ht="15" customHeight="1" x14ac:dyDescent="0.35">
      <c r="C34" s="12" t="s">
        <v>39</v>
      </c>
      <c r="D34" s="53"/>
      <c r="E34" s="53"/>
      <c r="F34" s="53"/>
      <c r="G34" s="53"/>
      <c r="H34" s="53"/>
      <c r="I34" s="78">
        <f>-'Assumptions and Drivers'!$C$15+0.005</f>
        <v>-0.11</v>
      </c>
      <c r="J34" s="78">
        <f>-'Assumptions and Drivers'!$C$15+0.005</f>
        <v>-0.11</v>
      </c>
      <c r="K34" s="78">
        <f>-'Assumptions and Drivers'!$C$15+0.005</f>
        <v>-0.11</v>
      </c>
      <c r="L34" s="78">
        <f>-'Assumptions and Drivers'!$C$15+0.005</f>
        <v>-0.11</v>
      </c>
      <c r="M34" s="78">
        <f>-'Assumptions and Drivers'!$C$15+0.005</f>
        <v>-0.11</v>
      </c>
    </row>
    <row r="35" spans="3:13" ht="15" customHeight="1" x14ac:dyDescent="0.35">
      <c r="C35" s="12" t="s">
        <v>40</v>
      </c>
      <c r="D35" s="53"/>
      <c r="E35" s="53"/>
      <c r="F35" s="53"/>
      <c r="G35" s="53"/>
      <c r="H35" s="53"/>
      <c r="I35" s="78">
        <f>-'Assumptions and Drivers'!$C$15</f>
        <v>-0.115</v>
      </c>
      <c r="J35" s="78">
        <f>-'Assumptions and Drivers'!$C$15</f>
        <v>-0.115</v>
      </c>
      <c r="K35" s="78">
        <f>-'Assumptions and Drivers'!$C$15</f>
        <v>-0.115</v>
      </c>
      <c r="L35" s="78">
        <f>-'Assumptions and Drivers'!$C$15</f>
        <v>-0.115</v>
      </c>
      <c r="M35" s="78">
        <f>-'Assumptions and Drivers'!$C$15</f>
        <v>-0.115</v>
      </c>
    </row>
    <row r="36" spans="3:13" ht="15" customHeight="1" x14ac:dyDescent="0.35">
      <c r="C36" s="12" t="s">
        <v>41</v>
      </c>
      <c r="D36" s="53"/>
      <c r="E36" s="53"/>
      <c r="F36" s="53"/>
      <c r="G36" s="53"/>
      <c r="H36" s="53"/>
      <c r="I36" s="78">
        <f>-'Assumptions and Drivers'!$C$15-0.005</f>
        <v>-0.12000000000000001</v>
      </c>
      <c r="J36" s="78">
        <f>-'Assumptions and Drivers'!$C$15-0.005</f>
        <v>-0.12000000000000001</v>
      </c>
      <c r="K36" s="78">
        <f>-'Assumptions and Drivers'!$C$15-0.005</f>
        <v>-0.12000000000000001</v>
      </c>
      <c r="L36" s="78">
        <f>-'Assumptions and Drivers'!$C$15-0.005</f>
        <v>-0.12000000000000001</v>
      </c>
      <c r="M36" s="78">
        <f>-'Assumptions and Drivers'!$C$15-0.005</f>
        <v>-0.12000000000000001</v>
      </c>
    </row>
    <row r="37" spans="3:13" ht="15" customHeight="1" x14ac:dyDescent="0.35">
      <c r="I37" s="76"/>
      <c r="J37" s="76"/>
      <c r="K37" s="76"/>
      <c r="L37" s="76"/>
      <c r="M37" s="76"/>
    </row>
    <row r="38" spans="3:13" ht="15" customHeight="1" x14ac:dyDescent="0.35">
      <c r="C38" s="12" t="s">
        <v>46</v>
      </c>
      <c r="D38" s="146">
        <f>'Income Statement Source'!D16</f>
        <v>-346</v>
      </c>
      <c r="E38" s="146">
        <f>'Income Statement Source'!E16</f>
        <v>-421</v>
      </c>
      <c r="F38" s="146">
        <f>'Income Statement Source'!F16</f>
        <v>-435</v>
      </c>
      <c r="G38" s="146">
        <f>'Income Statement Source'!G16</f>
        <v>-458</v>
      </c>
      <c r="H38" s="146">
        <f>'Income Statement Source'!H16</f>
        <v>-464</v>
      </c>
      <c r="I38" s="79">
        <f>'Income Statement'!I15*'IS Assumptions'!I39</f>
        <v>-580.86733584000001</v>
      </c>
      <c r="J38" s="79">
        <f>'Income Statement'!J15*'IS Assumptions'!J39</f>
        <v>-667.61962882461739</v>
      </c>
      <c r="K38" s="79">
        <f>'Income Statement'!K15*'IS Assumptions'!K39</f>
        <v>-750.85028516087891</v>
      </c>
      <c r="L38" s="79">
        <f>'Income Statement'!L15*'IS Assumptions'!L39</f>
        <v>-831.38551398276957</v>
      </c>
      <c r="M38" s="79">
        <f>'Income Statement'!M15*'IS Assumptions'!M39</f>
        <v>-911.27688363041375</v>
      </c>
    </row>
    <row r="39" spans="3:13" ht="15" customHeight="1" x14ac:dyDescent="0.35">
      <c r="C39" s="171" t="s">
        <v>47</v>
      </c>
      <c r="D39" s="176">
        <f>D38/'Income Statement Source'!D15</f>
        <v>-0.21611492816989381</v>
      </c>
      <c r="E39" s="176">
        <f>E38/'Income Statement Source'!E15</f>
        <v>-0.24153757888697647</v>
      </c>
      <c r="F39" s="176">
        <f>F38/'Income Statement Source'!F15</f>
        <v>-0.22457408363448633</v>
      </c>
      <c r="G39" s="176">
        <f>G38/'Income Statement Source'!G15</f>
        <v>-0.21644612476370512</v>
      </c>
      <c r="H39" s="176">
        <f>H38/'Income Statement Source'!H15</f>
        <v>-0.20377689942907334</v>
      </c>
      <c r="I39" s="82">
        <f>(CHOOSE($D$5,I42,I41,I40))</f>
        <v>-0.22</v>
      </c>
      <c r="J39" s="82">
        <f t="shared" ref="J39:M39" si="1">(CHOOSE($D$5,J40,J41,J42))</f>
        <v>-0.22</v>
      </c>
      <c r="K39" s="82">
        <f t="shared" si="1"/>
        <v>-0.22</v>
      </c>
      <c r="L39" s="82">
        <f t="shared" si="1"/>
        <v>-0.22</v>
      </c>
      <c r="M39" s="82">
        <f t="shared" si="1"/>
        <v>-0.22</v>
      </c>
    </row>
    <row r="40" spans="3:13" ht="15" customHeight="1" x14ac:dyDescent="0.35">
      <c r="C40" s="12" t="s">
        <v>39</v>
      </c>
      <c r="D40" s="53"/>
      <c r="E40" s="53"/>
      <c r="F40" s="53"/>
      <c r="G40" s="53"/>
      <c r="H40" s="53"/>
      <c r="I40" s="147">
        <f>-'Assumptions and Drivers'!$C$7+0.02</f>
        <v>-0.2</v>
      </c>
      <c r="J40" s="147">
        <f>-'Assumptions and Drivers'!$C$7+0.02</f>
        <v>-0.2</v>
      </c>
      <c r="K40" s="147">
        <f>-'Assumptions and Drivers'!$C$7+0.02</f>
        <v>-0.2</v>
      </c>
      <c r="L40" s="147">
        <f>-'Assumptions and Drivers'!$C$7+0.02</f>
        <v>-0.2</v>
      </c>
      <c r="M40" s="147">
        <f>-'Assumptions and Drivers'!$C$7+0.02</f>
        <v>-0.2</v>
      </c>
    </row>
    <row r="41" spans="3:13" ht="15" customHeight="1" x14ac:dyDescent="0.35">
      <c r="C41" s="12" t="s">
        <v>40</v>
      </c>
      <c r="D41" s="53"/>
      <c r="E41" s="53"/>
      <c r="F41" s="53"/>
      <c r="G41" s="53"/>
      <c r="H41" s="53"/>
      <c r="I41" s="147">
        <f>-'Assumptions and Drivers'!$C$7</f>
        <v>-0.22</v>
      </c>
      <c r="J41" s="147">
        <f>-'Assumptions and Drivers'!$C$7</f>
        <v>-0.22</v>
      </c>
      <c r="K41" s="147">
        <f>-'Assumptions and Drivers'!$C$7</f>
        <v>-0.22</v>
      </c>
      <c r="L41" s="147">
        <f>-'Assumptions and Drivers'!$C$7</f>
        <v>-0.22</v>
      </c>
      <c r="M41" s="147">
        <f>-'Assumptions and Drivers'!$C$7</f>
        <v>-0.22</v>
      </c>
    </row>
    <row r="42" spans="3:13" ht="15" customHeight="1" x14ac:dyDescent="0.35">
      <c r="C42" s="12" t="s">
        <v>41</v>
      </c>
      <c r="D42" s="53"/>
      <c r="E42" s="53"/>
      <c r="F42" s="53"/>
      <c r="G42" s="53"/>
      <c r="H42" s="53"/>
      <c r="I42" s="147">
        <f>-'Assumptions and Drivers'!$C$7-0.02</f>
        <v>-0.24</v>
      </c>
      <c r="J42" s="147">
        <f>-'Assumptions and Drivers'!$C$7-0.02</f>
        <v>-0.24</v>
      </c>
      <c r="K42" s="147">
        <f>-'Assumptions and Drivers'!$C$7-0.02</f>
        <v>-0.24</v>
      </c>
      <c r="L42" s="147">
        <f>-'Assumptions and Drivers'!$C$7-0.02</f>
        <v>-0.24</v>
      </c>
      <c r="M42" s="147">
        <f>-'Assumptions and Drivers'!$C$7-0.02</f>
        <v>-0.24</v>
      </c>
    </row>
    <row r="43" spans="3:13" customFormat="1" ht="15" customHeight="1" x14ac:dyDescent="0.35"/>
    <row r="44" spans="3:13" customFormat="1" ht="15" customHeight="1" x14ac:dyDescent="0.35"/>
    <row r="45" spans="3:13" customFormat="1" ht="15" customHeight="1" x14ac:dyDescent="0.35"/>
    <row r="46" spans="3:13" customFormat="1" ht="15" customHeight="1" x14ac:dyDescent="0.35"/>
    <row r="47" spans="3:13" customFormat="1" ht="15" customHeight="1" x14ac:dyDescent="0.35"/>
    <row r="48" spans="3:13" customFormat="1" ht="15" customHeight="1" x14ac:dyDescent="0.35"/>
    <row r="49" spans="9:13" customFormat="1" ht="15" customHeight="1" x14ac:dyDescent="0.35">
      <c r="I49" s="12"/>
    </row>
    <row r="50" spans="9:13" customFormat="1" ht="15" customHeight="1" x14ac:dyDescent="0.35"/>
    <row r="51" spans="9:13" ht="15" customHeight="1" x14ac:dyDescent="0.35">
      <c r="I51" s="14"/>
      <c r="J51" s="14"/>
      <c r="K51" s="14"/>
      <c r="L51" s="14"/>
      <c r="M51" s="14"/>
    </row>
    <row r="52" spans="9:13" ht="15" customHeight="1" x14ac:dyDescent="0.35">
      <c r="I52" s="14"/>
      <c r="J52" s="14"/>
      <c r="K52" s="14"/>
      <c r="L52" s="14"/>
      <c r="M52" s="14"/>
    </row>
    <row r="53" spans="9:13" ht="15" customHeight="1" x14ac:dyDescent="0.35">
      <c r="I53" s="14"/>
      <c r="J53" s="14"/>
      <c r="K53" s="14"/>
      <c r="L53" s="14"/>
      <c r="M53" s="14"/>
    </row>
    <row r="54" spans="9:13" ht="15" customHeight="1" x14ac:dyDescent="0.35">
      <c r="I54" s="14"/>
      <c r="J54" s="14"/>
      <c r="K54" s="14"/>
      <c r="L54" s="14"/>
      <c r="M54" s="14"/>
    </row>
    <row r="55" spans="9:13" ht="15" customHeight="1" x14ac:dyDescent="0.35"/>
    <row r="56" spans="9:13" ht="15" customHeight="1" x14ac:dyDescent="0.35"/>
    <row r="57" spans="9:13" ht="15" customHeight="1" x14ac:dyDescent="0.35"/>
    <row r="58" spans="9:13" ht="15" customHeight="1" x14ac:dyDescent="0.35"/>
    <row r="59" spans="9:13" ht="15" customHeight="1" x14ac:dyDescent="0.35"/>
    <row r="60" spans="9:13" ht="15" customHeight="1" x14ac:dyDescent="0.35"/>
    <row r="61" spans="9:13" ht="15" customHeight="1" x14ac:dyDescent="0.35"/>
    <row r="62" spans="9:13" ht="15" customHeight="1" x14ac:dyDescent="0.35"/>
    <row r="63" spans="9:13" ht="15" customHeight="1" x14ac:dyDescent="0.3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43E5-F184-4C5A-AFBD-F384C8111231}">
  <sheetPr codeName="Sheet5"/>
  <dimension ref="C1:M63"/>
  <sheetViews>
    <sheetView showGridLines="0" zoomScale="89" workbookViewId="0">
      <pane ySplit="4" topLeftCell="A5" activePane="bottomLeft" state="frozen"/>
      <selection pane="bottomLeft" activeCell="K11" sqref="K11"/>
    </sheetView>
  </sheetViews>
  <sheetFormatPr defaultColWidth="9.1796875" defaultRowHeight="12" x14ac:dyDescent="0.3"/>
  <cols>
    <col min="1" max="2" width="2" style="93" customWidth="1"/>
    <col min="3" max="3" width="36.453125" style="93" bestFit="1" customWidth="1"/>
    <col min="4" max="8" width="9.54296875" style="93" customWidth="1"/>
    <col min="9" max="9" width="21.453125" style="93" customWidth="1"/>
    <col min="10" max="12" width="9.54296875" style="93" customWidth="1"/>
    <col min="13" max="13" width="10.1796875" style="93" customWidth="1"/>
    <col min="14" max="16384" width="9.1796875" style="93"/>
  </cols>
  <sheetData>
    <row r="1" spans="3:13" ht="15.5" x14ac:dyDescent="0.35">
      <c r="C1" s="92" t="s">
        <v>48</v>
      </c>
    </row>
    <row r="3" spans="3:13" ht="12.5" thickBot="1" x14ac:dyDescent="0.35"/>
    <row r="4" spans="3:13" ht="33" customHeight="1" thickBot="1" x14ac:dyDescent="0.4">
      <c r="C4" s="225" t="s">
        <v>49</v>
      </c>
      <c r="D4" s="219" t="s">
        <v>27</v>
      </c>
      <c r="E4" s="219" t="s">
        <v>28</v>
      </c>
      <c r="F4" s="219" t="s">
        <v>29</v>
      </c>
      <c r="G4" s="219" t="s">
        <v>30</v>
      </c>
      <c r="H4" s="219" t="s">
        <v>31</v>
      </c>
      <c r="I4" s="219" t="s">
        <v>32</v>
      </c>
      <c r="J4" s="219" t="s">
        <v>33</v>
      </c>
      <c r="K4" s="219" t="s">
        <v>34</v>
      </c>
      <c r="L4" s="219" t="s">
        <v>35</v>
      </c>
      <c r="M4" s="219" t="s">
        <v>36</v>
      </c>
    </row>
    <row r="5" spans="3:13" ht="14.5" x14ac:dyDescent="0.35">
      <c r="C5" t="s">
        <v>50</v>
      </c>
      <c r="D5" s="106">
        <f>'Balance Sheet Source'!D10</f>
        <v>213</v>
      </c>
      <c r="E5" s="106">
        <f>'Balance Sheet Source'!E10</f>
        <v>229</v>
      </c>
      <c r="F5" s="106">
        <f>'Balance Sheet Source'!F10</f>
        <v>378</v>
      </c>
      <c r="G5" s="106">
        <f>'Balance Sheet Source'!G10</f>
        <v>413</v>
      </c>
      <c r="H5" s="106">
        <f>'Balance Sheet Source'!H10</f>
        <v>488</v>
      </c>
      <c r="I5" s="107">
        <f>I6*'IS Assumptions'!I$8</f>
        <v>550.46400000000006</v>
      </c>
      <c r="J5" s="107">
        <f>J6*'IS Assumptions'!J$8</f>
        <v>611.01504000000023</v>
      </c>
      <c r="K5" s="107">
        <f>K6*'IS Assumptions'!K$8</f>
        <v>672.11654400000032</v>
      </c>
      <c r="L5" s="107">
        <f>L6*'IS Assumptions'!L$8</f>
        <v>729.24645024000029</v>
      </c>
      <c r="M5" s="107">
        <f>M6*'IS Assumptions'!M$8</f>
        <v>783.93993400800014</v>
      </c>
    </row>
    <row r="6" spans="3:13" s="134" customFormat="1" x14ac:dyDescent="0.3">
      <c r="C6" s="110" t="s">
        <v>45</v>
      </c>
      <c r="D6" s="143">
        <f>D5/'IS Assumptions'!D$8</f>
        <v>2.2392767031118588E-2</v>
      </c>
      <c r="E6" s="143">
        <f>E5/'IS Assumptions'!E$8</f>
        <v>2.3453502662843097E-2</v>
      </c>
      <c r="F6" s="143">
        <f>F5/'IS Assumptions'!F$8</f>
        <v>3.9158810732414791E-2</v>
      </c>
      <c r="G6" s="143">
        <f>G5/'IS Assumptions'!G$8</f>
        <v>3.8131289816268121E-2</v>
      </c>
      <c r="H6" s="143">
        <f>H5/'IS Assumptions'!H$8</f>
        <v>3.5853353904929837E-2</v>
      </c>
      <c r="I6" s="136">
        <f>$H$6</f>
        <v>3.5853353904929837E-2</v>
      </c>
      <c r="J6" s="136">
        <f>$H$6</f>
        <v>3.5853353904929837E-2</v>
      </c>
      <c r="K6" s="136">
        <f>$H$6</f>
        <v>3.5853353904929837E-2</v>
      </c>
      <c r="L6" s="136">
        <f>$H$6</f>
        <v>3.5853353904929837E-2</v>
      </c>
      <c r="M6" s="136">
        <f>$H$6</f>
        <v>3.5853353904929837E-2</v>
      </c>
    </row>
    <row r="7" spans="3:13" ht="8.15" customHeight="1" x14ac:dyDescent="0.35">
      <c r="C7"/>
      <c r="D7" s="106"/>
      <c r="E7" s="106"/>
      <c r="F7" s="106"/>
      <c r="G7" s="106"/>
      <c r="H7" s="106"/>
      <c r="I7" s="90"/>
      <c r="J7" s="90"/>
      <c r="K7" s="90"/>
      <c r="L7" s="90"/>
      <c r="M7" s="90"/>
    </row>
    <row r="8" spans="3:13" ht="14.5" x14ac:dyDescent="0.35">
      <c r="C8" t="s">
        <v>51</v>
      </c>
      <c r="D8" s="106">
        <f>'Balance Sheet Source'!D11</f>
        <v>1</v>
      </c>
      <c r="E8" s="106">
        <f>'Balance Sheet Source'!E11</f>
        <v>9</v>
      </c>
      <c r="F8" s="106">
        <f>'Balance Sheet Source'!F11</f>
        <v>7</v>
      </c>
      <c r="G8" s="106">
        <f>'Balance Sheet Source'!G11</f>
        <v>2</v>
      </c>
      <c r="H8" s="106">
        <f>'Balance Sheet Source'!H11</f>
        <v>3</v>
      </c>
      <c r="I8" s="90">
        <f>$H$8</f>
        <v>3</v>
      </c>
      <c r="J8" s="90">
        <f>$H$8</f>
        <v>3</v>
      </c>
      <c r="K8" s="90">
        <f>$H$8</f>
        <v>3</v>
      </c>
      <c r="L8" s="90">
        <f>$H$8</f>
        <v>3</v>
      </c>
      <c r="M8" s="90">
        <f>$H$8</f>
        <v>3</v>
      </c>
    </row>
    <row r="9" spans="3:13" s="135" customFormat="1" x14ac:dyDescent="0.3">
      <c r="C9" s="94" t="s">
        <v>52</v>
      </c>
      <c r="D9" s="144"/>
      <c r="E9" s="144"/>
      <c r="F9" s="144"/>
      <c r="G9" s="144"/>
      <c r="H9" s="144"/>
      <c r="I9" s="137"/>
      <c r="J9" s="137"/>
      <c r="K9" s="137"/>
      <c r="L9" s="137"/>
      <c r="M9" s="137"/>
    </row>
    <row r="10" spans="3:13" ht="8.15" customHeight="1" x14ac:dyDescent="0.35">
      <c r="C10"/>
      <c r="D10" s="106"/>
      <c r="E10" s="106"/>
      <c r="F10" s="106"/>
      <c r="G10" s="106"/>
      <c r="H10" s="106"/>
      <c r="I10" s="90"/>
      <c r="J10" s="90"/>
      <c r="K10" s="90"/>
      <c r="L10" s="90"/>
      <c r="M10" s="90"/>
    </row>
    <row r="11" spans="3:13" ht="14.5" x14ac:dyDescent="0.35">
      <c r="C11" t="s">
        <v>53</v>
      </c>
      <c r="D11" s="106">
        <f>'Balance Sheet Source'!D9</f>
        <v>7</v>
      </c>
      <c r="E11" s="106">
        <f>'Balance Sheet Source'!E9</f>
        <v>8</v>
      </c>
      <c r="F11" s="106">
        <f>'Balance Sheet Source'!F9</f>
        <v>11</v>
      </c>
      <c r="G11" s="106">
        <f>'Balance Sheet Source'!G9</f>
        <v>10</v>
      </c>
      <c r="H11" s="106">
        <f>'Balance Sheet Source'!H9</f>
        <v>13</v>
      </c>
      <c r="I11" s="90">
        <f>$H$11</f>
        <v>13</v>
      </c>
      <c r="J11" s="90">
        <f>$H$11</f>
        <v>13</v>
      </c>
      <c r="K11" s="90">
        <f>$H$11</f>
        <v>13</v>
      </c>
      <c r="L11" s="90">
        <f>$H$11</f>
        <v>13</v>
      </c>
      <c r="M11" s="90">
        <f>$H$11</f>
        <v>13</v>
      </c>
    </row>
    <row r="12" spans="3:13" s="135" customFormat="1" x14ac:dyDescent="0.3">
      <c r="C12" s="94" t="s">
        <v>52</v>
      </c>
      <c r="D12" s="144"/>
      <c r="E12" s="144"/>
      <c r="F12" s="144"/>
      <c r="G12" s="144"/>
      <c r="H12" s="144"/>
      <c r="I12" s="137"/>
      <c r="J12" s="137"/>
      <c r="K12" s="137"/>
      <c r="L12" s="137"/>
      <c r="M12" s="137"/>
    </row>
    <row r="13" spans="3:13" ht="8.15" customHeight="1" x14ac:dyDescent="0.35">
      <c r="C13"/>
      <c r="D13" s="106"/>
      <c r="E13" s="106"/>
      <c r="F13" s="106"/>
      <c r="G13" s="106"/>
      <c r="H13" s="106"/>
      <c r="I13" s="90"/>
      <c r="J13" s="90"/>
      <c r="K13" s="90"/>
      <c r="L13" s="90"/>
      <c r="M13" s="90"/>
    </row>
    <row r="14" spans="3:13" ht="14.5" x14ac:dyDescent="0.35">
      <c r="C14" t="s">
        <v>54</v>
      </c>
      <c r="D14" s="106">
        <f>'Balance Sheet Source'!D16</f>
        <v>39</v>
      </c>
      <c r="E14" s="106">
        <f>'Balance Sheet Source'!E16</f>
        <v>67</v>
      </c>
      <c r="F14" s="106">
        <f>'Balance Sheet Source'!F16</f>
        <v>44</v>
      </c>
      <c r="G14" s="106">
        <f>'Balance Sheet Source'!G16</f>
        <v>40</v>
      </c>
      <c r="H14" s="106">
        <f>'Balance Sheet Source'!H16</f>
        <v>85</v>
      </c>
      <c r="I14" s="90">
        <f>$H$14</f>
        <v>85</v>
      </c>
      <c r="J14" s="90">
        <f>$H$14</f>
        <v>85</v>
      </c>
      <c r="K14" s="90">
        <f>$H$14</f>
        <v>85</v>
      </c>
      <c r="L14" s="90">
        <f>$H$14</f>
        <v>85</v>
      </c>
      <c r="M14" s="90">
        <f>$H$14</f>
        <v>85</v>
      </c>
    </row>
    <row r="15" spans="3:13" s="135" customFormat="1" x14ac:dyDescent="0.3">
      <c r="C15" s="94" t="s">
        <v>52</v>
      </c>
      <c r="D15" s="144"/>
      <c r="E15" s="144"/>
      <c r="F15" s="144"/>
      <c r="G15" s="144"/>
      <c r="H15" s="144"/>
      <c r="I15" s="137"/>
      <c r="J15" s="137"/>
      <c r="K15" s="137"/>
      <c r="L15" s="137"/>
      <c r="M15" s="137"/>
    </row>
    <row r="16" spans="3:13" ht="8.15" customHeight="1" x14ac:dyDescent="0.35">
      <c r="C16"/>
      <c r="D16" s="106"/>
      <c r="E16" s="106"/>
      <c r="F16" s="106"/>
      <c r="G16" s="106"/>
      <c r="H16" s="106"/>
      <c r="I16" s="90"/>
      <c r="J16" s="90"/>
      <c r="K16" s="90"/>
      <c r="L16" s="90"/>
      <c r="M16" s="90"/>
    </row>
    <row r="17" spans="3:13" ht="14.5" x14ac:dyDescent="0.35">
      <c r="C17" t="s">
        <v>55</v>
      </c>
      <c r="D17" s="106">
        <f>'Balance Sheet Source'!D17</f>
        <v>654</v>
      </c>
      <c r="E17" s="106">
        <f>'Balance Sheet Source'!E17</f>
        <v>862</v>
      </c>
      <c r="F17" s="106">
        <f>'Balance Sheet Source'!F17</f>
        <v>863</v>
      </c>
      <c r="G17" s="106">
        <f>'Balance Sheet Source'!G17</f>
        <v>857</v>
      </c>
      <c r="H17" s="106">
        <f>'Balance Sheet Source'!H17</f>
        <v>1036</v>
      </c>
      <c r="I17" s="90">
        <f>$H$17</f>
        <v>1036</v>
      </c>
      <c r="J17" s="90">
        <f>$H$17</f>
        <v>1036</v>
      </c>
      <c r="K17" s="90">
        <f>$H$17</f>
        <v>1036</v>
      </c>
      <c r="L17" s="90">
        <f>$H$17</f>
        <v>1036</v>
      </c>
      <c r="M17" s="90">
        <f>$H$17</f>
        <v>1036</v>
      </c>
    </row>
    <row r="18" spans="3:13" s="135" customFormat="1" x14ac:dyDescent="0.3">
      <c r="C18" s="94" t="s">
        <v>52</v>
      </c>
      <c r="D18" s="144"/>
      <c r="E18" s="144"/>
      <c r="F18" s="144"/>
      <c r="G18" s="144"/>
      <c r="H18" s="144"/>
      <c r="I18" s="137"/>
      <c r="J18" s="137"/>
      <c r="K18" s="137"/>
      <c r="L18" s="137"/>
      <c r="M18" s="137"/>
    </row>
    <row r="19" spans="3:13" ht="8.15" customHeight="1" x14ac:dyDescent="0.35">
      <c r="C19"/>
      <c r="D19" s="106"/>
      <c r="E19" s="106"/>
      <c r="F19" s="106"/>
      <c r="G19" s="106"/>
      <c r="H19" s="106"/>
      <c r="I19" s="90"/>
      <c r="J19" s="90"/>
      <c r="K19" s="90"/>
      <c r="L19" s="90"/>
      <c r="M19" s="90"/>
    </row>
    <row r="20" spans="3:13" ht="14.5" x14ac:dyDescent="0.35">
      <c r="C20" t="s">
        <v>56</v>
      </c>
      <c r="D20" s="106">
        <f>'Balance Sheet Source'!D18</f>
        <v>208</v>
      </c>
      <c r="E20" s="106">
        <f>'Balance Sheet Source'!E18</f>
        <v>554</v>
      </c>
      <c r="F20" s="106">
        <f>'Balance Sheet Source'!F18</f>
        <v>447</v>
      </c>
      <c r="G20" s="106">
        <f>'Balance Sheet Source'!G18</f>
        <v>243</v>
      </c>
      <c r="H20" s="106">
        <f>'Balance Sheet Source'!H18</f>
        <v>166</v>
      </c>
      <c r="I20" s="90">
        <f>$H$20</f>
        <v>166</v>
      </c>
      <c r="J20" s="90">
        <f>$H$20</f>
        <v>166</v>
      </c>
      <c r="K20" s="90">
        <f>$H$20</f>
        <v>166</v>
      </c>
      <c r="L20" s="90">
        <f>$H$20</f>
        <v>166</v>
      </c>
      <c r="M20" s="90">
        <f>$H$20</f>
        <v>166</v>
      </c>
    </row>
    <row r="21" spans="3:13" s="135" customFormat="1" x14ac:dyDescent="0.3">
      <c r="C21" s="94" t="s">
        <v>52</v>
      </c>
      <c r="D21" s="144"/>
      <c r="E21" s="144"/>
      <c r="F21" s="144"/>
      <c r="G21" s="144"/>
      <c r="H21" s="144"/>
      <c r="I21" s="137"/>
      <c r="J21" s="137"/>
      <c r="K21" s="137"/>
      <c r="L21" s="137"/>
      <c r="M21" s="137"/>
    </row>
    <row r="22" spans="3:13" ht="8.15" customHeight="1" x14ac:dyDescent="0.35">
      <c r="C22"/>
      <c r="D22" s="106"/>
      <c r="E22" s="106"/>
      <c r="F22" s="106"/>
      <c r="G22" s="106"/>
      <c r="H22" s="106"/>
      <c r="I22" s="90"/>
      <c r="J22" s="90"/>
      <c r="K22" s="90"/>
      <c r="L22" s="90"/>
      <c r="M22" s="90"/>
    </row>
    <row r="23" spans="3:13" ht="14.5" x14ac:dyDescent="0.35">
      <c r="C23" t="s">
        <v>57</v>
      </c>
      <c r="D23" s="106">
        <f>'Balance Sheet Source'!D19</f>
        <v>274</v>
      </c>
      <c r="E23" s="106">
        <f>'Balance Sheet Source'!E19</f>
        <v>259</v>
      </c>
      <c r="F23" s="106">
        <f>'Balance Sheet Source'!F19</f>
        <v>203</v>
      </c>
      <c r="G23" s="106">
        <f>'Balance Sheet Source'!G19</f>
        <v>214</v>
      </c>
      <c r="H23" s="106">
        <f>'Balance Sheet Source'!H19</f>
        <v>331</v>
      </c>
      <c r="I23" s="90">
        <f>$H$23</f>
        <v>331</v>
      </c>
      <c r="J23" s="90">
        <f>$H$23</f>
        <v>331</v>
      </c>
      <c r="K23" s="90">
        <f>$H$23</f>
        <v>331</v>
      </c>
      <c r="L23" s="90">
        <f>$H$23</f>
        <v>331</v>
      </c>
      <c r="M23" s="90">
        <f>$H$23</f>
        <v>331</v>
      </c>
    </row>
    <row r="24" spans="3:13" ht="8.15" customHeight="1" x14ac:dyDescent="0.35">
      <c r="C24"/>
      <c r="D24" s="106"/>
      <c r="E24" s="106"/>
      <c r="F24" s="106"/>
      <c r="G24" s="106"/>
      <c r="H24" s="106"/>
      <c r="I24" s="90"/>
      <c r="J24" s="90"/>
      <c r="K24" s="90"/>
      <c r="L24" s="90"/>
      <c r="M24" s="90"/>
    </row>
    <row r="25" spans="3:13" ht="14.5" x14ac:dyDescent="0.35">
      <c r="C25" t="s">
        <v>58</v>
      </c>
      <c r="D25" s="106">
        <f>'Balance Sheet Source'!D25</f>
        <v>345</v>
      </c>
      <c r="E25" s="106">
        <f>'Balance Sheet Source'!E25</f>
        <v>473</v>
      </c>
      <c r="F25" s="106">
        <f>'Balance Sheet Source'!F25</f>
        <v>383</v>
      </c>
      <c r="G25" s="106">
        <f>'Balance Sheet Source'!G25</f>
        <v>379</v>
      </c>
      <c r="H25" s="106">
        <f>'Balance Sheet Source'!H25</f>
        <v>355</v>
      </c>
      <c r="I25" s="90">
        <f>$H$25</f>
        <v>355</v>
      </c>
      <c r="J25" s="90">
        <f>$H$25</f>
        <v>355</v>
      </c>
      <c r="K25" s="90">
        <f>$H$25</f>
        <v>355</v>
      </c>
      <c r="L25" s="90">
        <f>$H$25</f>
        <v>355</v>
      </c>
      <c r="M25" s="90">
        <f>$H$25</f>
        <v>355</v>
      </c>
    </row>
    <row r="26" spans="3:13" s="135" customFormat="1" x14ac:dyDescent="0.3">
      <c r="C26" s="94" t="s">
        <v>52</v>
      </c>
      <c r="D26" s="144"/>
      <c r="E26" s="144"/>
      <c r="F26" s="144"/>
      <c r="G26" s="144"/>
      <c r="H26" s="144"/>
      <c r="I26" s="137"/>
      <c r="J26" s="137"/>
      <c r="K26" s="137"/>
      <c r="L26" s="137"/>
      <c r="M26" s="137"/>
    </row>
    <row r="27" spans="3:13" ht="8.15" customHeight="1" x14ac:dyDescent="0.35">
      <c r="C27"/>
      <c r="D27" s="106"/>
      <c r="E27" s="106"/>
      <c r="F27" s="106"/>
      <c r="G27" s="106"/>
      <c r="H27" s="106"/>
      <c r="I27" s="90"/>
      <c r="J27" s="90"/>
      <c r="K27" s="90"/>
      <c r="L27" s="90"/>
      <c r="M27" s="90"/>
    </row>
    <row r="28" spans="3:13" ht="14.5" x14ac:dyDescent="0.35">
      <c r="C28" t="s">
        <v>59</v>
      </c>
      <c r="D28" s="106">
        <f>'Balance Sheet Source'!D26</f>
        <v>43</v>
      </c>
      <c r="E28" s="106">
        <f>'Balance Sheet Source'!E26</f>
        <v>42</v>
      </c>
      <c r="F28" s="106">
        <f>'Balance Sheet Source'!F26</f>
        <v>41</v>
      </c>
      <c r="G28" s="106">
        <f>'Balance Sheet Source'!G26</f>
        <v>51</v>
      </c>
      <c r="H28" s="106">
        <f>'Balance Sheet Source'!H26</f>
        <v>75</v>
      </c>
      <c r="I28" s="107">
        <f>I29*'IS Assumptions'!I$8</f>
        <v>84.600000000000023</v>
      </c>
      <c r="J28" s="107">
        <f>J29*'IS Assumptions'!J$8</f>
        <v>93.906000000000034</v>
      </c>
      <c r="K28" s="107">
        <f>K29*'IS Assumptions'!K$8</f>
        <v>103.29660000000004</v>
      </c>
      <c r="L28" s="107">
        <f>L29*'IS Assumptions'!L$8</f>
        <v>112.07681100000003</v>
      </c>
      <c r="M28" s="107">
        <f>M29*'IS Assumptions'!M$8</f>
        <v>120.48257182500004</v>
      </c>
    </row>
    <row r="29" spans="3:13" s="134" customFormat="1" x14ac:dyDescent="0.3">
      <c r="C29" s="110" t="s">
        <v>45</v>
      </c>
      <c r="D29" s="143">
        <f>D28/'IS Assumptions'!D$8</f>
        <v>4.5206055508830948E-3</v>
      </c>
      <c r="E29" s="143">
        <f>E28/'IS Assumptions'!E$8</f>
        <v>4.3015157722244984E-3</v>
      </c>
      <c r="F29" s="143">
        <f>F28/'IS Assumptions'!F$8</f>
        <v>4.2473842328809696E-3</v>
      </c>
      <c r="G29" s="143">
        <f>G28/'IS Assumptions'!G$8</f>
        <v>4.7087064906287512E-3</v>
      </c>
      <c r="H29" s="143">
        <f>H28/'IS Assumptions'!H$8</f>
        <v>5.5102490632576596E-3</v>
      </c>
      <c r="I29" s="136">
        <f>H29</f>
        <v>5.5102490632576596E-3</v>
      </c>
      <c r="J29" s="136">
        <f>I29</f>
        <v>5.5102490632576596E-3</v>
      </c>
      <c r="K29" s="136">
        <f>J29</f>
        <v>5.5102490632576596E-3</v>
      </c>
      <c r="L29" s="136">
        <f>K29</f>
        <v>5.5102490632576596E-3</v>
      </c>
      <c r="M29" s="136">
        <f>L29</f>
        <v>5.5102490632576596E-3</v>
      </c>
    </row>
    <row r="30" spans="3:13" ht="8.15" customHeight="1" x14ac:dyDescent="0.35">
      <c r="C30"/>
      <c r="D30" s="106"/>
      <c r="E30" s="106"/>
      <c r="F30" s="106"/>
      <c r="G30" s="106"/>
      <c r="H30" s="106"/>
      <c r="I30" s="90"/>
      <c r="J30" s="90"/>
      <c r="K30" s="90"/>
      <c r="L30" s="90"/>
      <c r="M30" s="90"/>
    </row>
    <row r="31" spans="3:13" ht="14.5" x14ac:dyDescent="0.35">
      <c r="C31" t="s">
        <v>60</v>
      </c>
      <c r="D31" s="106">
        <f>'Balance Sheet Source'!D28</f>
        <v>45</v>
      </c>
      <c r="E31" s="106">
        <f>'Balance Sheet Source'!E28</f>
        <v>40</v>
      </c>
      <c r="F31" s="106">
        <f>'Balance Sheet Source'!F28</f>
        <v>59</v>
      </c>
      <c r="G31" s="106">
        <f>'Balance Sheet Source'!G28</f>
        <v>231</v>
      </c>
      <c r="H31" s="106">
        <f>'Balance Sheet Source'!H28</f>
        <v>1585</v>
      </c>
      <c r="I31" s="90">
        <f>$H$31</f>
        <v>1585</v>
      </c>
      <c r="J31" s="90">
        <f>$H$31</f>
        <v>1585</v>
      </c>
      <c r="K31" s="90">
        <f>$H$31</f>
        <v>1585</v>
      </c>
      <c r="L31" s="90">
        <f>$H$31</f>
        <v>1585</v>
      </c>
      <c r="M31" s="90">
        <f>$H$31</f>
        <v>1585</v>
      </c>
    </row>
    <row r="32" spans="3:13" s="135" customFormat="1" x14ac:dyDescent="0.3">
      <c r="C32" s="94" t="s">
        <v>52</v>
      </c>
      <c r="D32" s="144"/>
      <c r="E32" s="144"/>
      <c r="F32" s="144"/>
      <c r="G32" s="144"/>
      <c r="H32" s="144"/>
      <c r="I32" s="137"/>
      <c r="J32" s="137"/>
      <c r="K32" s="137"/>
      <c r="L32" s="137"/>
      <c r="M32" s="137"/>
    </row>
    <row r="33" spans="3:13" ht="8.15" customHeight="1" x14ac:dyDescent="0.35">
      <c r="C33"/>
      <c r="D33" s="106"/>
      <c r="E33" s="106"/>
      <c r="F33" s="106"/>
      <c r="G33" s="106"/>
      <c r="H33" s="106"/>
      <c r="I33" s="90"/>
      <c r="J33" s="90"/>
      <c r="K33" s="90"/>
      <c r="L33" s="90"/>
      <c r="M33" s="90"/>
    </row>
    <row r="34" spans="3:13" ht="14.5" x14ac:dyDescent="0.35">
      <c r="C34" t="s">
        <v>61</v>
      </c>
      <c r="D34" s="106">
        <f>'BS Sch III'!D57</f>
        <v>224</v>
      </c>
      <c r="E34" s="106">
        <f>'BS Sch III'!E57</f>
        <v>217</v>
      </c>
      <c r="F34" s="106">
        <f>'BS Sch III'!F57</f>
        <v>211</v>
      </c>
      <c r="G34" s="106">
        <f>'BS Sch III'!G57</f>
        <v>232</v>
      </c>
      <c r="H34" s="106">
        <f>'BS Sch III'!H57</f>
        <v>221</v>
      </c>
      <c r="I34" s="107">
        <f>I35*'IS Assumptions'!I$8</f>
        <v>249.28800000000004</v>
      </c>
      <c r="J34" s="107">
        <f>J35*'IS Assumptions'!J$8</f>
        <v>276.70968000000005</v>
      </c>
      <c r="K34" s="107">
        <f>K35*'IS Assumptions'!K$8</f>
        <v>304.38064800000012</v>
      </c>
      <c r="L34" s="107">
        <f>L35*'IS Assumptions'!L$8</f>
        <v>330.2530030800001</v>
      </c>
      <c r="M34" s="107">
        <f>M35*'IS Assumptions'!M$8</f>
        <v>355.02197831100005</v>
      </c>
    </row>
    <row r="35" spans="3:13" s="134" customFormat="1" x14ac:dyDescent="0.3">
      <c r="C35" s="110" t="s">
        <v>45</v>
      </c>
      <c r="D35" s="143">
        <f>D34/'IS Assumptions'!D$8</f>
        <v>2.3549201009251473E-2</v>
      </c>
      <c r="E35" s="143">
        <f>E34/'IS Assumptions'!E$8</f>
        <v>2.2224498156493241E-2</v>
      </c>
      <c r="F35" s="143">
        <f>F34/'IS Assumptions'!F$8</f>
        <v>2.1858489588728894E-2</v>
      </c>
      <c r="G35" s="143">
        <f>G34/'IS Assumptions'!G$8</f>
        <v>2.1419998153448434E-2</v>
      </c>
      <c r="H35" s="143">
        <f>H34/'IS Assumptions'!H$8</f>
        <v>1.6236867239732569E-2</v>
      </c>
      <c r="I35" s="136">
        <f>H35</f>
        <v>1.6236867239732569E-2</v>
      </c>
      <c r="J35" s="136">
        <f>I35</f>
        <v>1.6236867239732569E-2</v>
      </c>
      <c r="K35" s="136">
        <f>J35</f>
        <v>1.6236867239732569E-2</v>
      </c>
      <c r="L35" s="136">
        <f>K35</f>
        <v>1.6236867239732569E-2</v>
      </c>
      <c r="M35" s="136">
        <f>L35</f>
        <v>1.6236867239732569E-2</v>
      </c>
    </row>
    <row r="36" spans="3:13" ht="8.15" customHeight="1" x14ac:dyDescent="0.35">
      <c r="C36"/>
      <c r="D36" s="106"/>
      <c r="E36" s="106"/>
      <c r="F36" s="106"/>
      <c r="G36" s="106"/>
      <c r="H36" s="106"/>
      <c r="I36" s="90"/>
      <c r="J36" s="90"/>
      <c r="K36" s="90"/>
      <c r="L36" s="90"/>
      <c r="M36" s="90"/>
    </row>
    <row r="37" spans="3:13" ht="14.5" x14ac:dyDescent="0.35">
      <c r="C37" t="s">
        <v>62</v>
      </c>
      <c r="D37" s="106">
        <f>'BS Sch III'!D59</f>
        <v>64</v>
      </c>
      <c r="E37" s="106">
        <f>'BS Sch III'!E59</f>
        <v>74</v>
      </c>
      <c r="F37" s="106">
        <f>'BS Sch III'!F59</f>
        <v>79</v>
      </c>
      <c r="G37" s="106">
        <f>'BS Sch III'!G59</f>
        <v>92</v>
      </c>
      <c r="H37" s="106">
        <f>'BS Sch III'!H59</f>
        <v>146</v>
      </c>
      <c r="I37" s="107">
        <f>I38*'IS Assumptions'!I$8</f>
        <v>164.68800000000002</v>
      </c>
      <c r="J37" s="107">
        <f>J38*'IS Assumptions'!J$8</f>
        <v>182.80368000000004</v>
      </c>
      <c r="K37" s="107">
        <f>K38*'IS Assumptions'!K$8</f>
        <v>201.08404800000008</v>
      </c>
      <c r="L37" s="107">
        <f>L38*'IS Assumptions'!L$8</f>
        <v>218.17619208000005</v>
      </c>
      <c r="M37" s="107">
        <f>M38*'IS Assumptions'!M$8</f>
        <v>234.53940648600005</v>
      </c>
    </row>
    <row r="38" spans="3:13" s="134" customFormat="1" x14ac:dyDescent="0.3">
      <c r="C38" s="110" t="s">
        <v>45</v>
      </c>
      <c r="D38" s="143">
        <f>D37/'IS Assumptions'!D$8</f>
        <v>6.7283431455004202E-3</v>
      </c>
      <c r="E38" s="143">
        <f>E37/'IS Assumptions'!E$8</f>
        <v>7.5788611224907824E-3</v>
      </c>
      <c r="F38" s="143">
        <f>F37/'IS Assumptions'!F$8</f>
        <v>8.1839842535999172E-3</v>
      </c>
      <c r="G38" s="143">
        <f>G37/'IS Assumptions'!G$8</f>
        <v>8.4941371987812767E-3</v>
      </c>
      <c r="H38" s="143">
        <f>H37/'IS Assumptions'!H$8</f>
        <v>1.072661817647491E-2</v>
      </c>
      <c r="I38" s="136">
        <f>H38</f>
        <v>1.072661817647491E-2</v>
      </c>
      <c r="J38" s="136">
        <f>I38</f>
        <v>1.072661817647491E-2</v>
      </c>
      <c r="K38" s="136">
        <f>J38</f>
        <v>1.072661817647491E-2</v>
      </c>
      <c r="L38" s="136">
        <f>K38</f>
        <v>1.072661817647491E-2</v>
      </c>
      <c r="M38" s="136">
        <f>L38</f>
        <v>1.072661817647491E-2</v>
      </c>
    </row>
    <row r="39" spans="3:13" ht="8.15" customHeight="1" x14ac:dyDescent="0.35">
      <c r="C39"/>
      <c r="D39" s="106"/>
      <c r="E39" s="106"/>
      <c r="F39" s="106"/>
      <c r="G39" s="106"/>
      <c r="H39" s="106"/>
      <c r="I39" s="90"/>
      <c r="J39" s="90"/>
      <c r="K39" s="90"/>
      <c r="L39" s="90"/>
      <c r="M39" s="90"/>
    </row>
    <row r="40" spans="3:13" ht="14.5" x14ac:dyDescent="0.35">
      <c r="C40" t="s">
        <v>63</v>
      </c>
      <c r="D40" s="106">
        <f>SUM('BS Sch III'!D60,'BS Sch III'!D58)</f>
        <v>88</v>
      </c>
      <c r="E40" s="106">
        <f>SUM('BS Sch III'!E60,'BS Sch III'!E58)</f>
        <v>131</v>
      </c>
      <c r="F40" s="106">
        <f>SUM('BS Sch III'!F60,'BS Sch III'!F58)</f>
        <v>90</v>
      </c>
      <c r="G40" s="106">
        <f>SUM('BS Sch III'!G60,'BS Sch III'!G58)</f>
        <v>113</v>
      </c>
      <c r="H40" s="106">
        <f>SUM('BS Sch III'!H60,'BS Sch III'!H58)</f>
        <v>85</v>
      </c>
      <c r="I40" s="90">
        <f>$H$40</f>
        <v>85</v>
      </c>
      <c r="J40" s="90">
        <f>$H$40</f>
        <v>85</v>
      </c>
      <c r="K40" s="90">
        <f>$H$40</f>
        <v>85</v>
      </c>
      <c r="L40" s="90">
        <f>$H$40</f>
        <v>85</v>
      </c>
      <c r="M40" s="90">
        <f>$H$40</f>
        <v>85</v>
      </c>
    </row>
    <row r="41" spans="3:13" s="135" customFormat="1" x14ac:dyDescent="0.3">
      <c r="C41" s="94" t="s">
        <v>52</v>
      </c>
      <c r="D41" s="144"/>
      <c r="E41" s="144"/>
      <c r="F41" s="144"/>
      <c r="G41" s="144"/>
      <c r="H41" s="144"/>
      <c r="I41" s="137"/>
      <c r="J41" s="137"/>
      <c r="K41" s="137"/>
      <c r="L41" s="137"/>
      <c r="M41" s="137"/>
    </row>
    <row r="42" spans="3:13" ht="8.15" customHeight="1" x14ac:dyDescent="0.35">
      <c r="C42"/>
      <c r="D42" s="106"/>
      <c r="E42" s="106"/>
      <c r="F42" s="106"/>
      <c r="G42" s="106"/>
      <c r="H42" s="106"/>
      <c r="I42" s="90"/>
      <c r="J42" s="90"/>
      <c r="K42" s="90"/>
      <c r="L42" s="90"/>
      <c r="M42" s="90"/>
    </row>
    <row r="43" spans="3:13" ht="14.5" x14ac:dyDescent="0.35">
      <c r="C43" t="s">
        <v>61</v>
      </c>
      <c r="D43" s="106">
        <f>'Balance Sheet Source'!D30</f>
        <v>67</v>
      </c>
      <c r="E43" s="106">
        <f>'Balance Sheet Source'!E30</f>
        <v>87</v>
      </c>
      <c r="F43" s="106">
        <f>'Balance Sheet Source'!F30</f>
        <v>83</v>
      </c>
      <c r="G43" s="106">
        <f>'Balance Sheet Source'!G30</f>
        <v>92</v>
      </c>
      <c r="H43" s="106">
        <f>'Balance Sheet Source'!H30</f>
        <v>76</v>
      </c>
      <c r="I43" s="90">
        <f>$H$43</f>
        <v>76</v>
      </c>
      <c r="J43" s="90">
        <f t="shared" ref="J43:M43" si="0">$H$43</f>
        <v>76</v>
      </c>
      <c r="K43" s="90">
        <f t="shared" si="0"/>
        <v>76</v>
      </c>
      <c r="L43" s="90">
        <f t="shared" si="0"/>
        <v>76</v>
      </c>
      <c r="M43" s="90">
        <f t="shared" si="0"/>
        <v>76</v>
      </c>
    </row>
    <row r="44" spans="3:13" s="135" customFormat="1" x14ac:dyDescent="0.3">
      <c r="C44" s="94" t="s">
        <v>52</v>
      </c>
      <c r="D44" s="144"/>
      <c r="E44" s="144"/>
      <c r="F44" s="144"/>
      <c r="G44" s="144"/>
      <c r="H44" s="144"/>
      <c r="I44" s="137"/>
      <c r="J44" s="137"/>
      <c r="K44" s="137"/>
      <c r="L44" s="137"/>
      <c r="M44" s="137"/>
    </row>
    <row r="45" spans="3:13" ht="8.15" customHeight="1" x14ac:dyDescent="0.35">
      <c r="C45"/>
      <c r="D45" s="106"/>
      <c r="E45" s="106"/>
      <c r="F45" s="106"/>
      <c r="G45" s="106"/>
      <c r="H45" s="106"/>
      <c r="I45" s="90"/>
      <c r="J45" s="90"/>
      <c r="K45" s="90"/>
      <c r="L45" s="90"/>
      <c r="M45" s="90"/>
    </row>
    <row r="46" spans="3:13" ht="14.5" x14ac:dyDescent="0.35">
      <c r="C46" t="s">
        <v>64</v>
      </c>
      <c r="D46" s="106">
        <f>'Balance Sheet Source'!D34</f>
        <v>0</v>
      </c>
      <c r="E46" s="106">
        <f>'Balance Sheet Source'!E34</f>
        <v>2</v>
      </c>
      <c r="F46" s="106" t="str">
        <f>'Balance Sheet Source'!F34</f>
        <v>-</v>
      </c>
      <c r="G46" s="106" t="str">
        <f>'Balance Sheet Source'!G34</f>
        <v>-</v>
      </c>
      <c r="H46" s="106" t="str">
        <f>'Balance Sheet Source'!H34</f>
        <v>-</v>
      </c>
      <c r="I46" s="90" t="str">
        <f>$H$46</f>
        <v>-</v>
      </c>
      <c r="J46" s="90" t="str">
        <f>$H$46</f>
        <v>-</v>
      </c>
      <c r="K46" s="90" t="str">
        <f>$H$46</f>
        <v>-</v>
      </c>
      <c r="L46" s="90" t="str">
        <f>$H$46</f>
        <v>-</v>
      </c>
      <c r="M46" s="90" t="str">
        <f>$H$46</f>
        <v>-</v>
      </c>
    </row>
    <row r="47" spans="3:13" ht="8.15" customHeight="1" x14ac:dyDescent="0.35">
      <c r="C47"/>
      <c r="D47" s="106"/>
      <c r="E47" s="106"/>
      <c r="F47" s="106"/>
      <c r="G47" s="106"/>
      <c r="H47" s="106"/>
      <c r="I47" s="90"/>
      <c r="J47" s="90"/>
      <c r="K47" s="90"/>
      <c r="L47" s="90"/>
      <c r="M47" s="90"/>
    </row>
    <row r="48" spans="3:13" ht="14.5" x14ac:dyDescent="0.35">
      <c r="C48" t="s">
        <v>65</v>
      </c>
      <c r="D48" s="106">
        <f>'Balance Sheet Source'!D35</f>
        <v>91</v>
      </c>
      <c r="E48" s="106">
        <f>'Balance Sheet Source'!E35</f>
        <v>91</v>
      </c>
      <c r="F48" s="106">
        <f>'Balance Sheet Source'!F35</f>
        <v>104</v>
      </c>
      <c r="G48" s="106">
        <f>'Balance Sheet Source'!G35</f>
        <v>124</v>
      </c>
      <c r="H48" s="106">
        <f>'Balance Sheet Source'!H35</f>
        <v>127</v>
      </c>
      <c r="I48" s="107">
        <f>I49*'IS Assumptions'!I$8</f>
        <v>143.25600000000003</v>
      </c>
      <c r="J48" s="107">
        <f>J49*'IS Assumptions'!J$8</f>
        <v>159.01416000000003</v>
      </c>
      <c r="K48" s="107">
        <f>K49*'IS Assumptions'!K$8</f>
        <v>174.91557600000007</v>
      </c>
      <c r="L48" s="107">
        <f>L49*'IS Assumptions'!L$8</f>
        <v>189.78339996000005</v>
      </c>
      <c r="M48" s="107">
        <f>M49*'IS Assumptions'!M$8</f>
        <v>204.01715495700003</v>
      </c>
    </row>
    <row r="49" spans="3:13" s="134" customFormat="1" x14ac:dyDescent="0.3">
      <c r="C49" s="110" t="s">
        <v>45</v>
      </c>
      <c r="D49" s="143">
        <f>D48/'IS Assumptions'!D$8</f>
        <v>9.5668629100084113E-3</v>
      </c>
      <c r="E49" s="143">
        <f>E48/'IS Assumptions'!E$8</f>
        <v>9.3199508398197455E-3</v>
      </c>
      <c r="F49" s="143">
        <f>F48/'IS Assumptions'!F$8</f>
        <v>1.0773852688283436E-2</v>
      </c>
      <c r="G49" s="143">
        <f>G48/'IS Assumptions'!G$8</f>
        <v>1.1448619702705198E-2</v>
      </c>
      <c r="H49" s="143">
        <f>H48/'IS Assumptions'!H$8</f>
        <v>9.3306884137829699E-3</v>
      </c>
      <c r="I49" s="136">
        <f>H49</f>
        <v>9.3306884137829699E-3</v>
      </c>
      <c r="J49" s="136">
        <f>I49</f>
        <v>9.3306884137829699E-3</v>
      </c>
      <c r="K49" s="136">
        <f>J49</f>
        <v>9.3306884137829699E-3</v>
      </c>
      <c r="L49" s="136">
        <f>K49</f>
        <v>9.3306884137829699E-3</v>
      </c>
      <c r="M49" s="136">
        <f>L49</f>
        <v>9.3306884137829699E-3</v>
      </c>
    </row>
    <row r="50" spans="3:13" ht="8.15" customHeight="1" x14ac:dyDescent="0.35">
      <c r="C50"/>
      <c r="D50" s="106"/>
      <c r="E50" s="106"/>
      <c r="F50" s="106"/>
      <c r="G50" s="106"/>
      <c r="H50" s="106"/>
      <c r="I50" s="90"/>
      <c r="J50" s="90"/>
      <c r="K50" s="90"/>
      <c r="L50" s="90"/>
      <c r="M50" s="90"/>
    </row>
    <row r="51" spans="3:13" ht="14.5" x14ac:dyDescent="0.35">
      <c r="C51" t="s">
        <v>66</v>
      </c>
      <c r="D51" s="106">
        <f>'Balance Sheet Source'!D36</f>
        <v>137</v>
      </c>
      <c r="E51" s="106">
        <f>'Balance Sheet Source'!E36</f>
        <v>468</v>
      </c>
      <c r="F51" s="106">
        <f>'Balance Sheet Source'!F36</f>
        <v>704</v>
      </c>
      <c r="G51" s="106">
        <f>'Balance Sheet Source'!G36</f>
        <v>1487</v>
      </c>
      <c r="H51" s="106">
        <f>'Balance Sheet Source'!H36</f>
        <v>1353</v>
      </c>
      <c r="I51" s="90">
        <f>$H$51</f>
        <v>1353</v>
      </c>
      <c r="J51" s="90">
        <f>$H$51</f>
        <v>1353</v>
      </c>
      <c r="K51" s="90">
        <f>$H$51</f>
        <v>1353</v>
      </c>
      <c r="L51" s="90">
        <f>$H$51</f>
        <v>1353</v>
      </c>
      <c r="M51" s="90">
        <f>$H$51</f>
        <v>1353</v>
      </c>
    </row>
    <row r="52" spans="3:13" s="135" customFormat="1" x14ac:dyDescent="0.3">
      <c r="C52" s="94" t="s">
        <v>52</v>
      </c>
      <c r="D52" s="145"/>
      <c r="E52" s="145"/>
      <c r="F52" s="145"/>
      <c r="G52" s="145"/>
      <c r="H52" s="145"/>
      <c r="I52" s="138"/>
      <c r="J52" s="138"/>
      <c r="K52" s="138"/>
      <c r="L52" s="138"/>
      <c r="M52" s="138"/>
    </row>
    <row r="53" spans="3:13" ht="14.5" x14ac:dyDescent="0.35">
      <c r="C53"/>
      <c r="D53"/>
      <c r="E53"/>
      <c r="F53"/>
      <c r="G53"/>
      <c r="H53"/>
      <c r="I53"/>
      <c r="J53"/>
      <c r="K53"/>
      <c r="L53"/>
      <c r="M53"/>
    </row>
    <row r="54" spans="3:13" ht="14.5" x14ac:dyDescent="0.35">
      <c r="C54"/>
      <c r="D54"/>
      <c r="E54"/>
      <c r="F54"/>
      <c r="G54"/>
      <c r="H54"/>
      <c r="I54"/>
      <c r="J54"/>
      <c r="K54"/>
      <c r="L54"/>
      <c r="M54"/>
    </row>
    <row r="55" spans="3:13" ht="14.5" x14ac:dyDescent="0.35">
      <c r="C55"/>
      <c r="D55"/>
      <c r="E55"/>
      <c r="F55"/>
      <c r="G55"/>
      <c r="H55"/>
      <c r="I55"/>
      <c r="J55"/>
      <c r="K55"/>
      <c r="L55"/>
      <c r="M55"/>
    </row>
    <row r="56" spans="3:13" ht="14.5" x14ac:dyDescent="0.35">
      <c r="C56"/>
      <c r="D56"/>
      <c r="E56"/>
      <c r="F56"/>
      <c r="G56"/>
      <c r="H56"/>
      <c r="I56"/>
      <c r="J56"/>
      <c r="K56"/>
      <c r="L56"/>
      <c r="M56"/>
    </row>
    <row r="57" spans="3:13" ht="14.5" x14ac:dyDescent="0.35">
      <c r="C57"/>
      <c r="D57"/>
      <c r="E57"/>
      <c r="F57"/>
      <c r="G57"/>
      <c r="H57"/>
      <c r="I57"/>
      <c r="J57"/>
      <c r="K57"/>
      <c r="L57"/>
      <c r="M57"/>
    </row>
    <row r="58" spans="3:13" ht="14.5" x14ac:dyDescent="0.35">
      <c r="C58"/>
      <c r="D58"/>
      <c r="E58"/>
      <c r="F58"/>
      <c r="G58"/>
      <c r="H58"/>
      <c r="I58"/>
      <c r="J58"/>
      <c r="K58"/>
      <c r="L58"/>
      <c r="M58"/>
    </row>
    <row r="63" spans="3:13" x14ac:dyDescent="0.3">
      <c r="I63" s="135"/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98E47-2739-4C66-8D94-CF9492E061C3}">
  <sheetPr codeName="Sheet6"/>
  <dimension ref="A1:R14"/>
  <sheetViews>
    <sheetView showGridLines="0" zoomScale="102" workbookViewId="0">
      <selection activeCell="E22" sqref="E22"/>
    </sheetView>
  </sheetViews>
  <sheetFormatPr defaultColWidth="9.1796875" defaultRowHeight="14.5" x14ac:dyDescent="0.35"/>
  <cols>
    <col min="1" max="2" width="2" style="16" customWidth="1"/>
    <col min="3" max="3" width="30.54296875" style="16" customWidth="1"/>
    <col min="4" max="13" width="11.54296875" style="16" customWidth="1"/>
    <col min="14" max="18" width="10.1796875" bestFit="1" customWidth="1"/>
    <col min="19" max="16384" width="9.1796875" style="16"/>
  </cols>
  <sheetData>
    <row r="1" spans="1:13" ht="15.5" x14ac:dyDescent="0.35">
      <c r="C1" s="55" t="s">
        <v>67</v>
      </c>
    </row>
    <row r="3" spans="1:13" ht="15" thickBot="1" x14ac:dyDescent="0.4">
      <c r="C3" s="139"/>
      <c r="D3" s="243" t="s">
        <v>68</v>
      </c>
      <c r="E3" s="243"/>
      <c r="F3" s="243"/>
      <c r="G3" s="243"/>
      <c r="H3" s="243"/>
      <c r="I3" s="243"/>
      <c r="J3" s="243"/>
      <c r="K3" s="243"/>
      <c r="L3" s="243"/>
      <c r="M3" s="243"/>
    </row>
    <row r="4" spans="1:13" ht="29.5" thickBot="1" x14ac:dyDescent="0.4">
      <c r="A4" s="1"/>
      <c r="C4" s="218" t="s">
        <v>49</v>
      </c>
      <c r="D4" s="219" t="s">
        <v>27</v>
      </c>
      <c r="E4" s="219" t="s">
        <v>28</v>
      </c>
      <c r="F4" s="219" t="s">
        <v>29</v>
      </c>
      <c r="G4" s="219" t="s">
        <v>30</v>
      </c>
      <c r="H4" s="219" t="s">
        <v>31</v>
      </c>
      <c r="I4" s="219" t="s">
        <v>32</v>
      </c>
      <c r="J4" s="219" t="s">
        <v>33</v>
      </c>
      <c r="K4" s="219" t="s">
        <v>34</v>
      </c>
      <c r="L4" s="219" t="s">
        <v>35</v>
      </c>
      <c r="M4" s="219" t="s">
        <v>36</v>
      </c>
    </row>
    <row r="5" spans="1:13" ht="16" customHeight="1" x14ac:dyDescent="0.35">
      <c r="C5" s="56" t="s">
        <v>69</v>
      </c>
      <c r="D5" s="13">
        <f>('Balance Sheet Source'!D7+'Balance Sheet Source'!C7)/2</f>
        <v>520</v>
      </c>
      <c r="E5" s="13">
        <f>('Balance Sheet Source'!E7+'Balance Sheet Source'!D7)/2</f>
        <v>833.5</v>
      </c>
      <c r="F5" s="13">
        <f>('Balance Sheet Source'!F7+'Balance Sheet Source'!E7)/2</f>
        <v>1042</v>
      </c>
      <c r="G5" s="13">
        <f>('Balance Sheet Source'!G7+'Balance Sheet Source'!F7)/2</f>
        <v>1170</v>
      </c>
      <c r="H5" s="13">
        <f>('Balance Sheet Source'!H7+'Balance Sheet Source'!G7)/2</f>
        <v>1287.5</v>
      </c>
      <c r="I5" s="64">
        <f>(I11/365)*'Income Statement'!I4</f>
        <v>1383.6126336812456</v>
      </c>
      <c r="J5" s="64">
        <f>(J11/365)*'Income Statement'!J4</f>
        <v>1535.8100233861828</v>
      </c>
      <c r="K5" s="64">
        <f>(K11/365)*'Income Statement'!K4</f>
        <v>1689.3910257248012</v>
      </c>
      <c r="L5" s="64">
        <f>(L11/365)*'Income Statement'!L4</f>
        <v>1832.9892629114092</v>
      </c>
      <c r="M5" s="64">
        <f>(M11/365)*'Income Statement'!M4</f>
        <v>1970.4634576297647</v>
      </c>
    </row>
    <row r="6" spans="1:13" ht="16" customHeight="1" x14ac:dyDescent="0.35">
      <c r="C6" s="56" t="s">
        <v>70</v>
      </c>
      <c r="D6" s="13">
        <f>('Balance Sheet Source'!D8+'Balance Sheet Source'!C8)/2</f>
        <v>1269</v>
      </c>
      <c r="E6" s="13">
        <f>('Balance Sheet Source'!E8+'Balance Sheet Source'!D8)/2</f>
        <v>1318.5</v>
      </c>
      <c r="F6" s="13">
        <f>('Balance Sheet Source'!F8+'Balance Sheet Source'!E8)/2</f>
        <v>1280.5</v>
      </c>
      <c r="G6" s="13">
        <f>('Balance Sheet Source'!G8+'Balance Sheet Source'!F8)/2</f>
        <v>1285.5</v>
      </c>
      <c r="H6" s="13">
        <f>('Balance Sheet Source'!H8+'Balance Sheet Source'!G8)/2</f>
        <v>1423</v>
      </c>
      <c r="I6" s="64">
        <f>-(I12/365)*'Income Statement'!I5</f>
        <v>1928.9318268768591</v>
      </c>
      <c r="J6" s="64">
        <f>-(J12/365)*'Income Statement'!J5</f>
        <v>2141.1143278333138</v>
      </c>
      <c r="K6" s="64">
        <f>-(K12/365)*'Income Statement'!K5</f>
        <v>2355.2257606166454</v>
      </c>
      <c r="L6" s="64">
        <f>-(L12/365)*'Income Statement'!L5</f>
        <v>2555.4199502690603</v>
      </c>
      <c r="M6" s="64">
        <f>-(M12/365)*'Income Statement'!M5</f>
        <v>2747.0764465392394</v>
      </c>
    </row>
    <row r="7" spans="1:13" ht="16" customHeight="1" x14ac:dyDescent="0.35">
      <c r="C7" s="56" t="s">
        <v>71</v>
      </c>
      <c r="D7" s="13">
        <f>('Balance Sheet Source'!D27+'Balance Sheet Source'!C27)/2</f>
        <v>1239</v>
      </c>
      <c r="E7" s="13">
        <f>('Balance Sheet Source'!E27+'Balance Sheet Source'!D27)/2</f>
        <v>1398</v>
      </c>
      <c r="F7" s="13">
        <f>('Balance Sheet Source'!F27+'Balance Sheet Source'!E27)/2</f>
        <v>1516.5</v>
      </c>
      <c r="G7" s="13">
        <f>('Balance Sheet Source'!G27+'Balance Sheet Source'!F27)/2</f>
        <v>1472</v>
      </c>
      <c r="H7" s="13">
        <f>('Balance Sheet Source'!H27+'Balance Sheet Source'!G27)/2</f>
        <v>1498.5</v>
      </c>
      <c r="I7" s="64">
        <f>-(I13/365)*'Income Statement'!I5</f>
        <v>2098.8816346039639</v>
      </c>
      <c r="J7" s="64">
        <f>-(J13/365)*'Income Statement'!J5</f>
        <v>2329.7586144104002</v>
      </c>
      <c r="K7" s="64">
        <f>-(K13/365)*'Income Statement'!K5</f>
        <v>2562.7344758514405</v>
      </c>
      <c r="L7" s="64">
        <f>-(L13/365)*'Income Statement'!L5</f>
        <v>2780.5669062988127</v>
      </c>
      <c r="M7" s="64">
        <f>-(M13/365)*'Income Statement'!M5</f>
        <v>2989.1094242712234</v>
      </c>
    </row>
    <row r="8" spans="1:13" ht="16" customHeight="1" thickBot="1" x14ac:dyDescent="0.4">
      <c r="C8" s="57" t="s">
        <v>72</v>
      </c>
      <c r="D8" s="58">
        <f t="shared" ref="D8:I8" si="0">D5+D6-D7</f>
        <v>550</v>
      </c>
      <c r="E8" s="58">
        <f t="shared" ref="E8:H8" si="1">E5+E6-E7</f>
        <v>754</v>
      </c>
      <c r="F8" s="58">
        <f t="shared" si="1"/>
        <v>806</v>
      </c>
      <c r="G8" s="58">
        <f t="shared" si="1"/>
        <v>983.5</v>
      </c>
      <c r="H8" s="58">
        <f t="shared" si="1"/>
        <v>1212</v>
      </c>
      <c r="I8" s="65">
        <f t="shared" si="0"/>
        <v>1213.6628259541408</v>
      </c>
      <c r="J8" s="65">
        <f t="shared" ref="J8:M8" si="2">J5+J6-J7</f>
        <v>1347.1657368090964</v>
      </c>
      <c r="K8" s="65">
        <f t="shared" si="2"/>
        <v>1481.8823104900061</v>
      </c>
      <c r="L8" s="65">
        <f t="shared" si="2"/>
        <v>1607.8423068816574</v>
      </c>
      <c r="M8" s="65">
        <f t="shared" si="2"/>
        <v>1728.430479897781</v>
      </c>
    </row>
    <row r="9" spans="1:13" ht="16" customHeight="1" x14ac:dyDescent="0.35"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</row>
    <row r="10" spans="1:13" ht="16" customHeight="1" x14ac:dyDescent="0.35">
      <c r="C10" s="59" t="s">
        <v>73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 ht="16" customHeight="1" x14ac:dyDescent="0.35">
      <c r="C11" s="60" t="s">
        <v>74</v>
      </c>
      <c r="D11" s="72">
        <f>(D5/'Income Statement Source'!D4)*365</f>
        <v>19.953742640874683</v>
      </c>
      <c r="E11" s="72">
        <f>(E5/'Income Statement Source'!E4)*365</f>
        <v>31.158080704629253</v>
      </c>
      <c r="F11" s="72">
        <f>(F5/'Income Statement Source'!F4)*365</f>
        <v>39.400186470527295</v>
      </c>
      <c r="G11" s="72">
        <f>(G5/'Income Statement Source'!G4)*365</f>
        <v>39.42849229064722</v>
      </c>
      <c r="H11" s="72">
        <f>(H5/'Income Statement Source'!H4)*365</f>
        <v>34.52630225552862</v>
      </c>
      <c r="I11" s="73">
        <f t="shared" ref="I11:M13" si="3">AVERAGE($D11:$H11)</f>
        <v>32.89336087244142</v>
      </c>
      <c r="J11" s="73">
        <f t="shared" si="3"/>
        <v>32.89336087244142</v>
      </c>
      <c r="K11" s="73">
        <f t="shared" si="3"/>
        <v>32.89336087244142</v>
      </c>
      <c r="L11" s="73">
        <f t="shared" si="3"/>
        <v>32.89336087244142</v>
      </c>
      <c r="M11" s="73">
        <f t="shared" si="3"/>
        <v>32.89336087244142</v>
      </c>
    </row>
    <row r="12" spans="1:13" ht="16" customHeight="1" x14ac:dyDescent="0.35">
      <c r="C12" s="60" t="s">
        <v>75</v>
      </c>
      <c r="D12" s="72">
        <f>-(D6/'Income Statement Source'!D5)*365</f>
        <v>85.206953642384107</v>
      </c>
      <c r="E12" s="72">
        <f>-(E6/'Income Statement Source'!E5)*365</f>
        <v>89.936927677069704</v>
      </c>
      <c r="F12" s="72">
        <f>-(F6/'Income Statement Source'!F5)*365</f>
        <v>98.437763268744746</v>
      </c>
      <c r="G12" s="72">
        <f>-(G6/'Income Statement Source'!G5)*365</f>
        <v>87.083797327394208</v>
      </c>
      <c r="H12" s="72">
        <f>-(H6/'Income Statement Source'!H5)*365</f>
        <v>68.712131234290254</v>
      </c>
      <c r="I12" s="73">
        <f t="shared" si="3"/>
        <v>85.875514629976607</v>
      </c>
      <c r="J12" s="73">
        <f t="shared" si="3"/>
        <v>85.875514629976607</v>
      </c>
      <c r="K12" s="73">
        <f t="shared" si="3"/>
        <v>85.875514629976607</v>
      </c>
      <c r="L12" s="73">
        <f t="shared" si="3"/>
        <v>85.875514629976607</v>
      </c>
      <c r="M12" s="73">
        <f t="shared" si="3"/>
        <v>85.875514629976607</v>
      </c>
    </row>
    <row r="13" spans="1:13" ht="16" customHeight="1" x14ac:dyDescent="0.35">
      <c r="C13" s="60" t="s">
        <v>76</v>
      </c>
      <c r="D13" s="72">
        <f>-(D7/'Income Statement Source'!D5)*365</f>
        <v>83.192604856512148</v>
      </c>
      <c r="E13" s="72">
        <f>-(E7/'Income Statement Source'!E5)*365</f>
        <v>95.359745841898715</v>
      </c>
      <c r="F13" s="72">
        <f>-(F7/'Income Statement Source'!F5)*365</f>
        <v>116.58013900589721</v>
      </c>
      <c r="G13" s="72">
        <f>-(G7/'Income Statement Source'!G5)*365</f>
        <v>99.71789161098738</v>
      </c>
      <c r="H13" s="72">
        <f>-(H7/'Income Statement Source'!H5)*365</f>
        <v>72.357785421352034</v>
      </c>
      <c r="I13" s="73">
        <f t="shared" si="3"/>
        <v>93.441633347329486</v>
      </c>
      <c r="J13" s="73">
        <f t="shared" si="3"/>
        <v>93.441633347329486</v>
      </c>
      <c r="K13" s="73">
        <f t="shared" si="3"/>
        <v>93.441633347329486</v>
      </c>
      <c r="L13" s="73">
        <f t="shared" si="3"/>
        <v>93.441633347329486</v>
      </c>
      <c r="M13" s="73">
        <f t="shared" si="3"/>
        <v>93.441633347329486</v>
      </c>
    </row>
    <row r="14" spans="1:13" ht="16" customHeight="1" thickBot="1" x14ac:dyDescent="0.4">
      <c r="C14" s="63" t="s">
        <v>77</v>
      </c>
      <c r="D14" s="74">
        <f t="shared" ref="D14:I14" si="4">D11+D12-D13</f>
        <v>21.968091426746639</v>
      </c>
      <c r="E14" s="74">
        <f t="shared" ref="E14:H14" si="5">E11+E12-E13</f>
        <v>25.735262539800246</v>
      </c>
      <c r="F14" s="74">
        <f t="shared" si="5"/>
        <v>21.257810733374825</v>
      </c>
      <c r="G14" s="74">
        <f t="shared" si="5"/>
        <v>26.794398007054042</v>
      </c>
      <c r="H14" s="74">
        <f t="shared" si="5"/>
        <v>30.88064806846684</v>
      </c>
      <c r="I14" s="74">
        <f t="shared" si="4"/>
        <v>25.327242155088541</v>
      </c>
      <c r="J14" s="74">
        <f t="shared" ref="J14:M14" si="6">J11+J12-J13</f>
        <v>25.327242155088541</v>
      </c>
      <c r="K14" s="74">
        <f t="shared" si="6"/>
        <v>25.327242155088541</v>
      </c>
      <c r="L14" s="74">
        <f t="shared" si="6"/>
        <v>25.327242155088541</v>
      </c>
      <c r="M14" s="74">
        <f t="shared" si="6"/>
        <v>25.327242155088541</v>
      </c>
    </row>
  </sheetData>
  <sheetProtection sheet="1" objects="1" scenarios="1"/>
  <mergeCells count="1">
    <mergeCell ref="D3:M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87F61-5FA1-4A2B-B436-119A8638973C}">
  <sheetPr codeName="Sheet7"/>
  <dimension ref="B1:Q38"/>
  <sheetViews>
    <sheetView showGridLines="0" zoomScale="86" workbookViewId="0">
      <selection activeCell="E3" sqref="E3"/>
    </sheetView>
  </sheetViews>
  <sheetFormatPr defaultRowHeight="14.5" x14ac:dyDescent="0.35"/>
  <cols>
    <col min="1" max="1" width="4" customWidth="1"/>
    <col min="2" max="2" width="35.1796875" bestFit="1" customWidth="1"/>
    <col min="3" max="8" width="10.54296875" customWidth="1"/>
    <col min="9" max="9" width="21.7265625" customWidth="1"/>
    <col min="10" max="13" width="10.54296875" customWidth="1"/>
  </cols>
  <sheetData>
    <row r="1" spans="2:13" ht="27" customHeight="1" x14ac:dyDescent="0.35">
      <c r="B1" s="127" t="s">
        <v>78</v>
      </c>
    </row>
    <row r="2" spans="2:13" ht="19" customHeight="1" x14ac:dyDescent="0.35">
      <c r="B2" s="250" t="s">
        <v>79</v>
      </c>
      <c r="C2" s="247">
        <v>2</v>
      </c>
    </row>
    <row r="3" spans="2:13" ht="6" customHeight="1" x14ac:dyDescent="0.35">
      <c r="B3" s="1"/>
      <c r="C3" s="251"/>
    </row>
    <row r="4" spans="2:13" ht="20" customHeight="1" x14ac:dyDescent="0.35">
      <c r="B4" s="250" t="s">
        <v>89</v>
      </c>
      <c r="C4" s="248">
        <v>9.5000000000000001E-2</v>
      </c>
    </row>
    <row r="5" spans="2:13" ht="14.15" customHeight="1" thickBot="1" x14ac:dyDescent="0.4"/>
    <row r="6" spans="2:13" s="1" customFormat="1" ht="29.5" thickBot="1" x14ac:dyDescent="0.4">
      <c r="B6" s="218" t="s">
        <v>49</v>
      </c>
      <c r="C6" s="219" t="s">
        <v>80</v>
      </c>
      <c r="D6" s="219" t="s">
        <v>27</v>
      </c>
      <c r="E6" s="219" t="s">
        <v>28</v>
      </c>
      <c r="F6" s="219" t="s">
        <v>29</v>
      </c>
      <c r="G6" s="219" t="s">
        <v>30</v>
      </c>
      <c r="H6" s="219" t="s">
        <v>31</v>
      </c>
      <c r="I6" s="219" t="s">
        <v>32</v>
      </c>
      <c r="J6" s="219" t="s">
        <v>33</v>
      </c>
      <c r="K6" s="219" t="s">
        <v>34</v>
      </c>
      <c r="L6" s="219" t="s">
        <v>35</v>
      </c>
      <c r="M6" s="219" t="s">
        <v>36</v>
      </c>
    </row>
    <row r="7" spans="2:13" x14ac:dyDescent="0.35">
      <c r="B7" s="84" t="s">
        <v>58</v>
      </c>
      <c r="C7" s="13">
        <f>'Balance Sheet Source'!C25</f>
        <v>340</v>
      </c>
      <c r="D7" s="13">
        <f>'Balance Sheet Source'!D25</f>
        <v>345</v>
      </c>
      <c r="E7" s="13">
        <f>'Balance Sheet Source'!E25</f>
        <v>473</v>
      </c>
      <c r="F7" s="13">
        <f>'Balance Sheet Source'!F25</f>
        <v>383</v>
      </c>
      <c r="G7" s="13">
        <f>'Balance Sheet Source'!G25</f>
        <v>379</v>
      </c>
      <c r="H7" s="13">
        <f>'Balance Sheet Source'!H25</f>
        <v>355</v>
      </c>
      <c r="I7" s="90">
        <f>$H$7</f>
        <v>355</v>
      </c>
      <c r="J7" s="90">
        <f>$H$7</f>
        <v>355</v>
      </c>
      <c r="K7" s="90">
        <f>$H$7</f>
        <v>355</v>
      </c>
      <c r="L7" s="90">
        <f>$H$7</f>
        <v>355</v>
      </c>
      <c r="M7" s="90">
        <f>$H$7</f>
        <v>355</v>
      </c>
    </row>
    <row r="8" spans="2:13" x14ac:dyDescent="0.35">
      <c r="B8" s="84" t="s">
        <v>64</v>
      </c>
      <c r="C8" s="13">
        <f>'Balance Sheet Source'!C34</f>
        <v>8</v>
      </c>
      <c r="D8" s="13">
        <f>'Balance Sheet Source'!D34</f>
        <v>0</v>
      </c>
      <c r="E8" s="13">
        <f>'Balance Sheet Source'!E34</f>
        <v>2</v>
      </c>
      <c r="F8" s="13" t="str">
        <f>'Balance Sheet Source'!F34</f>
        <v>-</v>
      </c>
      <c r="G8" s="13" t="str">
        <f>'Balance Sheet Source'!G34</f>
        <v>-</v>
      </c>
      <c r="H8" s="13" t="str">
        <f>'Balance Sheet Source'!H34</f>
        <v>-</v>
      </c>
      <c r="I8" s="90" t="str">
        <f>$H$8</f>
        <v>-</v>
      </c>
      <c r="J8" s="90" t="str">
        <f>$H$8</f>
        <v>-</v>
      </c>
      <c r="K8" s="90" t="str">
        <f>$H$8</f>
        <v>-</v>
      </c>
      <c r="L8" s="90" t="str">
        <f>$H$8</f>
        <v>-</v>
      </c>
      <c r="M8" s="90" t="str">
        <f>$H$8</f>
        <v>-</v>
      </c>
    </row>
    <row r="9" spans="2:13" x14ac:dyDescent="0.35">
      <c r="B9" s="85" t="s">
        <v>81</v>
      </c>
      <c r="C9" s="85">
        <f t="shared" ref="C9:M9" si="0">SUM(C7:C8)</f>
        <v>348</v>
      </c>
      <c r="D9" s="85">
        <f t="shared" si="0"/>
        <v>345</v>
      </c>
      <c r="E9" s="85">
        <f t="shared" si="0"/>
        <v>475</v>
      </c>
      <c r="F9" s="85">
        <f t="shared" si="0"/>
        <v>383</v>
      </c>
      <c r="G9" s="85">
        <f t="shared" si="0"/>
        <v>379</v>
      </c>
      <c r="H9" s="85">
        <f t="shared" si="0"/>
        <v>355</v>
      </c>
      <c r="I9" s="91">
        <f t="shared" si="0"/>
        <v>355</v>
      </c>
      <c r="J9" s="91">
        <f t="shared" si="0"/>
        <v>355</v>
      </c>
      <c r="K9" s="91">
        <f t="shared" si="0"/>
        <v>355</v>
      </c>
      <c r="L9" s="91">
        <f t="shared" si="0"/>
        <v>355</v>
      </c>
      <c r="M9" s="91">
        <f t="shared" si="0"/>
        <v>355</v>
      </c>
    </row>
    <row r="10" spans="2:13" ht="5.15" customHeight="1" x14ac:dyDescent="0.35">
      <c r="B10" s="84"/>
      <c r="C10" s="84"/>
      <c r="D10" s="84"/>
      <c r="E10" s="84"/>
      <c r="F10" s="84"/>
      <c r="G10" s="84"/>
      <c r="H10" s="84"/>
      <c r="I10" s="64"/>
      <c r="J10" s="64"/>
      <c r="K10" s="64"/>
      <c r="L10" s="64"/>
      <c r="M10" s="64"/>
    </row>
    <row r="11" spans="2:13" x14ac:dyDescent="0.35">
      <c r="B11" s="84" t="s">
        <v>82</v>
      </c>
      <c r="C11" s="13">
        <f>'Balance Sheet Source'!C26</f>
        <v>38</v>
      </c>
      <c r="D11" s="13">
        <f>'Balance Sheet Source'!D26</f>
        <v>43</v>
      </c>
      <c r="E11" s="13">
        <f>'Balance Sheet Source'!E26</f>
        <v>42</v>
      </c>
      <c r="F11" s="13">
        <f>'Balance Sheet Source'!F26</f>
        <v>41</v>
      </c>
      <c r="G11" s="13">
        <f>'Balance Sheet Source'!G26</f>
        <v>51</v>
      </c>
      <c r="H11" s="13">
        <f>'Balance Sheet Source'!H26</f>
        <v>75</v>
      </c>
      <c r="I11" s="107">
        <f>'BS Assumptions'!I28</f>
        <v>84.600000000000023</v>
      </c>
      <c r="J11" s="107">
        <f>'BS Assumptions'!J28</f>
        <v>93.906000000000034</v>
      </c>
      <c r="K11" s="107">
        <f>'BS Assumptions'!K28</f>
        <v>103.29660000000004</v>
      </c>
      <c r="L11" s="107">
        <f>'BS Assumptions'!L28</f>
        <v>112.07681100000003</v>
      </c>
      <c r="M11" s="107">
        <f>'BS Assumptions'!M28</f>
        <v>120.48257182500004</v>
      </c>
    </row>
    <row r="12" spans="2:13" x14ac:dyDescent="0.35">
      <c r="B12" s="84" t="s">
        <v>83</v>
      </c>
      <c r="C12" s="13">
        <f>'Balance Sheet Source'!C35</f>
        <v>122</v>
      </c>
      <c r="D12" s="13">
        <f>'Balance Sheet Source'!D35</f>
        <v>91</v>
      </c>
      <c r="E12" s="13">
        <f>'Balance Sheet Source'!E35</f>
        <v>91</v>
      </c>
      <c r="F12" s="13">
        <f>'Balance Sheet Source'!F35</f>
        <v>104</v>
      </c>
      <c r="G12" s="13">
        <f>'Balance Sheet Source'!G35</f>
        <v>124</v>
      </c>
      <c r="H12" s="13">
        <f>'Balance Sheet Source'!H35</f>
        <v>127</v>
      </c>
      <c r="I12" s="107">
        <f>'BS Assumptions'!I48</f>
        <v>143.25600000000003</v>
      </c>
      <c r="J12" s="107">
        <f>'BS Assumptions'!J48</f>
        <v>159.01416000000003</v>
      </c>
      <c r="K12" s="107">
        <f>'BS Assumptions'!K48</f>
        <v>174.91557600000007</v>
      </c>
      <c r="L12" s="107">
        <f>'BS Assumptions'!L48</f>
        <v>189.78339996000005</v>
      </c>
      <c r="M12" s="107">
        <f>'BS Assumptions'!M48</f>
        <v>204.01715495700003</v>
      </c>
    </row>
    <row r="13" spans="2:13" x14ac:dyDescent="0.35">
      <c r="B13" s="85" t="s">
        <v>84</v>
      </c>
      <c r="C13" s="85">
        <f t="shared" ref="C13:M13" si="1">SUM(C11:C12)</f>
        <v>160</v>
      </c>
      <c r="D13" s="85">
        <f t="shared" si="1"/>
        <v>134</v>
      </c>
      <c r="E13" s="85">
        <f t="shared" si="1"/>
        <v>133</v>
      </c>
      <c r="F13" s="85">
        <f t="shared" si="1"/>
        <v>145</v>
      </c>
      <c r="G13" s="85">
        <f t="shared" si="1"/>
        <v>175</v>
      </c>
      <c r="H13" s="85">
        <f t="shared" si="1"/>
        <v>202</v>
      </c>
      <c r="I13" s="91">
        <f t="shared" si="1"/>
        <v>227.85600000000005</v>
      </c>
      <c r="J13" s="91">
        <f t="shared" si="1"/>
        <v>252.92016000000007</v>
      </c>
      <c r="K13" s="91">
        <f t="shared" si="1"/>
        <v>278.21217600000011</v>
      </c>
      <c r="L13" s="91">
        <f t="shared" si="1"/>
        <v>301.86021096000007</v>
      </c>
      <c r="M13" s="91">
        <f t="shared" si="1"/>
        <v>324.49972678200004</v>
      </c>
    </row>
    <row r="14" spans="2:13" ht="5.15" customHeight="1" x14ac:dyDescent="0.35">
      <c r="B14" s="84"/>
      <c r="C14" s="84"/>
      <c r="D14" s="84"/>
      <c r="E14" s="84"/>
      <c r="F14" s="84"/>
      <c r="G14" s="84"/>
      <c r="H14" s="84"/>
      <c r="I14" s="64"/>
      <c r="J14" s="64"/>
      <c r="K14" s="64"/>
      <c r="L14" s="64"/>
      <c r="M14" s="64"/>
    </row>
    <row r="15" spans="2:13" x14ac:dyDescent="0.35">
      <c r="B15" s="83" t="s">
        <v>85</v>
      </c>
      <c r="C15" s="83">
        <f t="shared" ref="C15:M15" si="2">C9+C13</f>
        <v>508</v>
      </c>
      <c r="D15" s="83">
        <f t="shared" si="2"/>
        <v>479</v>
      </c>
      <c r="E15" s="83">
        <f t="shared" si="2"/>
        <v>608</v>
      </c>
      <c r="F15" s="83">
        <f t="shared" si="2"/>
        <v>528</v>
      </c>
      <c r="G15" s="83">
        <f t="shared" si="2"/>
        <v>554</v>
      </c>
      <c r="H15" s="83">
        <f t="shared" si="2"/>
        <v>557</v>
      </c>
      <c r="I15" s="88">
        <f t="shared" si="2"/>
        <v>582.85599999999999</v>
      </c>
      <c r="J15" s="88">
        <f t="shared" si="2"/>
        <v>607.92016000000012</v>
      </c>
      <c r="K15" s="88">
        <f t="shared" si="2"/>
        <v>633.21217600000011</v>
      </c>
      <c r="L15" s="88">
        <f t="shared" si="2"/>
        <v>656.86021096000013</v>
      </c>
      <c r="M15" s="88">
        <f t="shared" si="2"/>
        <v>679.49972678200004</v>
      </c>
    </row>
    <row r="16" spans="2:13" x14ac:dyDescent="0.35">
      <c r="B16" s="83" t="s">
        <v>86</v>
      </c>
      <c r="C16" s="83"/>
      <c r="D16" s="83">
        <f t="shared" ref="D16:M16" si="3">(D15+C15)/2</f>
        <v>493.5</v>
      </c>
      <c r="E16" s="83">
        <f t="shared" si="3"/>
        <v>543.5</v>
      </c>
      <c r="F16" s="83">
        <f t="shared" si="3"/>
        <v>568</v>
      </c>
      <c r="G16" s="83">
        <f t="shared" si="3"/>
        <v>541</v>
      </c>
      <c r="H16" s="83">
        <f t="shared" si="3"/>
        <v>555.5</v>
      </c>
      <c r="I16" s="90">
        <f t="shared" si="3"/>
        <v>569.928</v>
      </c>
      <c r="J16" s="90">
        <f t="shared" si="3"/>
        <v>595.38808000000006</v>
      </c>
      <c r="K16" s="90">
        <f t="shared" si="3"/>
        <v>620.56616800000006</v>
      </c>
      <c r="L16" s="90">
        <f t="shared" si="3"/>
        <v>645.03619348000007</v>
      </c>
      <c r="M16" s="90">
        <f t="shared" si="3"/>
        <v>668.17996887100003</v>
      </c>
    </row>
    <row r="17" spans="2:17" x14ac:dyDescent="0.35">
      <c r="B17" s="83" t="s">
        <v>87</v>
      </c>
      <c r="C17" s="13"/>
      <c r="D17" s="13">
        <f>'Income Statement Source'!D14</f>
        <v>-39</v>
      </c>
      <c r="E17" s="13">
        <f>'Income Statement Source'!E14</f>
        <v>-56</v>
      </c>
      <c r="F17" s="13">
        <f>'Income Statement Source'!F14</f>
        <v>-73</v>
      </c>
      <c r="G17" s="13">
        <f>'Income Statement Source'!G14</f>
        <v>-53</v>
      </c>
      <c r="H17" s="13">
        <f>'Income Statement Source'!H14</f>
        <v>-53</v>
      </c>
      <c r="I17" s="90">
        <f>I16*I18</f>
        <v>-54.143160000000002</v>
      </c>
      <c r="J17" s="90">
        <f>J16*J18</f>
        <v>-56.561867600000006</v>
      </c>
      <c r="K17" s="90">
        <f>K16*K18</f>
        <v>-58.953785960000005</v>
      </c>
      <c r="L17" s="90">
        <f>L16*L18</f>
        <v>-61.278438380600008</v>
      </c>
      <c r="M17" s="90">
        <f>M16*M18</f>
        <v>-63.477097042745001</v>
      </c>
    </row>
    <row r="18" spans="2:17" ht="15" thickBot="1" x14ac:dyDescent="0.4">
      <c r="B18" s="86" t="s">
        <v>88</v>
      </c>
      <c r="C18" s="86"/>
      <c r="D18" s="87">
        <f>D17/D16</f>
        <v>-7.9027355623100301E-2</v>
      </c>
      <c r="E18" s="87">
        <f>E17/E16</f>
        <v>-0.10303587856485741</v>
      </c>
      <c r="F18" s="87">
        <f>F17/F16</f>
        <v>-0.12852112676056338</v>
      </c>
      <c r="G18" s="87">
        <f>G17/G16</f>
        <v>-9.7966728280961188E-2</v>
      </c>
      <c r="H18" s="87">
        <f>H17/H16</f>
        <v>-9.5409540954095415E-2</v>
      </c>
      <c r="I18" s="89">
        <f>-I23</f>
        <v>-9.5000000000000001E-2</v>
      </c>
      <c r="J18" s="89">
        <f>-J23</f>
        <v>-9.5000000000000001E-2</v>
      </c>
      <c r="K18" s="89">
        <f>-K23</f>
        <v>-9.5000000000000001E-2</v>
      </c>
      <c r="L18" s="89">
        <f>-L23</f>
        <v>-9.5000000000000001E-2</v>
      </c>
      <c r="M18" s="89">
        <f>-M23</f>
        <v>-9.5000000000000001E-2</v>
      </c>
    </row>
    <row r="22" spans="2:17" s="22" customFormat="1" ht="15" customHeight="1" x14ac:dyDescent="0.35">
      <c r="B22" s="20" t="s">
        <v>25</v>
      </c>
      <c r="C22" s="21"/>
      <c r="D22" s="21"/>
      <c r="E22" s="21"/>
      <c r="F22" s="21"/>
      <c r="G22" s="21"/>
      <c r="H22" s="46"/>
      <c r="I22" s="46"/>
      <c r="J22" s="46"/>
      <c r="K22" s="46"/>
      <c r="L22" s="46"/>
      <c r="M22" s="47"/>
      <c r="N22" s="17"/>
      <c r="O22" s="17"/>
      <c r="P22" s="17"/>
      <c r="Q22" s="17"/>
    </row>
    <row r="23" spans="2:17" s="22" customFormat="1" ht="15" customHeight="1" x14ac:dyDescent="0.35">
      <c r="B23" s="21" t="s">
        <v>88</v>
      </c>
      <c r="C23" s="23"/>
      <c r="D23" s="23"/>
      <c r="E23" s="23"/>
      <c r="F23" s="23"/>
      <c r="G23" s="21"/>
      <c r="H23" s="46"/>
      <c r="I23" s="178">
        <f>CHOOSE($C$2,I26,I29,I32)</f>
        <v>9.5000000000000001E-2</v>
      </c>
      <c r="J23" s="178">
        <f>CHOOSE($C$2,J26,J29,J32)</f>
        <v>9.5000000000000001E-2</v>
      </c>
      <c r="K23" s="178">
        <f>CHOOSE($C$2,K26,K29,K32)</f>
        <v>9.5000000000000001E-2</v>
      </c>
      <c r="L23" s="178">
        <f>CHOOSE($C$2,L26,L29,L32)</f>
        <v>9.5000000000000001E-2</v>
      </c>
      <c r="M23" s="178">
        <f>CHOOSE($C$2,M26,M29,M32)</f>
        <v>9.5000000000000001E-2</v>
      </c>
      <c r="N23" s="17"/>
      <c r="O23" s="17"/>
      <c r="P23" s="17"/>
      <c r="Q23" s="17"/>
    </row>
    <row r="24" spans="2:17" s="22" customFormat="1" ht="5.15" customHeight="1" x14ac:dyDescent="0.35">
      <c r="B24" s="21"/>
      <c r="C24" s="23"/>
      <c r="D24" s="23"/>
      <c r="E24" s="23"/>
      <c r="F24" s="23"/>
      <c r="G24" s="21"/>
      <c r="H24" s="46"/>
      <c r="I24" s="46"/>
      <c r="J24" s="46"/>
      <c r="K24" s="46"/>
      <c r="L24" s="46"/>
      <c r="M24" s="47"/>
      <c r="N24" s="17"/>
      <c r="O24" s="17" t="s">
        <v>18</v>
      </c>
      <c r="P24" s="17"/>
      <c r="Q24" s="17"/>
    </row>
    <row r="25" spans="2:17" s="22" customFormat="1" ht="15" customHeight="1" x14ac:dyDescent="0.35">
      <c r="B25" s="20" t="s">
        <v>90</v>
      </c>
      <c r="C25" s="21"/>
      <c r="D25" s="21"/>
      <c r="E25" s="21"/>
      <c r="F25" s="21"/>
      <c r="G25" s="21"/>
      <c r="H25" s="46"/>
      <c r="I25" s="46"/>
      <c r="J25" s="46"/>
      <c r="K25" s="46"/>
      <c r="L25" s="46"/>
      <c r="M25" s="47"/>
      <c r="N25" s="17"/>
      <c r="O25" s="17"/>
      <c r="P25" s="17"/>
      <c r="Q25" s="17"/>
    </row>
    <row r="26" spans="2:17" s="22" customFormat="1" ht="15" customHeight="1" x14ac:dyDescent="0.35">
      <c r="B26" s="21" t="s">
        <v>88</v>
      </c>
      <c r="C26" s="23"/>
      <c r="D26" s="24"/>
      <c r="E26" s="24"/>
      <c r="F26" s="24"/>
      <c r="G26" s="21"/>
      <c r="H26" s="46"/>
      <c r="I26" s="46">
        <f>$C$4-0.005</f>
        <v>0.09</v>
      </c>
      <c r="J26" s="46">
        <f>$C$4-0.005</f>
        <v>0.09</v>
      </c>
      <c r="K26" s="46">
        <f>$C$4-0.005</f>
        <v>0.09</v>
      </c>
      <c r="L26" s="46">
        <f>$C$4-0.005</f>
        <v>0.09</v>
      </c>
      <c r="M26" s="46">
        <f>$C$4-0.005</f>
        <v>0.09</v>
      </c>
      <c r="N26" s="17"/>
      <c r="O26" s="17"/>
      <c r="P26" s="17"/>
      <c r="Q26" s="17"/>
    </row>
    <row r="27" spans="2:17" s="22" customFormat="1" ht="5.15" customHeight="1" x14ac:dyDescent="0.35">
      <c r="B27" s="21"/>
      <c r="C27" s="23"/>
      <c r="D27" s="24"/>
      <c r="E27" s="24"/>
      <c r="F27" s="24"/>
      <c r="G27" s="21"/>
      <c r="H27" s="46"/>
      <c r="I27" s="46"/>
      <c r="J27" s="46"/>
      <c r="K27" s="46"/>
      <c r="L27" s="46"/>
      <c r="M27" s="46"/>
      <c r="N27" s="17"/>
      <c r="O27" s="17"/>
      <c r="P27" s="17"/>
      <c r="Q27" s="17"/>
    </row>
    <row r="28" spans="2:17" s="22" customFormat="1" ht="15" customHeight="1" x14ac:dyDescent="0.35">
      <c r="B28" s="20" t="s">
        <v>91</v>
      </c>
      <c r="C28" s="21"/>
      <c r="D28" s="21"/>
      <c r="E28" s="21"/>
      <c r="F28" s="21"/>
      <c r="G28" s="21"/>
      <c r="H28" s="46"/>
      <c r="I28" s="46"/>
      <c r="J28" s="46"/>
      <c r="K28" s="46"/>
      <c r="L28" s="46"/>
      <c r="M28" s="46"/>
      <c r="N28" s="17"/>
      <c r="O28" s="17"/>
      <c r="P28" s="17"/>
      <c r="Q28" s="17"/>
    </row>
    <row r="29" spans="2:17" s="22" customFormat="1" ht="15" customHeight="1" x14ac:dyDescent="0.35">
      <c r="B29" s="21" t="s">
        <v>88</v>
      </c>
      <c r="C29" s="23"/>
      <c r="D29" s="24"/>
      <c r="E29" s="24"/>
      <c r="F29" s="24"/>
      <c r="G29" s="21"/>
      <c r="H29" s="46"/>
      <c r="I29" s="46">
        <f>$C$4</f>
        <v>9.5000000000000001E-2</v>
      </c>
      <c r="J29" s="46">
        <f>$C$4</f>
        <v>9.5000000000000001E-2</v>
      </c>
      <c r="K29" s="46">
        <f>$C$4</f>
        <v>9.5000000000000001E-2</v>
      </c>
      <c r="L29" s="46">
        <f>$C$4</f>
        <v>9.5000000000000001E-2</v>
      </c>
      <c r="M29" s="46">
        <f>$C$4</f>
        <v>9.5000000000000001E-2</v>
      </c>
      <c r="N29" s="17"/>
      <c r="O29" s="17"/>
      <c r="P29" s="17"/>
      <c r="Q29" s="17"/>
    </row>
    <row r="30" spans="2:17" s="22" customFormat="1" ht="5.15" customHeight="1" x14ac:dyDescent="0.35">
      <c r="B30" s="21"/>
      <c r="C30" s="23"/>
      <c r="D30" s="24"/>
      <c r="E30" s="24"/>
      <c r="F30" s="24"/>
      <c r="G30" s="21"/>
      <c r="H30" s="46"/>
      <c r="I30" s="46"/>
      <c r="J30" s="46"/>
      <c r="K30" s="46"/>
      <c r="L30" s="46"/>
      <c r="M30" s="46"/>
      <c r="N30" s="17"/>
      <c r="O30" s="17"/>
      <c r="P30" s="17"/>
      <c r="Q30" s="17"/>
    </row>
    <row r="31" spans="2:17" s="22" customFormat="1" ht="15" customHeight="1" x14ac:dyDescent="0.35">
      <c r="B31" s="20" t="s">
        <v>92</v>
      </c>
      <c r="C31" s="21"/>
      <c r="D31" s="21"/>
      <c r="E31" s="21"/>
      <c r="F31" s="21"/>
      <c r="G31" s="21"/>
      <c r="H31" s="46"/>
      <c r="I31" s="46"/>
      <c r="J31" s="46"/>
      <c r="K31" s="46"/>
      <c r="L31" s="46"/>
      <c r="M31" s="46"/>
      <c r="N31" s="17"/>
      <c r="O31" s="17"/>
      <c r="P31" s="17"/>
      <c r="Q31" s="17"/>
    </row>
    <row r="32" spans="2:17" s="22" customFormat="1" ht="15" customHeight="1" x14ac:dyDescent="0.35">
      <c r="B32" s="21" t="s">
        <v>88</v>
      </c>
      <c r="C32" s="23"/>
      <c r="D32" s="24"/>
      <c r="E32" s="24"/>
      <c r="F32" s="24"/>
      <c r="G32" s="21"/>
      <c r="H32" s="46"/>
      <c r="I32" s="46">
        <f>$C$4+0.005</f>
        <v>0.1</v>
      </c>
      <c r="J32" s="46">
        <f>$C$4+0.005</f>
        <v>0.1</v>
      </c>
      <c r="K32" s="46">
        <f>$C$4+0.005</f>
        <v>0.1</v>
      </c>
      <c r="L32" s="46">
        <f>$C$4+0.005</f>
        <v>0.1</v>
      </c>
      <c r="M32" s="46">
        <f>$C$4+0.005</f>
        <v>0.1</v>
      </c>
      <c r="N32" s="17"/>
      <c r="O32" s="17"/>
      <c r="P32" s="17"/>
      <c r="Q32" s="17"/>
    </row>
    <row r="38" spans="3:3" x14ac:dyDescent="0.35">
      <c r="C38" t="s">
        <v>93</v>
      </c>
    </row>
  </sheetData>
  <sheetProtection sheet="1" objects="1" scenarios="1"/>
  <dataValidations count="1">
    <dataValidation type="list" allowBlank="1" showInputMessage="1" showErrorMessage="1" sqref="C2" xr:uid="{C1E80657-8CCF-4E3A-9679-5004F8DFDF5F}">
      <formula1>"1,2,3"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41F71-8855-41C2-95A6-2D6BF8C44F9D}">
  <sheetPr codeName="Sheet8"/>
  <dimension ref="C1:V41"/>
  <sheetViews>
    <sheetView showGridLines="0" topLeftCell="B1" zoomScale="92" workbookViewId="0">
      <selection activeCell="D8" sqref="D8"/>
    </sheetView>
  </sheetViews>
  <sheetFormatPr defaultRowHeight="14.5" x14ac:dyDescent="0.35"/>
  <cols>
    <col min="1" max="1" width="2.54296875" customWidth="1"/>
    <col min="2" max="2" width="4.54296875" customWidth="1"/>
    <col min="3" max="3" width="28.54296875" bestFit="1" customWidth="1"/>
    <col min="4" max="13" width="12.54296875" customWidth="1"/>
  </cols>
  <sheetData>
    <row r="1" spans="3:22" ht="21" x14ac:dyDescent="0.5">
      <c r="C1" s="96"/>
    </row>
    <row r="2" spans="3:22" ht="10" customHeight="1" x14ac:dyDescent="0.35"/>
    <row r="3" spans="3:22" ht="21" customHeight="1" thickBot="1" x14ac:dyDescent="0.4">
      <c r="C3" s="16"/>
      <c r="D3" s="244" t="s">
        <v>94</v>
      </c>
      <c r="E3" s="244"/>
      <c r="F3" s="244"/>
      <c r="G3" s="244"/>
      <c r="H3" s="244"/>
      <c r="I3" s="244"/>
      <c r="J3" s="244"/>
      <c r="K3" s="244"/>
      <c r="L3" s="244"/>
      <c r="M3" s="244"/>
      <c r="S3" s="16"/>
      <c r="T3" s="16"/>
      <c r="U3" s="16"/>
      <c r="V3" s="16"/>
    </row>
    <row r="4" spans="3:22" ht="29.5" thickBot="1" x14ac:dyDescent="0.4">
      <c r="C4" s="218" t="s">
        <v>49</v>
      </c>
      <c r="D4" s="219" t="s">
        <v>27</v>
      </c>
      <c r="E4" s="219" t="s">
        <v>28</v>
      </c>
      <c r="F4" s="219" t="s">
        <v>29</v>
      </c>
      <c r="G4" s="219" t="s">
        <v>30</v>
      </c>
      <c r="H4" s="219" t="s">
        <v>31</v>
      </c>
      <c r="I4" s="219" t="s">
        <v>32</v>
      </c>
      <c r="J4" s="219" t="s">
        <v>33</v>
      </c>
      <c r="K4" s="219" t="s">
        <v>34</v>
      </c>
      <c r="L4" s="219" t="s">
        <v>35</v>
      </c>
      <c r="M4" s="219" t="s">
        <v>36</v>
      </c>
      <c r="R4" s="16"/>
      <c r="S4" s="16"/>
      <c r="T4" s="16"/>
      <c r="U4" s="16"/>
    </row>
    <row r="5" spans="3:22" x14ac:dyDescent="0.35">
      <c r="C5" s="56" t="s">
        <v>95</v>
      </c>
      <c r="D5" s="13">
        <f>'BS Sch III'!C36</f>
        <v>129</v>
      </c>
      <c r="E5" s="13">
        <f>'BS Sch III'!D36</f>
        <v>129</v>
      </c>
      <c r="F5" s="13">
        <f>'BS Sch III'!E36</f>
        <v>129</v>
      </c>
      <c r="G5" s="13">
        <f>'BS Sch III'!F36</f>
        <v>129</v>
      </c>
      <c r="H5" s="13">
        <f>'BS Sch III'!G36</f>
        <v>129</v>
      </c>
      <c r="I5" s="109">
        <f>H7</f>
        <v>130</v>
      </c>
      <c r="J5" s="109">
        <f>I7</f>
        <v>130</v>
      </c>
      <c r="K5" s="109">
        <f>J7</f>
        <v>130</v>
      </c>
      <c r="L5" s="109">
        <f>K7</f>
        <v>130</v>
      </c>
      <c r="M5" s="109">
        <f>L7</f>
        <v>130</v>
      </c>
      <c r="S5" s="16"/>
      <c r="T5" s="16"/>
      <c r="U5" s="16"/>
      <c r="V5" s="16"/>
    </row>
    <row r="6" spans="3:22" x14ac:dyDescent="0.35">
      <c r="C6" s="56" t="s">
        <v>96</v>
      </c>
      <c r="D6" s="4">
        <f>D7-D5</f>
        <v>0</v>
      </c>
      <c r="E6" s="4">
        <f>E7-E5</f>
        <v>0</v>
      </c>
      <c r="F6" s="4">
        <f>F7-F5</f>
        <v>0</v>
      </c>
      <c r="G6" s="4">
        <f>G7-G5</f>
        <v>0</v>
      </c>
      <c r="H6" s="4">
        <f>H7-H5</f>
        <v>1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S6" s="16"/>
      <c r="T6" s="16"/>
      <c r="U6" s="16"/>
      <c r="V6" s="16"/>
    </row>
    <row r="7" spans="3:22" x14ac:dyDescent="0.35">
      <c r="C7" s="204" t="s">
        <v>97</v>
      </c>
      <c r="D7" s="205">
        <f>'BS Sch III'!D36</f>
        <v>129</v>
      </c>
      <c r="E7" s="205">
        <f>'BS Sch III'!E36</f>
        <v>129</v>
      </c>
      <c r="F7" s="205">
        <f>'BS Sch III'!F36</f>
        <v>129</v>
      </c>
      <c r="G7" s="205">
        <f>'BS Sch III'!G36</f>
        <v>129</v>
      </c>
      <c r="H7" s="205">
        <f>'BS Sch III'!H36</f>
        <v>130</v>
      </c>
      <c r="I7" s="206">
        <f>SUM(I5:I6)</f>
        <v>130</v>
      </c>
      <c r="J7" s="206">
        <f>SUM(J5:J6)</f>
        <v>130</v>
      </c>
      <c r="K7" s="206">
        <f>SUM(K5:K6)</f>
        <v>130</v>
      </c>
      <c r="L7" s="206">
        <f>SUM(L5:L6)</f>
        <v>130</v>
      </c>
      <c r="M7" s="206">
        <f>SUM(M5:M6)</f>
        <v>130</v>
      </c>
      <c r="S7" s="16"/>
      <c r="T7" s="16"/>
      <c r="U7" s="16"/>
      <c r="V7" s="16"/>
    </row>
    <row r="8" spans="3:22" x14ac:dyDescent="0.35">
      <c r="C8" s="56"/>
      <c r="D8" s="13"/>
      <c r="E8" s="13"/>
      <c r="F8" s="13"/>
      <c r="G8" s="13"/>
      <c r="H8" s="13"/>
      <c r="I8" s="64"/>
      <c r="J8" s="64"/>
      <c r="K8" s="64"/>
      <c r="L8" s="64"/>
      <c r="M8" s="64"/>
      <c r="S8" s="16"/>
      <c r="T8" s="16"/>
      <c r="U8" s="16"/>
      <c r="V8" s="16"/>
    </row>
    <row r="9" spans="3:22" x14ac:dyDescent="0.35">
      <c r="C9" s="56" t="s">
        <v>98</v>
      </c>
      <c r="D9" s="13">
        <f>SUM('BS Sch III'!C37:C38)</f>
        <v>3111</v>
      </c>
      <c r="E9" s="13">
        <f>SUM('BS Sch III'!D37:D38)</f>
        <v>3219</v>
      </c>
      <c r="F9" s="13">
        <f>SUM('BS Sch III'!E37:E38)</f>
        <v>3670</v>
      </c>
      <c r="G9" s="13">
        <f>SUM('BS Sch III'!F37:F38)</f>
        <v>3703</v>
      </c>
      <c r="H9" s="13">
        <f>SUM('BS Sch III'!G37:G38)</f>
        <v>3846</v>
      </c>
      <c r="I9" s="64">
        <f>H12</f>
        <v>4080</v>
      </c>
      <c r="J9" s="64">
        <f>I12</f>
        <v>5050.0831112413898</v>
      </c>
      <c r="K9" s="64">
        <f>J12</f>
        <v>6165.04772828159</v>
      </c>
      <c r="L9" s="64">
        <f>K12</f>
        <v>7419.0125077815765</v>
      </c>
      <c r="M9" s="64">
        <f>L12</f>
        <v>8807.4759249560302</v>
      </c>
      <c r="S9" s="16"/>
      <c r="T9" s="16"/>
      <c r="U9" s="16"/>
      <c r="V9" s="16"/>
    </row>
    <row r="10" spans="3:22" x14ac:dyDescent="0.35">
      <c r="C10" s="56" t="s">
        <v>99</v>
      </c>
      <c r="D10" s="13">
        <f>'Income Statement Source'!C20</f>
        <v>1161</v>
      </c>
      <c r="E10" s="13">
        <f>'Income Statement Source'!D20</f>
        <v>1225</v>
      </c>
      <c r="F10" s="13">
        <f>'Income Statement Source'!E20</f>
        <v>1302</v>
      </c>
      <c r="G10" s="13">
        <f>'Income Statement Source'!F20</f>
        <v>1481</v>
      </c>
      <c r="H10" s="13">
        <f>'Income Statement Source'!G20</f>
        <v>1629</v>
      </c>
      <c r="I10" s="64">
        <f>'Income Statement'!I21</f>
        <v>2001.5063723739215</v>
      </c>
      <c r="J10" s="64">
        <f>'Income Statement'!J21</f>
        <v>2300.4305096309508</v>
      </c>
      <c r="K10" s="64">
        <f>'Income Statement'!K21</f>
        <v>2587.2200719894336</v>
      </c>
      <c r="L10" s="64">
        <f>'Income Statement'!L21</f>
        <v>2864.7219450367529</v>
      </c>
      <c r="M10" s="64">
        <f>'Income Statement'!M21</f>
        <v>3140.0052594551858</v>
      </c>
      <c r="S10" s="16"/>
      <c r="T10" s="16"/>
      <c r="U10" s="16"/>
      <c r="V10" s="16"/>
    </row>
    <row r="11" spans="3:22" x14ac:dyDescent="0.35">
      <c r="C11" s="56" t="s">
        <v>100</v>
      </c>
      <c r="D11" s="4">
        <f>D12-(D9+D10)</f>
        <v>-1053</v>
      </c>
      <c r="E11" s="4">
        <f>E12-(E9+E10)</f>
        <v>-774</v>
      </c>
      <c r="F11" s="4">
        <f>F12-(F9+F10)</f>
        <v>-1269</v>
      </c>
      <c r="G11" s="4">
        <f>G12-(G9+G10)</f>
        <v>-1338</v>
      </c>
      <c r="H11" s="4">
        <f>H12-(H9+H10)</f>
        <v>-1395</v>
      </c>
      <c r="I11" s="64">
        <f>-I22</f>
        <v>-1031.4232611325317</v>
      </c>
      <c r="J11" s="64">
        <f>-J22</f>
        <v>-1185.4658925907511</v>
      </c>
      <c r="K11" s="64">
        <f>-K22</f>
        <v>-1333.2552924894471</v>
      </c>
      <c r="L11" s="64">
        <f>-L22</f>
        <v>-1476.2585278622996</v>
      </c>
      <c r="M11" s="64">
        <f>-M22</f>
        <v>-1618.1184878463728</v>
      </c>
      <c r="S11" s="16"/>
      <c r="T11" s="16"/>
      <c r="U11" s="16"/>
      <c r="V11" s="16"/>
    </row>
    <row r="12" spans="3:22" s="1" customFormat="1" x14ac:dyDescent="0.35">
      <c r="C12" s="204" t="s">
        <v>101</v>
      </c>
      <c r="D12" s="205">
        <f>SUM('BS Sch III'!D37:D38)</f>
        <v>3219</v>
      </c>
      <c r="E12" s="205">
        <f>SUM('BS Sch III'!E37:E38)</f>
        <v>3670</v>
      </c>
      <c r="F12" s="205">
        <f>SUM('BS Sch III'!F37:F38)</f>
        <v>3703</v>
      </c>
      <c r="G12" s="205">
        <f>SUM('BS Sch III'!G37:G38)</f>
        <v>3846</v>
      </c>
      <c r="H12" s="205">
        <f>SUM('BS Sch III'!H37:H38)</f>
        <v>4080</v>
      </c>
      <c r="I12" s="205">
        <f>SUM(I9:I11)</f>
        <v>5050.0831112413898</v>
      </c>
      <c r="J12" s="205">
        <f>SUM(J9:J11)</f>
        <v>6165.04772828159</v>
      </c>
      <c r="K12" s="205">
        <f>SUM(K9:K11)</f>
        <v>7419.0125077815765</v>
      </c>
      <c r="L12" s="205">
        <f>SUM(L9:L11)</f>
        <v>8807.4759249560302</v>
      </c>
      <c r="M12" s="205">
        <f>SUM(M9:M11)</f>
        <v>10329.362696564844</v>
      </c>
      <c r="S12" s="108"/>
      <c r="T12" s="108"/>
      <c r="U12" s="108"/>
      <c r="V12" s="108"/>
    </row>
    <row r="13" spans="3:22" x14ac:dyDescent="0.35">
      <c r="C13" s="56"/>
      <c r="D13" s="13"/>
      <c r="E13" s="13"/>
      <c r="F13" s="13"/>
      <c r="G13" s="13"/>
      <c r="H13" s="13"/>
      <c r="I13" s="64"/>
      <c r="J13" s="64"/>
      <c r="K13" s="64"/>
      <c r="L13" s="64"/>
      <c r="M13" s="64"/>
      <c r="S13" s="16"/>
      <c r="T13" s="16"/>
      <c r="U13" s="16"/>
      <c r="V13" s="16"/>
    </row>
    <row r="14" spans="3:22" x14ac:dyDescent="0.35">
      <c r="C14" s="56" t="s">
        <v>102</v>
      </c>
      <c r="D14" s="13">
        <f>'BS Sch III'!C39</f>
        <v>18</v>
      </c>
      <c r="E14" s="13">
        <f>'BS Sch III'!D39</f>
        <v>57</v>
      </c>
      <c r="F14" s="13">
        <f>'BS Sch III'!E39</f>
        <v>157</v>
      </c>
      <c r="G14" s="13">
        <f>'BS Sch III'!F39</f>
        <v>337</v>
      </c>
      <c r="H14" s="13">
        <f>'BS Sch III'!G39</f>
        <v>291</v>
      </c>
      <c r="I14" s="109">
        <f>H18</f>
        <v>284</v>
      </c>
      <c r="J14" s="109">
        <f>I18</f>
        <v>299.90300182362932</v>
      </c>
      <c r="K14" s="109">
        <f>J18</f>
        <v>318.18111029969816</v>
      </c>
      <c r="L14" s="109">
        <f>K18</f>
        <v>338.73790996363238</v>
      </c>
      <c r="M14" s="109">
        <f>L18</f>
        <v>361.499605327148</v>
      </c>
      <c r="S14" s="16"/>
      <c r="T14" s="16"/>
      <c r="U14" s="16"/>
      <c r="V14" s="16"/>
    </row>
    <row r="15" spans="3:22" x14ac:dyDescent="0.35">
      <c r="C15" s="56" t="s">
        <v>103</v>
      </c>
      <c r="D15" s="13"/>
      <c r="E15" s="13"/>
      <c r="F15" s="13"/>
      <c r="G15" s="13"/>
      <c r="H15" s="13"/>
      <c r="I15" s="64">
        <f>'Income Statement'!I22</f>
        <v>57.932363786078319</v>
      </c>
      <c r="J15" s="64">
        <f>'Income Statement'!J22</f>
        <v>66.584538019965095</v>
      </c>
      <c r="K15" s="64">
        <f>'Income Statement'!K22</f>
        <v>74.885484490046039</v>
      </c>
      <c r="L15" s="64">
        <f>'Income Statement'!L22</f>
        <v>82.917604538521218</v>
      </c>
      <c r="M15" s="64">
        <f>'Income Statement'!M22</f>
        <v>90.885509779917413</v>
      </c>
      <c r="S15" s="16"/>
      <c r="T15" s="16"/>
      <c r="U15" s="16"/>
      <c r="V15" s="16"/>
    </row>
    <row r="16" spans="3:22" x14ac:dyDescent="0.35">
      <c r="C16" s="56" t="s">
        <v>104</v>
      </c>
      <c r="D16" s="13"/>
      <c r="E16" s="13"/>
      <c r="F16" s="13"/>
      <c r="G16" s="13"/>
      <c r="H16" s="13"/>
      <c r="I16" s="109">
        <f>-I26</f>
        <v>-42.029361962448974</v>
      </c>
      <c r="J16" s="109">
        <f>-J26</f>
        <v>-48.306429543896243</v>
      </c>
      <c r="K16" s="109">
        <f>-K26</f>
        <v>-54.328684826111832</v>
      </c>
      <c r="L16" s="109">
        <f>-L26</f>
        <v>-60.15590917500559</v>
      </c>
      <c r="M16" s="109">
        <f>-M26</f>
        <v>-65.936546310920477</v>
      </c>
      <c r="S16" s="16"/>
      <c r="T16" s="16"/>
      <c r="U16" s="16"/>
      <c r="V16" s="16"/>
    </row>
    <row r="17" spans="3:22" x14ac:dyDescent="0.35">
      <c r="C17" s="111" t="s">
        <v>105</v>
      </c>
      <c r="D17" s="112">
        <f>D18-D14</f>
        <v>39</v>
      </c>
      <c r="E17" s="112">
        <f>E18-E14</f>
        <v>100</v>
      </c>
      <c r="F17" s="112">
        <f>F18-F14</f>
        <v>180</v>
      </c>
      <c r="G17" s="112">
        <f>G18-G14</f>
        <v>-46</v>
      </c>
      <c r="H17" s="112">
        <f>H18-H14</f>
        <v>-7</v>
      </c>
      <c r="I17" s="113">
        <f>I15+I16</f>
        <v>15.903001823629346</v>
      </c>
      <c r="J17" s="113">
        <f>J15+J16</f>
        <v>18.278108476068851</v>
      </c>
      <c r="K17" s="113">
        <f>K15+K16</f>
        <v>20.556799663934207</v>
      </c>
      <c r="L17" s="113">
        <f>L15+L16</f>
        <v>22.761695363515628</v>
      </c>
      <c r="M17" s="113">
        <f>M15+M16</f>
        <v>24.948963468996936</v>
      </c>
      <c r="S17" s="16"/>
      <c r="T17" s="16"/>
      <c r="U17" s="16"/>
      <c r="V17" s="16"/>
    </row>
    <row r="18" spans="3:22" x14ac:dyDescent="0.35">
      <c r="C18" s="204" t="s">
        <v>106</v>
      </c>
      <c r="D18" s="205">
        <f>'BS Sch III'!D39</f>
        <v>57</v>
      </c>
      <c r="E18" s="205">
        <f>'BS Sch III'!E39</f>
        <v>157</v>
      </c>
      <c r="F18" s="205">
        <f>'BS Sch III'!F39</f>
        <v>337</v>
      </c>
      <c r="G18" s="205">
        <f>'BS Sch III'!G39</f>
        <v>291</v>
      </c>
      <c r="H18" s="205">
        <f>'BS Sch III'!H39</f>
        <v>284</v>
      </c>
      <c r="I18" s="205">
        <f>I14+I17</f>
        <v>299.90300182362932</v>
      </c>
      <c r="J18" s="205">
        <f>J14+J17</f>
        <v>318.18111029969816</v>
      </c>
      <c r="K18" s="205">
        <f>K14+K17</f>
        <v>338.73790996363238</v>
      </c>
      <c r="L18" s="205">
        <f>L14+L17</f>
        <v>361.499605327148</v>
      </c>
      <c r="M18" s="205">
        <f>M14+M17</f>
        <v>386.44856879614497</v>
      </c>
      <c r="S18" s="16"/>
      <c r="T18" s="16"/>
      <c r="U18" s="16"/>
      <c r="V18" s="16"/>
    </row>
    <row r="19" spans="3:22" s="1" customFormat="1" ht="15" thickBot="1" x14ac:dyDescent="0.4">
      <c r="C19" s="63" t="s">
        <v>107</v>
      </c>
      <c r="D19" s="181">
        <f t="shared" ref="D19:M19" si="0">SUM(D7,D12,D18)</f>
        <v>3405</v>
      </c>
      <c r="E19" s="181">
        <f t="shared" si="0"/>
        <v>3956</v>
      </c>
      <c r="F19" s="181">
        <f t="shared" si="0"/>
        <v>4169</v>
      </c>
      <c r="G19" s="181">
        <f t="shared" si="0"/>
        <v>4266</v>
      </c>
      <c r="H19" s="181">
        <f t="shared" si="0"/>
        <v>4494</v>
      </c>
      <c r="I19" s="181">
        <f t="shared" si="0"/>
        <v>5479.9861130650188</v>
      </c>
      <c r="J19" s="181">
        <f t="shared" si="0"/>
        <v>6613.2288385812881</v>
      </c>
      <c r="K19" s="181">
        <f t="shared" si="0"/>
        <v>7887.7504177452092</v>
      </c>
      <c r="L19" s="181">
        <f t="shared" si="0"/>
        <v>9298.9755302831782</v>
      </c>
      <c r="M19" s="181">
        <f t="shared" si="0"/>
        <v>10845.811265360988</v>
      </c>
      <c r="S19" s="108"/>
      <c r="T19" s="108"/>
      <c r="U19" s="108"/>
      <c r="V19" s="108"/>
    </row>
    <row r="20" spans="3:22" x14ac:dyDescent="0.35">
      <c r="I20" s="95"/>
      <c r="J20" s="95"/>
      <c r="K20" s="95"/>
      <c r="L20" s="95"/>
      <c r="M20" s="95"/>
    </row>
    <row r="21" spans="3:22" x14ac:dyDescent="0.35">
      <c r="I21" s="95"/>
      <c r="J21" s="95"/>
      <c r="K21" s="95"/>
      <c r="L21" s="95"/>
      <c r="M21" s="95"/>
    </row>
    <row r="22" spans="3:22" x14ac:dyDescent="0.35">
      <c r="C22" t="s">
        <v>108</v>
      </c>
      <c r="D22" s="13">
        <f>-'CFS Sch III'!D26</f>
        <v>1195</v>
      </c>
      <c r="E22" s="13">
        <f>-'CFS Sch III'!E26</f>
        <v>582</v>
      </c>
      <c r="F22" s="13">
        <f>-'CFS Sch III'!F26</f>
        <v>1229</v>
      </c>
      <c r="G22" s="13">
        <f>-'CFS Sch III'!G26</f>
        <v>453</v>
      </c>
      <c r="H22" s="13">
        <f>-'CFS Sch III'!H26</f>
        <v>908</v>
      </c>
      <c r="I22" s="90">
        <f>I23*I24</f>
        <v>1031.4232611325317</v>
      </c>
      <c r="J22" s="90">
        <f>J23*J24</f>
        <v>1185.4658925907511</v>
      </c>
      <c r="K22" s="90">
        <f>K23*K24</f>
        <v>1333.2552924894471</v>
      </c>
      <c r="L22" s="90">
        <f>L23*L24</f>
        <v>1476.2585278622996</v>
      </c>
      <c r="M22" s="90">
        <f>M23*M24</f>
        <v>1618.1184878463728</v>
      </c>
    </row>
    <row r="23" spans="3:22" x14ac:dyDescent="0.35">
      <c r="C23" t="s">
        <v>109</v>
      </c>
      <c r="D23" s="13">
        <f>'Income Statement Source'!D20</f>
        <v>1225</v>
      </c>
      <c r="E23" s="13">
        <f>'Income Statement Source'!E20</f>
        <v>1302</v>
      </c>
      <c r="F23" s="13">
        <f>'Income Statement Source'!F20</f>
        <v>1481</v>
      </c>
      <c r="G23" s="13">
        <f>'Income Statement Source'!G20</f>
        <v>1629</v>
      </c>
      <c r="H23" s="13">
        <f>'Income Statement Source'!H20</f>
        <v>1762</v>
      </c>
      <c r="I23" s="64">
        <f>'Income Statement'!I21</f>
        <v>2001.5063723739215</v>
      </c>
      <c r="J23" s="64">
        <f>'Income Statement'!J21</f>
        <v>2300.4305096309508</v>
      </c>
      <c r="K23" s="64">
        <f>'Income Statement'!K21</f>
        <v>2587.2200719894336</v>
      </c>
      <c r="L23" s="64">
        <f>'Income Statement'!L21</f>
        <v>2864.7219450367529</v>
      </c>
      <c r="M23" s="64">
        <f>'Income Statement'!M21</f>
        <v>3140.0052594551858</v>
      </c>
    </row>
    <row r="24" spans="3:22" s="1" customFormat="1" x14ac:dyDescent="0.35">
      <c r="C24" s="15" t="s">
        <v>110</v>
      </c>
      <c r="D24" s="182">
        <f>D22/D23</f>
        <v>0.97551020408163269</v>
      </c>
      <c r="E24" s="182">
        <f>E22/E23</f>
        <v>0.44700460829493088</v>
      </c>
      <c r="F24" s="182">
        <f>F22/F23</f>
        <v>0.82984469952734641</v>
      </c>
      <c r="G24" s="182">
        <f>G22/G23</f>
        <v>0.27808471454880296</v>
      </c>
      <c r="H24" s="182">
        <f>H22/H23</f>
        <v>0.51532349602724181</v>
      </c>
      <c r="I24" s="182">
        <f>$H$24</f>
        <v>0.51532349602724181</v>
      </c>
      <c r="J24" s="182">
        <f>$H$24</f>
        <v>0.51532349602724181</v>
      </c>
      <c r="K24" s="182">
        <f>$H$24</f>
        <v>0.51532349602724181</v>
      </c>
      <c r="L24" s="182">
        <f>$H$24</f>
        <v>0.51532349602724181</v>
      </c>
      <c r="M24" s="182">
        <f>$H$24</f>
        <v>0.51532349602724181</v>
      </c>
    </row>
    <row r="25" spans="3:22" x14ac:dyDescent="0.35">
      <c r="I25" s="95"/>
      <c r="J25" s="95"/>
      <c r="K25" s="95"/>
      <c r="L25" s="95"/>
      <c r="M25" s="95"/>
    </row>
    <row r="26" spans="3:22" x14ac:dyDescent="0.35">
      <c r="C26" t="s">
        <v>111</v>
      </c>
      <c r="D26" s="13">
        <f>-'CFS Sch III'!D27</f>
        <v>25</v>
      </c>
      <c r="E26" s="13">
        <f>-'CFS Sch III'!E27</f>
        <v>46</v>
      </c>
      <c r="F26" s="13">
        <f>-'CFS Sch III'!F27</f>
        <v>42</v>
      </c>
      <c r="G26" s="13">
        <f>-'CFS Sch III'!G27</f>
        <v>51</v>
      </c>
      <c r="H26" s="13">
        <f>-'CFS Sch III'!H27</f>
        <v>37</v>
      </c>
      <c r="I26" s="90">
        <f>I27*I28</f>
        <v>42.029361962448974</v>
      </c>
      <c r="J26" s="90">
        <f>J27*J28</f>
        <v>48.306429543896243</v>
      </c>
      <c r="K26" s="90">
        <f>K27*K28</f>
        <v>54.328684826111832</v>
      </c>
      <c r="L26" s="90">
        <f>L27*L28</f>
        <v>60.15590917500559</v>
      </c>
      <c r="M26" s="90">
        <f>M27*M28</f>
        <v>65.936546310920477</v>
      </c>
      <c r="N26" s="13"/>
    </row>
    <row r="27" spans="3:22" x14ac:dyDescent="0.35">
      <c r="C27" t="s">
        <v>112</v>
      </c>
      <c r="D27" s="13">
        <f>'Income Statement Source'!D21</f>
        <v>30</v>
      </c>
      <c r="E27" s="13">
        <f>'Income Statement Source'!E21</f>
        <v>20</v>
      </c>
      <c r="F27" s="13">
        <f>'Income Statement Source'!F21</f>
        <v>21</v>
      </c>
      <c r="G27" s="13">
        <f>'Income Statement Source'!G21</f>
        <v>29</v>
      </c>
      <c r="H27" s="13">
        <f>'Income Statement Source'!H21</f>
        <v>51</v>
      </c>
      <c r="I27" s="64">
        <f>'Income Statement'!I22</f>
        <v>57.932363786078319</v>
      </c>
      <c r="J27" s="64">
        <f>'Income Statement'!J22</f>
        <v>66.584538019965095</v>
      </c>
      <c r="K27" s="64">
        <f>'Income Statement'!K22</f>
        <v>74.885484490046039</v>
      </c>
      <c r="L27" s="64">
        <f>'Income Statement'!L22</f>
        <v>82.917604538521218</v>
      </c>
      <c r="M27" s="64">
        <f>'Income Statement'!M22</f>
        <v>90.885509779917413</v>
      </c>
    </row>
    <row r="28" spans="3:22" s="1" customFormat="1" x14ac:dyDescent="0.35">
      <c r="C28" s="15" t="s">
        <v>110</v>
      </c>
      <c r="D28" s="182">
        <f>D26/D27</f>
        <v>0.83333333333333337</v>
      </c>
      <c r="E28" s="182">
        <f>E26/E27</f>
        <v>2.2999999999999998</v>
      </c>
      <c r="F28" s="182">
        <f>F26/F27</f>
        <v>2</v>
      </c>
      <c r="G28" s="182">
        <f>G26/G27</f>
        <v>1.7586206896551724</v>
      </c>
      <c r="H28" s="182">
        <f>H26/H27</f>
        <v>0.72549019607843135</v>
      </c>
      <c r="I28" s="182">
        <f>$H$28</f>
        <v>0.72549019607843135</v>
      </c>
      <c r="J28" s="182">
        <f>$H$28</f>
        <v>0.72549019607843135</v>
      </c>
      <c r="K28" s="182">
        <f>$H$28</f>
        <v>0.72549019607843135</v>
      </c>
      <c r="L28" s="182">
        <f>$H$28</f>
        <v>0.72549019607843135</v>
      </c>
      <c r="M28" s="182">
        <f>$H$28</f>
        <v>0.72549019607843135</v>
      </c>
    </row>
    <row r="33" ht="7" customHeight="1" x14ac:dyDescent="0.35"/>
    <row r="37" ht="7" customHeight="1" x14ac:dyDescent="0.35"/>
    <row r="41" ht="7" customHeight="1" x14ac:dyDescent="0.35"/>
  </sheetData>
  <sheetProtection sheet="1" objects="1" scenarios="1"/>
  <mergeCells count="1">
    <mergeCell ref="D3:M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DD513-930D-424D-91F2-8F91D26A0630}">
  <sheetPr codeName="Sheet9"/>
  <dimension ref="C1:V22"/>
  <sheetViews>
    <sheetView showGridLines="0" topLeftCell="B1" workbookViewId="0">
      <selection activeCell="C3" sqref="C3"/>
    </sheetView>
  </sheetViews>
  <sheetFormatPr defaultRowHeight="14.5" x14ac:dyDescent="0.35"/>
  <cols>
    <col min="1" max="1" width="2.26953125" customWidth="1"/>
    <col min="2" max="2" width="4.54296875" customWidth="1"/>
    <col min="3" max="3" width="17.54296875" customWidth="1"/>
    <col min="4" max="13" width="13.54296875" customWidth="1"/>
  </cols>
  <sheetData>
    <row r="1" spans="3:22" ht="21" x14ac:dyDescent="0.5">
      <c r="C1" s="96" t="s">
        <v>113</v>
      </c>
    </row>
    <row r="3" spans="3:22" ht="18.5" x14ac:dyDescent="0.45">
      <c r="C3" s="49" t="s">
        <v>79</v>
      </c>
      <c r="D3" s="247">
        <v>2</v>
      </c>
    </row>
    <row r="5" spans="3:22" ht="21" customHeight="1" thickBot="1" x14ac:dyDescent="0.4">
      <c r="C5" s="16"/>
      <c r="D5" s="244" t="s">
        <v>114</v>
      </c>
      <c r="E5" s="244"/>
      <c r="F5" s="244"/>
      <c r="G5" s="244"/>
      <c r="H5" s="244"/>
      <c r="I5" s="244"/>
      <c r="J5" s="244"/>
      <c r="K5" s="244"/>
      <c r="L5" s="244"/>
      <c r="M5" s="244"/>
      <c r="S5" s="16"/>
      <c r="T5" s="16"/>
      <c r="U5" s="16"/>
      <c r="V5" s="16"/>
    </row>
    <row r="6" spans="3:22" ht="29.5" thickBot="1" x14ac:dyDescent="0.4">
      <c r="C6" s="226"/>
      <c r="D6" s="223" t="s">
        <v>27</v>
      </c>
      <c r="E6" s="223" t="s">
        <v>28</v>
      </c>
      <c r="F6" s="223" t="s">
        <v>29</v>
      </c>
      <c r="G6" s="223" t="s">
        <v>30</v>
      </c>
      <c r="H6" s="223" t="s">
        <v>31</v>
      </c>
      <c r="I6" s="224" t="s">
        <v>32</v>
      </c>
      <c r="J6" s="224" t="s">
        <v>33</v>
      </c>
      <c r="K6" s="224" t="s">
        <v>34</v>
      </c>
      <c r="L6" s="224" t="s">
        <v>35</v>
      </c>
      <c r="M6" s="224" t="s">
        <v>36</v>
      </c>
      <c r="S6" s="16"/>
      <c r="T6" s="16"/>
      <c r="U6" s="16"/>
      <c r="V6" s="16"/>
    </row>
    <row r="7" spans="3:22" x14ac:dyDescent="0.35">
      <c r="C7" s="56" t="s">
        <v>115</v>
      </c>
      <c r="D7" s="13">
        <f>'Balance Sheet'!D6</f>
        <v>1220</v>
      </c>
      <c r="E7" s="13">
        <f>'Balance Sheet'!E6</f>
        <v>1334</v>
      </c>
      <c r="F7" s="13">
        <f>'Balance Sheet'!F6</f>
        <v>1202</v>
      </c>
      <c r="G7" s="13">
        <f>'Balance Sheet'!G6</f>
        <v>2152</v>
      </c>
      <c r="H7" s="13">
        <f>'Balance Sheet'!H6</f>
        <v>2441</v>
      </c>
      <c r="I7" s="64">
        <f>'Balance Sheet'!I6</f>
        <v>3513.2375031108786</v>
      </c>
      <c r="J7" s="64">
        <f>'Balance Sheet'!J6</f>
        <v>4424.1503137721911</v>
      </c>
      <c r="K7" s="64">
        <f>'Balance Sheet'!K6</f>
        <v>5446.8994664712027</v>
      </c>
      <c r="L7" s="64">
        <f>'Balance Sheet'!L6</f>
        <v>6591.7923048773209</v>
      </c>
      <c r="M7" s="64">
        <f>'Balance Sheet'!M6</f>
        <v>7858.6612407140456</v>
      </c>
      <c r="S7" s="16"/>
      <c r="T7" s="16"/>
      <c r="U7" s="16"/>
      <c r="V7" s="16"/>
    </row>
    <row r="8" spans="3:22" x14ac:dyDescent="0.35">
      <c r="C8" s="56" t="s">
        <v>113</v>
      </c>
      <c r="D8" s="13">
        <f>'Income Statement Source'!D13</f>
        <v>98</v>
      </c>
      <c r="E8" s="13">
        <f>'Income Statement Source'!E13</f>
        <v>144</v>
      </c>
      <c r="F8" s="13">
        <f>'Income Statement Source'!F13</f>
        <v>142</v>
      </c>
      <c r="G8" s="13">
        <f>'Income Statement Source'!G13</f>
        <v>208</v>
      </c>
      <c r="H8" s="13">
        <f>'Income Statement Source'!H13</f>
        <v>204</v>
      </c>
      <c r="I8" s="109">
        <f>H7*I9</f>
        <v>231.89500000000001</v>
      </c>
      <c r="J8" s="109">
        <f>I7*J9</f>
        <v>333.75756279553349</v>
      </c>
      <c r="K8" s="109">
        <f>J7*K9</f>
        <v>420.29427980835817</v>
      </c>
      <c r="L8" s="109">
        <f>K7*L9</f>
        <v>517.45544931476422</v>
      </c>
      <c r="M8" s="109">
        <f>L7*M9</f>
        <v>626.22026896334546</v>
      </c>
      <c r="S8" s="16"/>
      <c r="T8" s="16"/>
      <c r="U8" s="16"/>
      <c r="V8" s="16"/>
    </row>
    <row r="9" spans="3:22" ht="15" thickBot="1" x14ac:dyDescent="0.4">
      <c r="C9" s="97" t="s">
        <v>17</v>
      </c>
      <c r="D9" s="98">
        <f>D8/D7</f>
        <v>8.0327868852459017E-2</v>
      </c>
      <c r="E9" s="98">
        <f>E8/E7</f>
        <v>0.10794602698650675</v>
      </c>
      <c r="F9" s="98">
        <f>F8/F7</f>
        <v>0.11813643926788686</v>
      </c>
      <c r="G9" s="98">
        <f>G8/G7</f>
        <v>9.6654275092936809E-2</v>
      </c>
      <c r="H9" s="98">
        <f>H8/H7</f>
        <v>8.3572306431790255E-2</v>
      </c>
      <c r="I9" s="98">
        <f>I13</f>
        <v>9.5000000000000001E-2</v>
      </c>
      <c r="J9" s="98">
        <f>J13</f>
        <v>9.5000000000000001E-2</v>
      </c>
      <c r="K9" s="98">
        <f>K13</f>
        <v>9.5000000000000001E-2</v>
      </c>
      <c r="L9" s="98">
        <f>L13</f>
        <v>9.5000000000000001E-2</v>
      </c>
      <c r="M9" s="98">
        <f>M13</f>
        <v>9.5000000000000001E-2</v>
      </c>
      <c r="S9" s="16"/>
      <c r="T9" s="16"/>
      <c r="U9" s="16"/>
      <c r="V9" s="16"/>
    </row>
    <row r="12" spans="3:22" x14ac:dyDescent="0.35">
      <c r="C12" s="20" t="s">
        <v>25</v>
      </c>
      <c r="D12" s="21"/>
      <c r="E12" s="21"/>
      <c r="F12" s="21"/>
      <c r="G12" s="21"/>
      <c r="H12" s="21"/>
      <c r="I12" s="46"/>
      <c r="J12" s="46"/>
      <c r="K12" s="46"/>
      <c r="L12" s="46"/>
      <c r="M12" s="47"/>
    </row>
    <row r="13" spans="3:22" x14ac:dyDescent="0.35">
      <c r="C13" s="99" t="s">
        <v>17</v>
      </c>
      <c r="D13" s="23"/>
      <c r="E13" s="23"/>
      <c r="F13" s="23"/>
      <c r="G13" s="23"/>
      <c r="H13" s="21"/>
      <c r="I13" s="178">
        <f>CHOOSE($D$3,I16,I19,I22)</f>
        <v>9.5000000000000001E-2</v>
      </c>
      <c r="J13" s="178">
        <f>CHOOSE($D$3,J16,J19,J22)</f>
        <v>9.5000000000000001E-2</v>
      </c>
      <c r="K13" s="178">
        <f>CHOOSE($D$3,K16,K19,K22)</f>
        <v>9.5000000000000001E-2</v>
      </c>
      <c r="L13" s="178">
        <f>CHOOSE($D$3,L16,L19,L22)</f>
        <v>9.5000000000000001E-2</v>
      </c>
      <c r="M13" s="178">
        <f>CHOOSE($D$3,M16,M19,M22)</f>
        <v>9.5000000000000001E-2</v>
      </c>
    </row>
    <row r="14" spans="3:22" x14ac:dyDescent="0.35">
      <c r="C14" s="100"/>
      <c r="D14" s="23"/>
      <c r="E14" s="23"/>
      <c r="F14" s="23"/>
      <c r="G14" s="23"/>
      <c r="H14" s="21"/>
      <c r="I14" s="46"/>
      <c r="J14" s="46"/>
      <c r="K14" s="46"/>
      <c r="L14" s="46"/>
      <c r="M14" s="46"/>
    </row>
    <row r="15" spans="3:22" x14ac:dyDescent="0.35">
      <c r="C15" s="101" t="s">
        <v>90</v>
      </c>
      <c r="D15" s="21"/>
      <c r="E15" s="21"/>
      <c r="F15" s="21"/>
      <c r="G15" s="21"/>
      <c r="H15" s="21"/>
      <c r="I15" s="46"/>
      <c r="J15" s="46"/>
      <c r="K15" s="46"/>
      <c r="L15" s="46"/>
      <c r="M15" s="46"/>
    </row>
    <row r="16" spans="3:22" x14ac:dyDescent="0.35">
      <c r="C16" s="99" t="s">
        <v>17</v>
      </c>
      <c r="D16" s="23"/>
      <c r="E16" s="24"/>
      <c r="F16" s="24"/>
      <c r="G16" s="24"/>
      <c r="H16" s="21"/>
      <c r="I16" s="148">
        <f>'Assumptions and Drivers'!$C$16+0.01</f>
        <v>0.105</v>
      </c>
      <c r="J16" s="148">
        <f>'Assumptions and Drivers'!$C$16+0.01</f>
        <v>0.105</v>
      </c>
      <c r="K16" s="148">
        <f>'Assumptions and Drivers'!$C$16+0.01</f>
        <v>0.105</v>
      </c>
      <c r="L16" s="148">
        <f>'Assumptions and Drivers'!$C$16+0.01</f>
        <v>0.105</v>
      </c>
      <c r="M16" s="148">
        <f>'Assumptions and Drivers'!$C$16+0.01</f>
        <v>0.105</v>
      </c>
    </row>
    <row r="17" spans="3:13" x14ac:dyDescent="0.35">
      <c r="C17" s="100"/>
      <c r="D17" s="23"/>
      <c r="E17" s="24"/>
      <c r="F17" s="24"/>
      <c r="G17" s="24"/>
      <c r="H17" s="21"/>
      <c r="I17" s="148"/>
      <c r="J17" s="148"/>
      <c r="K17" s="148"/>
      <c r="L17" s="148"/>
      <c r="M17" s="148"/>
    </row>
    <row r="18" spans="3:13" x14ac:dyDescent="0.35">
      <c r="C18" s="101" t="s">
        <v>91</v>
      </c>
      <c r="D18" s="21"/>
      <c r="E18" s="21"/>
      <c r="F18" s="21"/>
      <c r="G18" s="21"/>
      <c r="H18" s="21"/>
      <c r="I18" s="148"/>
      <c r="J18" s="148"/>
      <c r="K18" s="148"/>
      <c r="L18" s="148"/>
      <c r="M18" s="148"/>
    </row>
    <row r="19" spans="3:13" x14ac:dyDescent="0.35">
      <c r="C19" s="99" t="s">
        <v>17</v>
      </c>
      <c r="D19" s="23"/>
      <c r="E19" s="24"/>
      <c r="F19" s="24"/>
      <c r="G19" s="24"/>
      <c r="H19" s="21"/>
      <c r="I19" s="148">
        <f>'Assumptions and Drivers'!$C$16</f>
        <v>9.5000000000000001E-2</v>
      </c>
      <c r="J19" s="148">
        <f>'Assumptions and Drivers'!$C$16</f>
        <v>9.5000000000000001E-2</v>
      </c>
      <c r="K19" s="148">
        <f>'Assumptions and Drivers'!$C$16</f>
        <v>9.5000000000000001E-2</v>
      </c>
      <c r="L19" s="148">
        <f>'Assumptions and Drivers'!$C$16</f>
        <v>9.5000000000000001E-2</v>
      </c>
      <c r="M19" s="148">
        <f>'Assumptions and Drivers'!$C$16</f>
        <v>9.5000000000000001E-2</v>
      </c>
    </row>
    <row r="20" spans="3:13" x14ac:dyDescent="0.35">
      <c r="C20" s="100"/>
      <c r="D20" s="23"/>
      <c r="E20" s="24"/>
      <c r="F20" s="24"/>
      <c r="G20" s="24"/>
      <c r="H20" s="21"/>
      <c r="I20" s="148"/>
      <c r="J20" s="148"/>
      <c r="K20" s="148"/>
      <c r="L20" s="148"/>
      <c r="M20" s="148"/>
    </row>
    <row r="21" spans="3:13" x14ac:dyDescent="0.35">
      <c r="C21" s="101" t="s">
        <v>92</v>
      </c>
      <c r="D21" s="21"/>
      <c r="E21" s="21"/>
      <c r="F21" s="21"/>
      <c r="G21" s="21"/>
      <c r="H21" s="21"/>
      <c r="I21" s="148"/>
      <c r="J21" s="148"/>
      <c r="K21" s="148"/>
      <c r="L21" s="148"/>
      <c r="M21" s="148"/>
    </row>
    <row r="22" spans="3:13" x14ac:dyDescent="0.35">
      <c r="C22" s="99" t="s">
        <v>17</v>
      </c>
      <c r="D22" s="23"/>
      <c r="E22" s="24"/>
      <c r="F22" s="24"/>
      <c r="G22" s="24"/>
      <c r="H22" s="21"/>
      <c r="I22" s="148">
        <f>'Assumptions and Drivers'!$C$16-0.01</f>
        <v>8.5000000000000006E-2</v>
      </c>
      <c r="J22" s="148">
        <f>'Assumptions and Drivers'!$C$16-0.01</f>
        <v>8.5000000000000006E-2</v>
      </c>
      <c r="K22" s="148">
        <f>'Assumptions and Drivers'!$C$16-0.01</f>
        <v>8.5000000000000006E-2</v>
      </c>
      <c r="L22" s="148">
        <f>'Assumptions and Drivers'!$C$16-0.01</f>
        <v>8.5000000000000006E-2</v>
      </c>
      <c r="M22" s="148">
        <f>'Assumptions and Drivers'!$C$16-0.01</f>
        <v>8.5000000000000006E-2</v>
      </c>
    </row>
  </sheetData>
  <sheetProtection sheet="1" objects="1" scenarios="1"/>
  <mergeCells count="1">
    <mergeCell ref="D5:M5"/>
  </mergeCells>
  <dataValidations count="1">
    <dataValidation type="list" allowBlank="1" showInputMessage="1" showErrorMessage="1" sqref="D3" xr:uid="{6B67244F-97D1-4C71-AB40-FEDFECF6BBDD}">
      <formula1>"1,2,3"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F0A22-3F8C-4412-B0E1-04345559DD06}">
  <sheetPr codeName="Sheet10"/>
  <dimension ref="A1:Q44"/>
  <sheetViews>
    <sheetView showGridLines="0" zoomScale="73" workbookViewId="0">
      <selection activeCell="M14" sqref="M14"/>
    </sheetView>
  </sheetViews>
  <sheetFormatPr defaultColWidth="9.1796875" defaultRowHeight="15" customHeight="1" x14ac:dyDescent="0.35"/>
  <cols>
    <col min="1" max="1" width="2" style="16" customWidth="1"/>
    <col min="2" max="2" width="56.1796875" style="16" customWidth="1"/>
    <col min="3" max="12" width="12.54296875" style="16" customWidth="1"/>
    <col min="13" max="13" width="12.54296875" style="17" customWidth="1"/>
    <col min="14" max="14" width="11" style="17" customWidth="1"/>
    <col min="15" max="15" width="10.54296875" style="17" customWidth="1"/>
    <col min="16" max="16" width="10.1796875" style="17" customWidth="1"/>
    <col min="17" max="17" width="10.7265625" style="17" customWidth="1"/>
    <col min="18" max="16384" width="9.1796875" style="16"/>
  </cols>
  <sheetData>
    <row r="1" spans="1:13" ht="32.5" customHeight="1" x14ac:dyDescent="0.55000000000000004">
      <c r="B1" s="48" t="s">
        <v>116</v>
      </c>
    </row>
    <row r="3" spans="1:13" ht="15" customHeight="1" x14ac:dyDescent="0.35">
      <c r="B3" s="250" t="s">
        <v>79</v>
      </c>
      <c r="C3" s="247">
        <v>2</v>
      </c>
    </row>
    <row r="4" spans="1:13" ht="6" customHeight="1" x14ac:dyDescent="0.35">
      <c r="B4" s="250"/>
      <c r="C4"/>
    </row>
    <row r="5" spans="1:13" ht="15" customHeight="1" x14ac:dyDescent="0.35">
      <c r="B5" s="250" t="s">
        <v>126</v>
      </c>
      <c r="C5" s="248">
        <v>2.3E-2</v>
      </c>
    </row>
    <row r="6" spans="1:13" ht="6" customHeight="1" x14ac:dyDescent="0.35">
      <c r="B6" s="250"/>
      <c r="C6" s="253"/>
    </row>
    <row r="7" spans="1:13" ht="15" customHeight="1" x14ac:dyDescent="0.35">
      <c r="B7" s="250" t="s">
        <v>128</v>
      </c>
      <c r="C7" s="252">
        <v>0.11</v>
      </c>
    </row>
    <row r="8" spans="1:13" ht="15" customHeight="1" x14ac:dyDescent="0.35">
      <c r="B8" s="43"/>
      <c r="C8" s="249"/>
    </row>
    <row r="9" spans="1:13" ht="15" customHeight="1" x14ac:dyDescent="0.35">
      <c r="B9" s="43"/>
      <c r="C9" s="249"/>
    </row>
    <row r="10" spans="1:13" ht="24.65" customHeight="1" thickBot="1" x14ac:dyDescent="0.4">
      <c r="C10" s="245" t="s">
        <v>117</v>
      </c>
      <c r="D10" s="245"/>
      <c r="E10" s="245"/>
      <c r="F10" s="245"/>
      <c r="G10" s="245"/>
      <c r="H10" s="245"/>
      <c r="I10" s="246"/>
      <c r="J10" s="246"/>
      <c r="K10" s="246"/>
      <c r="L10" s="246"/>
      <c r="M10" s="26"/>
    </row>
    <row r="11" spans="1:13" ht="37" customHeight="1" thickBot="1" x14ac:dyDescent="0.4">
      <c r="A11" s="16" t="s">
        <v>18</v>
      </c>
      <c r="B11" s="222"/>
      <c r="C11" s="223" t="s">
        <v>27</v>
      </c>
      <c r="D11" s="223" t="s">
        <v>28</v>
      </c>
      <c r="E11" s="223" t="s">
        <v>29</v>
      </c>
      <c r="F11" s="223" t="s">
        <v>30</v>
      </c>
      <c r="G11" s="223" t="s">
        <v>31</v>
      </c>
      <c r="H11" s="224" t="s">
        <v>32</v>
      </c>
      <c r="I11" s="224" t="s">
        <v>33</v>
      </c>
      <c r="J11" s="224" t="s">
        <v>34</v>
      </c>
      <c r="K11" s="224" t="s">
        <v>35</v>
      </c>
      <c r="L11" s="224" t="s">
        <v>36</v>
      </c>
    </row>
    <row r="12" spans="1:13" ht="15" customHeight="1" x14ac:dyDescent="0.35">
      <c r="B12" s="16" t="s">
        <v>118</v>
      </c>
      <c r="C12" s="13">
        <f>'Balance Sheet Source'!C15</f>
        <v>999</v>
      </c>
      <c r="D12" s="25">
        <f t="shared" ref="D12:L12" si="0">C17</f>
        <v>1106</v>
      </c>
      <c r="E12" s="25">
        <f t="shared" si="0"/>
        <v>1384</v>
      </c>
      <c r="F12" s="25">
        <f t="shared" si="0"/>
        <v>1861</v>
      </c>
      <c r="G12" s="25">
        <f t="shared" si="0"/>
        <v>1901</v>
      </c>
      <c r="H12" s="66">
        <f t="shared" si="0"/>
        <v>2597</v>
      </c>
      <c r="I12" s="66">
        <f t="shared" si="0"/>
        <v>2664.4537839999998</v>
      </c>
      <c r="J12" s="66">
        <f t="shared" si="0"/>
        <v>2763.3312679999999</v>
      </c>
      <c r="K12" s="66">
        <f t="shared" si="0"/>
        <v>2890.528968784</v>
      </c>
      <c r="L12" s="66">
        <f t="shared" si="0"/>
        <v>3040.3838744042</v>
      </c>
    </row>
    <row r="13" spans="1:13" ht="15" customHeight="1" x14ac:dyDescent="0.35">
      <c r="B13" s="16" t="s">
        <v>119</v>
      </c>
      <c r="C13" s="177">
        <f>-'CFS Sch III'!D16</f>
        <v>132</v>
      </c>
      <c r="D13" s="13">
        <f>-'CFS Sch III'!E16</f>
        <v>182</v>
      </c>
      <c r="E13" s="13">
        <f>-'CFS Sch III'!F16</f>
        <v>153</v>
      </c>
      <c r="F13" s="13">
        <f>-'CFS Sch III'!G16</f>
        <v>161</v>
      </c>
      <c r="G13" s="13">
        <f>-'CFS Sch III'!H16</f>
        <v>319</v>
      </c>
      <c r="H13" s="18">
        <f>H19*H28</f>
        <v>353.12378400000006</v>
      </c>
      <c r="I13" s="18">
        <f>I19*I28</f>
        <v>391.96740024000007</v>
      </c>
      <c r="J13" s="18">
        <f>J19*J28</f>
        <v>431.16414026400014</v>
      </c>
      <c r="K13" s="18">
        <f>K19*K28</f>
        <v>467.81309218644014</v>
      </c>
      <c r="L13" s="18">
        <f>L19*L28</f>
        <v>502.89907410042309</v>
      </c>
    </row>
    <row r="14" spans="1:13" ht="15" customHeight="1" x14ac:dyDescent="0.35">
      <c r="B14" s="16" t="s">
        <v>120</v>
      </c>
      <c r="C14" s="10">
        <f>'Income Statement Source'!D11</f>
        <v>-139</v>
      </c>
      <c r="D14" s="10">
        <f>'Income Statement Source'!E11</f>
        <v>-155</v>
      </c>
      <c r="E14" s="10">
        <f>'Income Statement Source'!F11</f>
        <v>-158</v>
      </c>
      <c r="F14" s="10">
        <f>'Income Statement Source'!G11</f>
        <v>-178</v>
      </c>
      <c r="G14" s="10">
        <f>'Income Statement Source'!H11</f>
        <v>-202</v>
      </c>
      <c r="H14" s="19">
        <f>H24</f>
        <v>-285.67</v>
      </c>
      <c r="I14" s="19">
        <f>I24</f>
        <v>-293.08991623999998</v>
      </c>
      <c r="J14" s="19">
        <f>J24</f>
        <v>-303.96643948000002</v>
      </c>
      <c r="K14" s="19">
        <f>K24</f>
        <v>-317.95818656623999</v>
      </c>
      <c r="L14" s="19">
        <f>L24</f>
        <v>-334.44222618446202</v>
      </c>
    </row>
    <row r="15" spans="1:13" ht="15" customHeight="1" x14ac:dyDescent="0.35">
      <c r="B15" s="16" t="s">
        <v>121</v>
      </c>
      <c r="C15" s="10">
        <f>-'CFS Sch III'!C18</f>
        <v>-5</v>
      </c>
      <c r="D15" s="10">
        <f>-'CFS Sch III'!D18</f>
        <v>-3</v>
      </c>
      <c r="E15" s="10">
        <f>-'CFS Sch III'!E18</f>
        <v>-25</v>
      </c>
      <c r="F15" s="10">
        <f>-'CFS Sch III'!F18</f>
        <v>-18</v>
      </c>
      <c r="G15" s="10">
        <f>-'CFS Sch III'!G18</f>
        <v>-39</v>
      </c>
      <c r="H15" s="19"/>
      <c r="I15" s="19"/>
      <c r="J15" s="19"/>
      <c r="K15" s="19"/>
      <c r="L15" s="19"/>
    </row>
    <row r="16" spans="1:13" ht="15" customHeight="1" x14ac:dyDescent="0.35">
      <c r="B16" s="16" t="s">
        <v>122</v>
      </c>
      <c r="C16" s="4">
        <f>C17-C12-C13-C14-C15</f>
        <v>119</v>
      </c>
      <c r="D16" s="4">
        <f>D17-D12-D13-D14-D15</f>
        <v>254</v>
      </c>
      <c r="E16" s="4">
        <f>E17-E12-E13-E14-E15</f>
        <v>507</v>
      </c>
      <c r="F16" s="4">
        <f>F17-F12-F13-F14-F15</f>
        <v>75</v>
      </c>
      <c r="G16" s="4">
        <f>G17-G12-G13-G14-G15</f>
        <v>618</v>
      </c>
      <c r="H16" s="19"/>
      <c r="I16" s="19"/>
      <c r="J16" s="19"/>
      <c r="K16" s="19"/>
      <c r="L16" s="19"/>
    </row>
    <row r="17" spans="2:17" ht="15" customHeight="1" thickBot="1" x14ac:dyDescent="0.4">
      <c r="B17" s="50" t="s">
        <v>123</v>
      </c>
      <c r="C17" s="51">
        <f>'Balance Sheet Source'!D15</f>
        <v>1106</v>
      </c>
      <c r="D17" s="51">
        <f>'Balance Sheet Source'!E15</f>
        <v>1384</v>
      </c>
      <c r="E17" s="51">
        <f>'Balance Sheet Source'!F15</f>
        <v>1861</v>
      </c>
      <c r="F17" s="51">
        <f>'Balance Sheet Source'!G15</f>
        <v>1901</v>
      </c>
      <c r="G17" s="51">
        <f>'Balance Sheet Source'!H15</f>
        <v>2597</v>
      </c>
      <c r="H17" s="67">
        <f>SUM(H12:H16)</f>
        <v>2664.4537839999998</v>
      </c>
      <c r="I17" s="67">
        <f>SUM(I12:I16)</f>
        <v>2763.3312679999999</v>
      </c>
      <c r="J17" s="67">
        <f>SUM(J12:J16)</f>
        <v>2890.528968784</v>
      </c>
      <c r="K17" s="67">
        <f>SUM(K12:K16)</f>
        <v>3040.3838744042</v>
      </c>
      <c r="L17" s="67">
        <f>SUM(L12:L16)</f>
        <v>3208.8407223201611</v>
      </c>
    </row>
    <row r="19" spans="2:17" ht="15" customHeight="1" x14ac:dyDescent="0.35">
      <c r="B19" s="16" t="s">
        <v>124</v>
      </c>
      <c r="C19" s="13">
        <f>'Income Statement Source'!D4</f>
        <v>9512</v>
      </c>
      <c r="D19" s="13">
        <f>'Income Statement Source'!E4</f>
        <v>9764</v>
      </c>
      <c r="E19" s="13">
        <f>'Income Statement Source'!F4</f>
        <v>9653</v>
      </c>
      <c r="F19" s="13">
        <f>'Income Statement Source'!G4</f>
        <v>10831</v>
      </c>
      <c r="G19" s="13">
        <f>'Income Statement Source'!H4</f>
        <v>13611</v>
      </c>
      <c r="H19" s="13">
        <f>'Income Statement'!I4</f>
        <v>15353.208000000002</v>
      </c>
      <c r="I19" s="13">
        <f>'Income Statement'!J4</f>
        <v>17042.060880000005</v>
      </c>
      <c r="J19" s="13">
        <f>'Income Statement'!K4</f>
        <v>18746.266968000007</v>
      </c>
      <c r="K19" s="13">
        <f>'Income Statement'!L4</f>
        <v>20339.699660280006</v>
      </c>
      <c r="L19" s="13">
        <f>'Income Statement'!M4</f>
        <v>21865.177134801004</v>
      </c>
      <c r="M19"/>
    </row>
    <row r="20" spans="2:17" ht="15" customHeight="1" x14ac:dyDescent="0.35">
      <c r="B20" s="16" t="s">
        <v>119</v>
      </c>
      <c r="C20" s="150">
        <f>-'CFS Sch III'!D16</f>
        <v>132</v>
      </c>
      <c r="D20" s="150">
        <f>-'CFS Sch III'!E16</f>
        <v>182</v>
      </c>
      <c r="E20" s="150">
        <f>-'CFS Sch III'!F16</f>
        <v>153</v>
      </c>
      <c r="F20" s="150">
        <f>-'CFS Sch III'!G16</f>
        <v>161</v>
      </c>
      <c r="G20" s="150">
        <f>-'CFS Sch III'!H16</f>
        <v>319</v>
      </c>
      <c r="H20" s="69">
        <f>H13</f>
        <v>353.12378400000006</v>
      </c>
      <c r="I20" s="69">
        <f>I13</f>
        <v>391.96740024000007</v>
      </c>
      <c r="J20" s="69">
        <f>J13</f>
        <v>431.16414026400014</v>
      </c>
      <c r="K20" s="69">
        <f>K13</f>
        <v>467.81309218644014</v>
      </c>
      <c r="L20" s="69">
        <f>L13</f>
        <v>502.89907410042309</v>
      </c>
      <c r="M20"/>
    </row>
    <row r="21" spans="2:17" ht="15" customHeight="1" x14ac:dyDescent="0.35">
      <c r="B21" s="44" t="s">
        <v>125</v>
      </c>
      <c r="C21" s="45">
        <f t="shared" ref="C21:L21" si="1">C20/C19</f>
        <v>1.3877207737594618E-2</v>
      </c>
      <c r="D21" s="45">
        <f t="shared" si="1"/>
        <v>1.8639901679639491E-2</v>
      </c>
      <c r="E21" s="45">
        <f t="shared" si="1"/>
        <v>1.5849994820263131E-2</v>
      </c>
      <c r="F21" s="45">
        <f t="shared" si="1"/>
        <v>1.4864740097867233E-2</v>
      </c>
      <c r="G21" s="45">
        <f t="shared" si="1"/>
        <v>2.3436926015722576E-2</v>
      </c>
      <c r="H21" s="45">
        <f t="shared" si="1"/>
        <v>2.3E-2</v>
      </c>
      <c r="I21" s="45">
        <f t="shared" si="1"/>
        <v>2.3E-2</v>
      </c>
      <c r="J21" s="45">
        <f t="shared" si="1"/>
        <v>2.3E-2</v>
      </c>
      <c r="K21" s="45">
        <f t="shared" si="1"/>
        <v>2.3E-2</v>
      </c>
      <c r="L21" s="45">
        <f t="shared" si="1"/>
        <v>2.3E-2</v>
      </c>
      <c r="M21"/>
    </row>
    <row r="22" spans="2:17" customFormat="1" ht="15" customHeight="1" x14ac:dyDescent="0.35"/>
    <row r="23" spans="2:17" ht="15" customHeight="1" x14ac:dyDescent="0.35">
      <c r="B23" s="16" t="s">
        <v>127</v>
      </c>
      <c r="C23" s="42">
        <f>C12</f>
        <v>999</v>
      </c>
      <c r="D23" s="42">
        <f>D12</f>
        <v>1106</v>
      </c>
      <c r="E23" s="42">
        <f>E12</f>
        <v>1384</v>
      </c>
      <c r="F23" s="42">
        <f>F12</f>
        <v>1861</v>
      </c>
      <c r="G23" s="42">
        <f>G12</f>
        <v>1901</v>
      </c>
      <c r="H23" s="42">
        <f>H12</f>
        <v>2597</v>
      </c>
      <c r="I23" s="42">
        <f>I12</f>
        <v>2664.4537839999998</v>
      </c>
      <c r="J23" s="42">
        <f>J12</f>
        <v>2763.3312679999999</v>
      </c>
      <c r="K23" s="42">
        <f>K12</f>
        <v>2890.528968784</v>
      </c>
      <c r="L23" s="42">
        <f>L12</f>
        <v>3040.3838744042</v>
      </c>
      <c r="M23"/>
    </row>
    <row r="24" spans="2:17" ht="15" customHeight="1" x14ac:dyDescent="0.35">
      <c r="B24" s="16" t="s">
        <v>120</v>
      </c>
      <c r="C24" s="13">
        <f>'Income Statement Source'!D11</f>
        <v>-139</v>
      </c>
      <c r="D24" s="13">
        <f>'Income Statement Source'!E11</f>
        <v>-155</v>
      </c>
      <c r="E24" s="13">
        <f>'Income Statement Source'!F11</f>
        <v>-158</v>
      </c>
      <c r="F24" s="13">
        <f>'Income Statement Source'!G11</f>
        <v>-178</v>
      </c>
      <c r="G24" s="13">
        <f>'Income Statement Source'!H11</f>
        <v>-202</v>
      </c>
      <c r="H24" s="4">
        <f>H23*H25</f>
        <v>-285.67</v>
      </c>
      <c r="I24" s="4">
        <f>I23*I25</f>
        <v>-293.08991623999998</v>
      </c>
      <c r="J24" s="4">
        <f>J23*J25</f>
        <v>-303.96643948000002</v>
      </c>
      <c r="K24" s="4">
        <f>K23*K25</f>
        <v>-317.95818656623999</v>
      </c>
      <c r="L24" s="4">
        <f>L23*L25</f>
        <v>-334.44222618446202</v>
      </c>
      <c r="M24"/>
    </row>
    <row r="25" spans="2:17" ht="15" customHeight="1" x14ac:dyDescent="0.35">
      <c r="B25" s="44" t="s">
        <v>128</v>
      </c>
      <c r="C25" s="45"/>
      <c r="D25" s="45">
        <f>D24/D23</f>
        <v>-0.14014466546112117</v>
      </c>
      <c r="E25" s="45">
        <f>E24/E23</f>
        <v>-0.11416184971098266</v>
      </c>
      <c r="F25" s="45">
        <f>F24/F23</f>
        <v>-9.5647501343363778E-2</v>
      </c>
      <c r="G25" s="45">
        <f>G24/G23</f>
        <v>-0.10625986322987901</v>
      </c>
      <c r="H25" s="45">
        <f>-H29</f>
        <v>-0.11</v>
      </c>
      <c r="I25" s="45">
        <f>-I29</f>
        <v>-0.11</v>
      </c>
      <c r="J25" s="45">
        <f>-J29</f>
        <v>-0.11</v>
      </c>
      <c r="K25" s="45">
        <f>-K29</f>
        <v>-0.11</v>
      </c>
      <c r="L25" s="45">
        <f>-L29</f>
        <v>-0.11</v>
      </c>
      <c r="M25"/>
    </row>
    <row r="27" spans="2:17" s="22" customFormat="1" ht="15" customHeight="1" x14ac:dyDescent="0.35">
      <c r="B27" s="20" t="s">
        <v>25</v>
      </c>
      <c r="C27" s="21"/>
      <c r="D27" s="21"/>
      <c r="E27" s="21"/>
      <c r="F27" s="21"/>
      <c r="G27" s="21"/>
      <c r="H27" s="46"/>
      <c r="I27" s="46"/>
      <c r="J27" s="46"/>
      <c r="K27" s="46"/>
      <c r="L27" s="46"/>
      <c r="M27" s="17"/>
      <c r="N27" s="17"/>
      <c r="O27" s="17"/>
      <c r="P27" s="17"/>
      <c r="Q27" s="17"/>
    </row>
    <row r="28" spans="2:17" s="22" customFormat="1" ht="15" customHeight="1" x14ac:dyDescent="0.35">
      <c r="B28" s="21" t="s">
        <v>129</v>
      </c>
      <c r="C28" s="23"/>
      <c r="D28" s="23"/>
      <c r="E28" s="23"/>
      <c r="F28" s="23"/>
      <c r="G28" s="21"/>
      <c r="H28" s="178">
        <f t="shared" ref="H28:L29" si="2">CHOOSE($C$3,H32,H36,H40)</f>
        <v>2.3E-2</v>
      </c>
      <c r="I28" s="178">
        <f t="shared" si="2"/>
        <v>2.3E-2</v>
      </c>
      <c r="J28" s="178">
        <f t="shared" si="2"/>
        <v>2.3E-2</v>
      </c>
      <c r="K28" s="178">
        <f t="shared" si="2"/>
        <v>2.3E-2</v>
      </c>
      <c r="L28" s="178">
        <f t="shared" si="2"/>
        <v>2.3E-2</v>
      </c>
      <c r="M28" s="17"/>
      <c r="N28" s="17"/>
      <c r="O28" s="17"/>
      <c r="P28" s="17"/>
      <c r="Q28" s="17"/>
    </row>
    <row r="29" spans="2:17" s="22" customFormat="1" ht="15" customHeight="1" x14ac:dyDescent="0.35">
      <c r="B29" s="21" t="s">
        <v>130</v>
      </c>
      <c r="C29" s="23"/>
      <c r="D29" s="23"/>
      <c r="E29" s="23"/>
      <c r="F29" s="23"/>
      <c r="G29" s="21"/>
      <c r="H29" s="178">
        <f t="shared" si="2"/>
        <v>0.11</v>
      </c>
      <c r="I29" s="178">
        <f t="shared" si="2"/>
        <v>0.11</v>
      </c>
      <c r="J29" s="178">
        <f t="shared" si="2"/>
        <v>0.11</v>
      </c>
      <c r="K29" s="178">
        <f t="shared" si="2"/>
        <v>0.11</v>
      </c>
      <c r="L29" s="178">
        <f t="shared" si="2"/>
        <v>0.11</v>
      </c>
      <c r="M29" s="17"/>
      <c r="N29" s="17"/>
      <c r="O29" s="17"/>
      <c r="P29" s="17"/>
      <c r="Q29" s="17"/>
    </row>
    <row r="30" spans="2:17" s="22" customFormat="1" ht="15" customHeight="1" x14ac:dyDescent="0.35">
      <c r="B30" s="21"/>
      <c r="C30" s="23"/>
      <c r="D30" s="23"/>
      <c r="E30" s="23"/>
      <c r="F30" s="23"/>
      <c r="G30" s="21"/>
      <c r="H30" s="46"/>
      <c r="I30" s="46"/>
      <c r="J30" s="46"/>
      <c r="K30" s="46"/>
      <c r="L30" s="46"/>
      <c r="M30" s="17"/>
      <c r="N30" s="17"/>
      <c r="O30" s="17" t="s">
        <v>18</v>
      </c>
      <c r="P30" s="17"/>
      <c r="Q30" s="17"/>
    </row>
    <row r="31" spans="2:17" s="22" customFormat="1" ht="15" customHeight="1" x14ac:dyDescent="0.35">
      <c r="B31" s="20" t="s">
        <v>90</v>
      </c>
      <c r="C31" s="21"/>
      <c r="D31" s="21"/>
      <c r="E31" s="21"/>
      <c r="F31" s="21"/>
      <c r="G31" s="21"/>
      <c r="H31" s="46"/>
      <c r="I31" s="46"/>
      <c r="J31" s="46"/>
      <c r="K31" s="46"/>
      <c r="L31" s="46"/>
      <c r="M31" s="17"/>
      <c r="N31" s="17"/>
      <c r="O31" s="17"/>
      <c r="P31" s="17"/>
      <c r="Q31" s="17"/>
    </row>
    <row r="32" spans="2:17" s="22" customFormat="1" ht="15" customHeight="1" x14ac:dyDescent="0.35">
      <c r="B32" s="21" t="str">
        <f>B28</f>
        <v>Capex as a % of revenue</v>
      </c>
      <c r="C32" s="23"/>
      <c r="D32" s="24"/>
      <c r="E32" s="24"/>
      <c r="F32" s="24"/>
      <c r="G32" s="21"/>
      <c r="H32" s="148">
        <f>$C$5-0.003</f>
        <v>0.02</v>
      </c>
      <c r="I32" s="148">
        <f>$C$5-0.003</f>
        <v>0.02</v>
      </c>
      <c r="J32" s="148">
        <f>$C$5-0.003</f>
        <v>0.02</v>
      </c>
      <c r="K32" s="148">
        <f>$C$5-0.003</f>
        <v>0.02</v>
      </c>
      <c r="L32" s="148">
        <f>$C$5-0.003</f>
        <v>0.02</v>
      </c>
      <c r="M32" s="17"/>
      <c r="N32" s="17"/>
      <c r="O32" s="17"/>
      <c r="P32" s="17"/>
      <c r="Q32" s="17"/>
    </row>
    <row r="33" spans="2:17" s="22" customFormat="1" ht="15" customHeight="1" x14ac:dyDescent="0.35">
      <c r="B33" s="21" t="s">
        <v>130</v>
      </c>
      <c r="C33" s="23"/>
      <c r="D33" s="24"/>
      <c r="E33" s="24"/>
      <c r="F33" s="24"/>
      <c r="G33" s="21"/>
      <c r="H33" s="148">
        <f>$H$37-0.01</f>
        <v>0.1</v>
      </c>
      <c r="I33" s="148">
        <f>$H$37-0.01</f>
        <v>0.1</v>
      </c>
      <c r="J33" s="148">
        <f>$H$37-0.01</f>
        <v>0.1</v>
      </c>
      <c r="K33" s="148">
        <f>$H$37-0.01</f>
        <v>0.1</v>
      </c>
      <c r="L33" s="148">
        <f>$H$37-0.01</f>
        <v>0.1</v>
      </c>
      <c r="M33" s="17"/>
      <c r="N33" s="17"/>
      <c r="O33" s="17"/>
      <c r="P33" s="17"/>
      <c r="Q33" s="17"/>
    </row>
    <row r="34" spans="2:17" s="22" customFormat="1" ht="15" customHeight="1" x14ac:dyDescent="0.35">
      <c r="B34" s="21"/>
      <c r="C34" s="23"/>
      <c r="D34" s="24"/>
      <c r="E34" s="24"/>
      <c r="F34" s="24"/>
      <c r="G34" s="21"/>
      <c r="H34" s="148"/>
      <c r="I34" s="148"/>
      <c r="J34" s="148"/>
      <c r="K34" s="148"/>
      <c r="L34" s="148"/>
      <c r="M34" s="17"/>
      <c r="N34" s="17"/>
      <c r="O34" s="17"/>
      <c r="P34" s="17"/>
      <c r="Q34" s="17"/>
    </row>
    <row r="35" spans="2:17" s="22" customFormat="1" ht="15" customHeight="1" x14ac:dyDescent="0.35">
      <c r="B35" s="20" t="s">
        <v>91</v>
      </c>
      <c r="C35" s="21"/>
      <c r="D35" s="21"/>
      <c r="E35" s="21"/>
      <c r="F35" s="21"/>
      <c r="G35" s="21"/>
      <c r="H35" s="148"/>
      <c r="I35" s="148"/>
      <c r="J35" s="148"/>
      <c r="K35" s="148"/>
      <c r="L35" s="148"/>
      <c r="M35" s="17"/>
      <c r="N35" s="17"/>
      <c r="O35" s="17"/>
      <c r="P35" s="17"/>
      <c r="Q35" s="17"/>
    </row>
    <row r="36" spans="2:17" s="22" customFormat="1" ht="15" customHeight="1" x14ac:dyDescent="0.35">
      <c r="B36" s="21" t="str">
        <f>B28</f>
        <v>Capex as a % of revenue</v>
      </c>
      <c r="C36" s="23"/>
      <c r="D36" s="24"/>
      <c r="E36" s="24"/>
      <c r="F36" s="24"/>
      <c r="G36" s="21"/>
      <c r="H36" s="148">
        <f>$C$5</f>
        <v>2.3E-2</v>
      </c>
      <c r="I36" s="148">
        <f>$C$5</f>
        <v>2.3E-2</v>
      </c>
      <c r="J36" s="148">
        <f>$C$5</f>
        <v>2.3E-2</v>
      </c>
      <c r="K36" s="148">
        <f>$C$5</f>
        <v>2.3E-2</v>
      </c>
      <c r="L36" s="148">
        <f>$C$5</f>
        <v>2.3E-2</v>
      </c>
      <c r="M36" s="17"/>
      <c r="N36" s="17"/>
      <c r="O36" s="17"/>
      <c r="P36" s="17"/>
      <c r="Q36" s="17"/>
    </row>
    <row r="37" spans="2:17" s="22" customFormat="1" ht="15" customHeight="1" x14ac:dyDescent="0.35">
      <c r="B37" s="21" t="s">
        <v>130</v>
      </c>
      <c r="C37" s="23"/>
      <c r="D37" s="24"/>
      <c r="E37" s="24"/>
      <c r="F37" s="24"/>
      <c r="G37" s="21"/>
      <c r="H37" s="148">
        <f>$C$7</f>
        <v>0.11</v>
      </c>
      <c r="I37" s="148">
        <f>$C$7</f>
        <v>0.11</v>
      </c>
      <c r="J37" s="148">
        <f>$C$7</f>
        <v>0.11</v>
      </c>
      <c r="K37" s="148">
        <f>$C$7</f>
        <v>0.11</v>
      </c>
      <c r="L37" s="148">
        <f>$C$7</f>
        <v>0.11</v>
      </c>
      <c r="M37" s="17"/>
      <c r="N37" s="17"/>
      <c r="O37" s="17"/>
      <c r="P37" s="17"/>
      <c r="Q37" s="17"/>
    </row>
    <row r="38" spans="2:17" s="22" customFormat="1" ht="15" customHeight="1" x14ac:dyDescent="0.35">
      <c r="B38" s="21"/>
      <c r="C38" s="23"/>
      <c r="D38" s="24"/>
      <c r="E38" s="24"/>
      <c r="F38" s="24"/>
      <c r="G38" s="21"/>
      <c r="H38" s="148"/>
      <c r="I38" s="148"/>
      <c r="J38" s="148"/>
      <c r="K38" s="148"/>
      <c r="L38" s="148"/>
      <c r="M38" s="17"/>
      <c r="N38" s="17"/>
      <c r="O38" s="17"/>
      <c r="P38" s="17"/>
      <c r="Q38" s="17"/>
    </row>
    <row r="39" spans="2:17" s="22" customFormat="1" ht="15" customHeight="1" x14ac:dyDescent="0.35">
      <c r="B39" s="20" t="s">
        <v>92</v>
      </c>
      <c r="C39" s="21"/>
      <c r="D39" s="21"/>
      <c r="E39" s="21"/>
      <c r="F39" s="21"/>
      <c r="G39" s="21"/>
      <c r="H39" s="148"/>
      <c r="I39" s="148"/>
      <c r="J39" s="148"/>
      <c r="K39" s="148"/>
      <c r="L39" s="148"/>
      <c r="M39" s="17"/>
      <c r="N39" s="17"/>
      <c r="O39" s="17"/>
      <c r="P39" s="17"/>
      <c r="Q39" s="17"/>
    </row>
    <row r="40" spans="2:17" s="22" customFormat="1" ht="15" customHeight="1" x14ac:dyDescent="0.35">
      <c r="B40" s="21" t="str">
        <f>B28</f>
        <v>Capex as a % of revenue</v>
      </c>
      <c r="C40" s="23"/>
      <c r="D40" s="24"/>
      <c r="E40" s="24"/>
      <c r="F40" s="24"/>
      <c r="G40" s="21"/>
      <c r="H40" s="148">
        <f>$C$5+0.003</f>
        <v>2.5999999999999999E-2</v>
      </c>
      <c r="I40" s="148">
        <f>$C$5+0.003</f>
        <v>2.5999999999999999E-2</v>
      </c>
      <c r="J40" s="148">
        <f>$C$5+0.003</f>
        <v>2.5999999999999999E-2</v>
      </c>
      <c r="K40" s="148">
        <f>$C$5+0.003</f>
        <v>2.5999999999999999E-2</v>
      </c>
      <c r="L40" s="148">
        <f>$C$5+0.003</f>
        <v>2.5999999999999999E-2</v>
      </c>
      <c r="M40" s="17"/>
      <c r="N40" s="17"/>
      <c r="O40" s="17"/>
      <c r="P40" s="17"/>
      <c r="Q40" s="17"/>
    </row>
    <row r="41" spans="2:17" s="22" customFormat="1" ht="15" customHeight="1" x14ac:dyDescent="0.35">
      <c r="B41" s="21" t="s">
        <v>130</v>
      </c>
      <c r="C41" s="47"/>
      <c r="D41" s="47"/>
      <c r="E41" s="47"/>
      <c r="F41" s="47"/>
      <c r="G41" s="47"/>
      <c r="H41" s="148">
        <f>$C$7+0.01</f>
        <v>0.12</v>
      </c>
      <c r="I41" s="148">
        <f>$C$7+0.01</f>
        <v>0.12</v>
      </c>
      <c r="J41" s="148">
        <f>$C$7+0.01</f>
        <v>0.12</v>
      </c>
      <c r="K41" s="148">
        <f>$C$7+0.01</f>
        <v>0.12</v>
      </c>
      <c r="L41" s="148">
        <f>$C$7+0.01</f>
        <v>0.12</v>
      </c>
      <c r="M41" s="17"/>
      <c r="N41" s="17"/>
      <c r="O41" s="17"/>
      <c r="P41" s="17"/>
      <c r="Q41" s="17"/>
    </row>
    <row r="42" spans="2:17" s="22" customFormat="1" ht="15" customHeight="1" x14ac:dyDescent="0.3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7"/>
      <c r="N42" s="17"/>
      <c r="O42" s="17"/>
      <c r="P42" s="17"/>
      <c r="Q42" s="17"/>
    </row>
    <row r="44" spans="2:17" s="22" customFormat="1" ht="15" customHeight="1" x14ac:dyDescent="0.3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7"/>
      <c r="N44" s="17"/>
      <c r="O44" s="17"/>
      <c r="P44" s="17"/>
      <c r="Q44" s="17"/>
    </row>
  </sheetData>
  <sheetProtection sheet="1" objects="1" scenarios="1"/>
  <mergeCells count="1">
    <mergeCell ref="C10:L10"/>
  </mergeCells>
  <dataValidations count="1">
    <dataValidation type="list" allowBlank="1" showInputMessage="1" showErrorMessage="1" sqref="C3" xr:uid="{E96DEE30-9E8F-41A9-AC0C-09E1E73A9C33}">
      <formula1>"1,2,3"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7F5C2-56B6-4D3E-8510-F06D16F7E938}">
  <sheetPr codeName="Sheet12">
    <tabColor rgb="FFFF0000"/>
  </sheetPr>
  <dimension ref="B8"/>
  <sheetViews>
    <sheetView showGridLines="0" workbookViewId="0">
      <selection activeCell="E33" sqref="E33"/>
    </sheetView>
  </sheetViews>
  <sheetFormatPr defaultColWidth="8.7265625" defaultRowHeight="14.5" x14ac:dyDescent="0.35"/>
  <cols>
    <col min="1" max="16384" width="8.7265625" style="122"/>
  </cols>
  <sheetData>
    <row r="8" spans="2:2" ht="92" x14ac:dyDescent="2">
      <c r="B8" s="123" t="s">
        <v>131</v>
      </c>
    </row>
  </sheetData>
  <sheetProtection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8154-5646-4F74-9436-44F68781F817}">
  <sheetPr codeName="Sheet13"/>
  <dimension ref="B1:Q27"/>
  <sheetViews>
    <sheetView showGridLines="0" zoomScale="94" workbookViewId="0">
      <selection activeCell="G4" sqref="G4"/>
    </sheetView>
  </sheetViews>
  <sheetFormatPr defaultRowHeight="14.5" x14ac:dyDescent="0.35"/>
  <cols>
    <col min="1" max="1" width="1.7265625" customWidth="1"/>
    <col min="2" max="2" width="36.81640625" customWidth="1"/>
    <col min="3" max="8" width="10.54296875" customWidth="1"/>
    <col min="9" max="9" width="21.7265625" customWidth="1"/>
    <col min="10" max="13" width="10.54296875" customWidth="1"/>
  </cols>
  <sheetData>
    <row r="1" spans="2:17" ht="37" customHeight="1" x14ac:dyDescent="0.35">
      <c r="B1" s="40" t="s">
        <v>132</v>
      </c>
    </row>
    <row r="2" spans="2:17" ht="15" thickBot="1" x14ac:dyDescent="0.4"/>
    <row r="3" spans="2:17" s="1" customFormat="1" ht="29.5" thickBot="1" x14ac:dyDescent="0.4">
      <c r="B3" s="220" t="s">
        <v>49</v>
      </c>
      <c r="C3" s="221" t="s">
        <v>80</v>
      </c>
      <c r="D3" s="221" t="s">
        <v>27</v>
      </c>
      <c r="E3" s="221" t="s">
        <v>28</v>
      </c>
      <c r="F3" s="221" t="s">
        <v>29</v>
      </c>
      <c r="G3" s="221" t="s">
        <v>30</v>
      </c>
      <c r="H3" s="221" t="s">
        <v>31</v>
      </c>
      <c r="I3" s="221" t="s">
        <v>32</v>
      </c>
      <c r="J3" s="221" t="s">
        <v>33</v>
      </c>
      <c r="K3" s="221" t="s">
        <v>34</v>
      </c>
      <c r="L3" s="221" t="s">
        <v>35</v>
      </c>
      <c r="M3" s="221" t="s">
        <v>36</v>
      </c>
    </row>
    <row r="4" spans="2:17" ht="18" customHeight="1" x14ac:dyDescent="0.35">
      <c r="B4" t="s">
        <v>133</v>
      </c>
      <c r="C4" s="13">
        <f>'Income Statement Source'!C4</f>
        <v>8048</v>
      </c>
      <c r="D4" s="13">
        <f>'Income Statement Source'!D4</f>
        <v>9512</v>
      </c>
      <c r="E4" s="13">
        <f>'Income Statement Source'!E4</f>
        <v>9764</v>
      </c>
      <c r="F4" s="13">
        <f>'Income Statement Source'!F4</f>
        <v>9653</v>
      </c>
      <c r="G4" s="13">
        <f>'Income Statement Source'!G4</f>
        <v>10831</v>
      </c>
      <c r="H4" s="13">
        <f>'Income Statement Source'!H4</f>
        <v>13611</v>
      </c>
      <c r="I4" s="64">
        <f>'IS Assumptions'!I8</f>
        <v>15353.208000000002</v>
      </c>
      <c r="J4" s="64">
        <f>'IS Assumptions'!J8</f>
        <v>17042.060880000005</v>
      </c>
      <c r="K4" s="64">
        <f>'IS Assumptions'!K8</f>
        <v>18746.266968000007</v>
      </c>
      <c r="L4" s="64">
        <f>'IS Assumptions'!L8</f>
        <v>20339.699660280006</v>
      </c>
      <c r="M4" s="64">
        <f>'IS Assumptions'!M8</f>
        <v>21865.177134801004</v>
      </c>
    </row>
    <row r="5" spans="2:17" s="1" customFormat="1" ht="18" customHeight="1" x14ac:dyDescent="0.35">
      <c r="B5" s="2" t="s">
        <v>42</v>
      </c>
      <c r="C5" s="13">
        <f>'Income Statement Source'!C5</f>
        <v>-4270</v>
      </c>
      <c r="D5" s="13">
        <f>'Income Statement Source'!D5</f>
        <v>-5436</v>
      </c>
      <c r="E5" s="13">
        <f>'Income Statement Source'!E5</f>
        <v>-5351</v>
      </c>
      <c r="F5" s="13">
        <f>'Income Statement Source'!F5</f>
        <v>-4748</v>
      </c>
      <c r="G5" s="13">
        <f>'Income Statement Source'!G5</f>
        <v>-5388</v>
      </c>
      <c r="H5" s="13">
        <f>'Income Statement Source'!H5</f>
        <v>-7559</v>
      </c>
      <c r="I5" s="64">
        <f>'IS Assumptions'!I14</f>
        <v>-8198.6130720000019</v>
      </c>
      <c r="J5" s="64">
        <f>'IS Assumptions'!J14</f>
        <v>-9100.4605099200035</v>
      </c>
      <c r="K5" s="64">
        <f>'IS Assumptions'!K14</f>
        <v>-10010.506560912005</v>
      </c>
      <c r="L5" s="64">
        <f>'IS Assumptions'!L14</f>
        <v>-10861.399618589525</v>
      </c>
      <c r="M5" s="64">
        <f>'IS Assumptions'!M14</f>
        <v>-11676.004589983737</v>
      </c>
    </row>
    <row r="6" spans="2:17" ht="18" customHeight="1" x14ac:dyDescent="0.35">
      <c r="B6" s="201" t="s">
        <v>134</v>
      </c>
      <c r="C6" s="202">
        <f t="shared" ref="C6:M6" si="0">SUM(C4:C5)</f>
        <v>3778</v>
      </c>
      <c r="D6" s="202">
        <f t="shared" si="0"/>
        <v>4076</v>
      </c>
      <c r="E6" s="202">
        <f t="shared" si="0"/>
        <v>4413</v>
      </c>
      <c r="F6" s="202">
        <f t="shared" si="0"/>
        <v>4905</v>
      </c>
      <c r="G6" s="202">
        <f t="shared" si="0"/>
        <v>5443</v>
      </c>
      <c r="H6" s="202">
        <f t="shared" si="0"/>
        <v>6052</v>
      </c>
      <c r="I6" s="202">
        <f t="shared" si="0"/>
        <v>7154.5949280000004</v>
      </c>
      <c r="J6" s="202">
        <f t="shared" si="0"/>
        <v>7941.6003700800011</v>
      </c>
      <c r="K6" s="202">
        <f t="shared" si="0"/>
        <v>8735.7604070880025</v>
      </c>
      <c r="L6" s="202">
        <f t="shared" si="0"/>
        <v>9478.3000416904815</v>
      </c>
      <c r="M6" s="202">
        <f t="shared" si="0"/>
        <v>10189.172544817267</v>
      </c>
    </row>
    <row r="7" spans="2:17" ht="18" customHeight="1" x14ac:dyDescent="0.35">
      <c r="B7" s="2" t="s">
        <v>44</v>
      </c>
      <c r="C7" s="13">
        <f>'Income Statement Source'!C7</f>
        <v>-570</v>
      </c>
      <c r="D7" s="13">
        <f>'Income Statement Source'!D7</f>
        <v>-586</v>
      </c>
      <c r="E7" s="13">
        <f>'Income Statement Source'!E7</f>
        <v>-653</v>
      </c>
      <c r="F7" s="13">
        <f>'Income Statement Source'!F7</f>
        <v>-743</v>
      </c>
      <c r="G7" s="13">
        <f>'Income Statement Source'!G7</f>
        <v>-831</v>
      </c>
      <c r="H7" s="13">
        <f>'Income Statement Source'!H7</f>
        <v>-916</v>
      </c>
      <c r="I7" s="64">
        <f>'IS Assumptions'!I20</f>
        <v>-1182.1970160000001</v>
      </c>
      <c r="J7" s="64">
        <f>'IS Assumptions'!J20</f>
        <v>-1312.2386877600004</v>
      </c>
      <c r="K7" s="64">
        <f>'IS Assumptions'!K20</f>
        <v>-1443.4625565360006</v>
      </c>
      <c r="L7" s="64">
        <f>'IS Assumptions'!L20</f>
        <v>-1566.1568738415606</v>
      </c>
      <c r="M7" s="64">
        <f>'IS Assumptions'!M20</f>
        <v>-1683.6186393796772</v>
      </c>
    </row>
    <row r="8" spans="2:17" ht="18" customHeight="1" x14ac:dyDescent="0.35">
      <c r="B8" s="2" t="s">
        <v>135</v>
      </c>
      <c r="C8" s="13">
        <f>'Income Statement Source'!C8</f>
        <v>-698</v>
      </c>
      <c r="D8" s="13">
        <f>'Income Statement Source'!D8</f>
        <v>-796</v>
      </c>
      <c r="E8" s="13">
        <f>'Income Statement Source'!E8</f>
        <v>-842</v>
      </c>
      <c r="F8" s="13">
        <f>'Income Statement Source'!F8</f>
        <v>-952</v>
      </c>
      <c r="G8" s="13">
        <f>'Income Statement Source'!G8</f>
        <v>-1128</v>
      </c>
      <c r="H8" s="13">
        <f>'Income Statement Source'!H8</f>
        <v>-1300</v>
      </c>
      <c r="I8" s="64">
        <f>'IS Assumptions'!I26</f>
        <v>-1458.5547600000002</v>
      </c>
      <c r="J8" s="64">
        <f>'IS Assumptions'!J26</f>
        <v>-1618.9957836000005</v>
      </c>
      <c r="K8" s="64">
        <f>'IS Assumptions'!K26</f>
        <v>-1780.8953619600006</v>
      </c>
      <c r="L8" s="64">
        <f>'IS Assumptions'!L26</f>
        <v>-1932.2714677266006</v>
      </c>
      <c r="M8" s="64">
        <f>'IS Assumptions'!M26</f>
        <v>-2077.1918278060953</v>
      </c>
    </row>
    <row r="9" spans="2:17" ht="18" customHeight="1" x14ac:dyDescent="0.35">
      <c r="B9" s="2" t="s">
        <v>16</v>
      </c>
      <c r="C9" s="13">
        <f>'Income Statement Source'!C9</f>
        <v>-919</v>
      </c>
      <c r="D9" s="13">
        <f>'Income Statement Source'!D9</f>
        <v>-1013</v>
      </c>
      <c r="E9" s="13">
        <f>'Income Statement Source'!E9</f>
        <v>-1108</v>
      </c>
      <c r="F9" s="13">
        <f>'Income Statement Source'!F9</f>
        <v>-1184</v>
      </c>
      <c r="G9" s="13">
        <f>'Income Statement Source'!G9</f>
        <v>-1345</v>
      </c>
      <c r="H9" s="13">
        <f>'Income Statement Source'!H9</f>
        <v>-1508</v>
      </c>
      <c r="I9" s="64">
        <f>'IS Assumptions'!I32</f>
        <v>-1765.6189200000003</v>
      </c>
      <c r="J9" s="64">
        <f>'IS Assumptions'!J32</f>
        <v>-1959.8370012000007</v>
      </c>
      <c r="K9" s="64">
        <f>'IS Assumptions'!K32</f>
        <v>-2155.8207013200008</v>
      </c>
      <c r="L9" s="64">
        <f>'IS Assumptions'!L32</f>
        <v>-2339.0654609322009</v>
      </c>
      <c r="M9" s="64">
        <f>'IS Assumptions'!M32</f>
        <v>-2514.4953705021157</v>
      </c>
    </row>
    <row r="10" spans="2:17" s="1" customFormat="1" ht="18" customHeight="1" x14ac:dyDescent="0.35">
      <c r="B10" s="201" t="s">
        <v>136</v>
      </c>
      <c r="C10" s="202">
        <f t="shared" ref="C10:M10" si="1">SUM(C6:C9)</f>
        <v>1591</v>
      </c>
      <c r="D10" s="202">
        <f t="shared" si="1"/>
        <v>1681</v>
      </c>
      <c r="E10" s="202">
        <f t="shared" si="1"/>
        <v>1810</v>
      </c>
      <c r="F10" s="202">
        <f t="shared" si="1"/>
        <v>2026</v>
      </c>
      <c r="G10" s="202">
        <f t="shared" si="1"/>
        <v>2139</v>
      </c>
      <c r="H10" s="202">
        <f t="shared" si="1"/>
        <v>2328</v>
      </c>
      <c r="I10" s="202">
        <f t="shared" si="1"/>
        <v>2748.224232</v>
      </c>
      <c r="J10" s="202">
        <f t="shared" si="1"/>
        <v>3050.5288975200001</v>
      </c>
      <c r="K10" s="202">
        <f t="shared" si="1"/>
        <v>3355.5817872720008</v>
      </c>
      <c r="L10" s="202">
        <f t="shared" si="1"/>
        <v>3640.8062391901194</v>
      </c>
      <c r="M10" s="202">
        <f t="shared" si="1"/>
        <v>3913.8667071293789</v>
      </c>
      <c r="Q10" s="4"/>
    </row>
    <row r="11" spans="2:17" ht="18" customHeight="1" x14ac:dyDescent="0.35">
      <c r="B11" s="3" t="s">
        <v>137</v>
      </c>
      <c r="C11" s="13">
        <f>'Income Statement Source'!C11</f>
        <v>-139</v>
      </c>
      <c r="D11" s="13">
        <f>'Income Statement Source'!D11</f>
        <v>-139</v>
      </c>
      <c r="E11" s="13">
        <f>'Income Statement Source'!E11</f>
        <v>-155</v>
      </c>
      <c r="F11" s="13">
        <f>'Income Statement Source'!F11</f>
        <v>-158</v>
      </c>
      <c r="G11" s="13">
        <f>'Income Statement Source'!G11</f>
        <v>-178</v>
      </c>
      <c r="H11" s="13">
        <f>'Income Statement Source'!H11</f>
        <v>-202</v>
      </c>
      <c r="I11" s="64">
        <f>'PP&amp;E'!H14</f>
        <v>-285.67</v>
      </c>
      <c r="J11" s="64">
        <f>'PP&amp;E'!I14</f>
        <v>-293.08991623999998</v>
      </c>
      <c r="K11" s="64">
        <f>'PP&amp;E'!J14</f>
        <v>-303.96643948000002</v>
      </c>
      <c r="L11" s="64">
        <f>'PP&amp;E'!K14</f>
        <v>-317.95818656623999</v>
      </c>
      <c r="M11" s="64">
        <f>'PP&amp;E'!L14</f>
        <v>-334.44222618446202</v>
      </c>
      <c r="Q11" s="4"/>
    </row>
    <row r="12" spans="2:17" s="1" customFormat="1" ht="18" customHeight="1" x14ac:dyDescent="0.35">
      <c r="B12" s="201" t="s">
        <v>138</v>
      </c>
      <c r="C12" s="202">
        <f t="shared" ref="C12:M12" si="2">SUM(C10:C11)</f>
        <v>1452</v>
      </c>
      <c r="D12" s="202">
        <f t="shared" si="2"/>
        <v>1542</v>
      </c>
      <c r="E12" s="202">
        <f t="shared" si="2"/>
        <v>1655</v>
      </c>
      <c r="F12" s="202">
        <f t="shared" si="2"/>
        <v>1868</v>
      </c>
      <c r="G12" s="202">
        <f t="shared" si="2"/>
        <v>1961</v>
      </c>
      <c r="H12" s="202">
        <f t="shared" si="2"/>
        <v>2126</v>
      </c>
      <c r="I12" s="202">
        <f t="shared" si="2"/>
        <v>2462.554232</v>
      </c>
      <c r="J12" s="202">
        <f t="shared" si="2"/>
        <v>2757.43898128</v>
      </c>
      <c r="K12" s="202">
        <f t="shared" si="2"/>
        <v>3051.6153477920006</v>
      </c>
      <c r="L12" s="202">
        <f t="shared" si="2"/>
        <v>3322.8480526238795</v>
      </c>
      <c r="M12" s="202">
        <f t="shared" si="2"/>
        <v>3579.4244809449169</v>
      </c>
    </row>
    <row r="13" spans="2:17" s="1" customFormat="1" ht="18" customHeight="1" x14ac:dyDescent="0.35">
      <c r="B13" t="s">
        <v>113</v>
      </c>
      <c r="C13" s="13">
        <f>'Income Statement Source'!C13</f>
        <v>94</v>
      </c>
      <c r="D13" s="13">
        <f>'Income Statement Source'!D13</f>
        <v>98</v>
      </c>
      <c r="E13" s="13">
        <f>'Income Statement Source'!E13</f>
        <v>144</v>
      </c>
      <c r="F13" s="13">
        <f>'Income Statement Source'!F13</f>
        <v>142</v>
      </c>
      <c r="G13" s="13">
        <f>'Income Statement Source'!G13</f>
        <v>208</v>
      </c>
      <c r="H13" s="13">
        <f>'Income Statement Source'!H13</f>
        <v>204</v>
      </c>
      <c r="I13" s="64">
        <f>'Other Income'!I8</f>
        <v>231.89500000000001</v>
      </c>
      <c r="J13" s="64">
        <f>'Other Income'!J8</f>
        <v>333.75756279553349</v>
      </c>
      <c r="K13" s="64">
        <f>'Other Income'!K8</f>
        <v>420.29427980835817</v>
      </c>
      <c r="L13" s="64">
        <f>'Other Income'!L8</f>
        <v>517.45544931476422</v>
      </c>
      <c r="M13" s="64">
        <f>'Other Income'!M8</f>
        <v>626.22026896334546</v>
      </c>
    </row>
    <row r="14" spans="2:17" ht="18" customHeight="1" x14ac:dyDescent="0.35">
      <c r="B14" s="3" t="s">
        <v>139</v>
      </c>
      <c r="C14" s="13">
        <f>'Income Statement Source'!C14</f>
        <v>-34</v>
      </c>
      <c r="D14" s="13">
        <f>'Income Statement Source'!D14</f>
        <v>-39</v>
      </c>
      <c r="E14" s="13">
        <f>'Income Statement Source'!E14</f>
        <v>-56</v>
      </c>
      <c r="F14" s="13">
        <f>'Income Statement Source'!F14</f>
        <v>-73</v>
      </c>
      <c r="G14" s="13">
        <f>'Income Statement Source'!G14</f>
        <v>-53</v>
      </c>
      <c r="H14" s="13">
        <f>'Income Statement Source'!H14</f>
        <v>-53</v>
      </c>
      <c r="I14" s="64">
        <f>'Finance Costs'!I17</f>
        <v>-54.143160000000002</v>
      </c>
      <c r="J14" s="64">
        <f>'Finance Costs'!J17</f>
        <v>-56.561867600000006</v>
      </c>
      <c r="K14" s="64">
        <f>'Finance Costs'!K17</f>
        <v>-58.953785960000005</v>
      </c>
      <c r="L14" s="64">
        <f>'Finance Costs'!L17</f>
        <v>-61.278438380600008</v>
      </c>
      <c r="M14" s="64">
        <f>'Finance Costs'!M17</f>
        <v>-63.477097042745001</v>
      </c>
    </row>
    <row r="15" spans="2:17" s="1" customFormat="1" ht="18" customHeight="1" x14ac:dyDescent="0.35">
      <c r="B15" s="201" t="s">
        <v>140</v>
      </c>
      <c r="C15" s="202">
        <f t="shared" ref="C15:M15" si="3">SUM(C12:C14)</f>
        <v>1512</v>
      </c>
      <c r="D15" s="202">
        <f t="shared" si="3"/>
        <v>1601</v>
      </c>
      <c r="E15" s="202">
        <f t="shared" si="3"/>
        <v>1743</v>
      </c>
      <c r="F15" s="202">
        <f t="shared" si="3"/>
        <v>1937</v>
      </c>
      <c r="G15" s="202">
        <f t="shared" si="3"/>
        <v>2116</v>
      </c>
      <c r="H15" s="202">
        <f t="shared" si="3"/>
        <v>2277</v>
      </c>
      <c r="I15" s="202">
        <f t="shared" si="3"/>
        <v>2640.3060719999999</v>
      </c>
      <c r="J15" s="202">
        <f t="shared" si="3"/>
        <v>3034.6346764755335</v>
      </c>
      <c r="K15" s="202">
        <f t="shared" si="3"/>
        <v>3412.9558416403588</v>
      </c>
      <c r="L15" s="202">
        <f t="shared" si="3"/>
        <v>3779.0250635580437</v>
      </c>
      <c r="M15" s="202">
        <f t="shared" si="3"/>
        <v>4142.1676528655171</v>
      </c>
      <c r="N15" s="7"/>
      <c r="O15" s="7"/>
      <c r="P15" s="7"/>
    </row>
    <row r="16" spans="2:17" s="1" customFormat="1" ht="18" customHeight="1" x14ac:dyDescent="0.35">
      <c r="B16" s="3" t="s">
        <v>46</v>
      </c>
      <c r="C16" s="13">
        <f>'Income Statement Source'!C16</f>
        <v>-324</v>
      </c>
      <c r="D16" s="13">
        <f>'Income Statement Source'!D16</f>
        <v>-346</v>
      </c>
      <c r="E16" s="13">
        <f>'Income Statement Source'!E16</f>
        <v>-421</v>
      </c>
      <c r="F16" s="13">
        <f>'Income Statement Source'!F16</f>
        <v>-435</v>
      </c>
      <c r="G16" s="13">
        <f>'Income Statement Source'!G16</f>
        <v>-458</v>
      </c>
      <c r="H16" s="13">
        <f>'Income Statement Source'!H16</f>
        <v>-464</v>
      </c>
      <c r="I16" s="64">
        <f>'IS Assumptions'!I38</f>
        <v>-580.86733584000001</v>
      </c>
      <c r="J16" s="64">
        <f>'IS Assumptions'!J38</f>
        <v>-667.61962882461739</v>
      </c>
      <c r="K16" s="64">
        <f>'IS Assumptions'!K38</f>
        <v>-750.85028516087891</v>
      </c>
      <c r="L16" s="64">
        <f>'IS Assumptions'!L38</f>
        <v>-831.38551398276957</v>
      </c>
      <c r="M16" s="64">
        <f>'IS Assumptions'!M38</f>
        <v>-911.27688363041375</v>
      </c>
      <c r="N16" s="7"/>
      <c r="O16" s="7"/>
      <c r="P16" s="7"/>
    </row>
    <row r="17" spans="2:16" s="1" customFormat="1" ht="18" customHeight="1" x14ac:dyDescent="0.35">
      <c r="B17" s="3" t="s">
        <v>141</v>
      </c>
      <c r="C17" s="8">
        <f t="shared" ref="C17:M17" si="4">C16/C15</f>
        <v>-0.21428571428571427</v>
      </c>
      <c r="D17" s="8">
        <f t="shared" si="4"/>
        <v>-0.21611492816989381</v>
      </c>
      <c r="E17" s="8">
        <f t="shared" si="4"/>
        <v>-0.24153757888697647</v>
      </c>
      <c r="F17" s="8">
        <f t="shared" si="4"/>
        <v>-0.22457408363448633</v>
      </c>
      <c r="G17" s="8">
        <f t="shared" si="4"/>
        <v>-0.21644612476370512</v>
      </c>
      <c r="H17" s="8">
        <f t="shared" si="4"/>
        <v>-0.20377689942907334</v>
      </c>
      <c r="I17" s="114">
        <f t="shared" si="4"/>
        <v>-0.22000000000000003</v>
      </c>
      <c r="J17" s="114">
        <f t="shared" si="4"/>
        <v>-0.22</v>
      </c>
      <c r="K17" s="114">
        <f t="shared" si="4"/>
        <v>-0.22</v>
      </c>
      <c r="L17" s="114">
        <f t="shared" si="4"/>
        <v>-0.21999999999999997</v>
      </c>
      <c r="M17" s="114">
        <f t="shared" si="4"/>
        <v>-0.22</v>
      </c>
      <c r="N17" s="7"/>
      <c r="O17" s="7"/>
      <c r="P17" s="7"/>
    </row>
    <row r="18" spans="2:16" ht="18" customHeight="1" thickBot="1" x14ac:dyDescent="0.4">
      <c r="B18" s="207" t="s">
        <v>142</v>
      </c>
      <c r="C18" s="208">
        <f t="shared" ref="C18:M18" si="5">SUM(C15:C16)</f>
        <v>1188</v>
      </c>
      <c r="D18" s="208">
        <f t="shared" si="5"/>
        <v>1255</v>
      </c>
      <c r="E18" s="208">
        <f t="shared" si="5"/>
        <v>1322</v>
      </c>
      <c r="F18" s="208">
        <f t="shared" si="5"/>
        <v>1502</v>
      </c>
      <c r="G18" s="208">
        <f t="shared" si="5"/>
        <v>1658</v>
      </c>
      <c r="H18" s="208">
        <f t="shared" si="5"/>
        <v>1813</v>
      </c>
      <c r="I18" s="208">
        <f t="shared" si="5"/>
        <v>2059.4387361599997</v>
      </c>
      <c r="J18" s="208">
        <f t="shared" si="5"/>
        <v>2367.0150476509161</v>
      </c>
      <c r="K18" s="208">
        <f t="shared" si="5"/>
        <v>2662.1055564794797</v>
      </c>
      <c r="L18" s="208">
        <f t="shared" si="5"/>
        <v>2947.639549575274</v>
      </c>
      <c r="M18" s="208">
        <f t="shared" si="5"/>
        <v>3230.8907692351031</v>
      </c>
    </row>
    <row r="19" spans="2:16" s="1" customFormat="1" x14ac:dyDescent="0.35">
      <c r="B19"/>
      <c r="C19"/>
      <c r="D19"/>
      <c r="E19"/>
      <c r="F19"/>
      <c r="G19"/>
      <c r="H19"/>
      <c r="I19" s="179"/>
      <c r="J19" s="179"/>
      <c r="K19" s="179"/>
      <c r="L19" s="179"/>
      <c r="M19" s="179"/>
    </row>
    <row r="20" spans="2:16" x14ac:dyDescent="0.35">
      <c r="B20" t="s">
        <v>143</v>
      </c>
      <c r="I20" s="95"/>
      <c r="J20" s="95"/>
      <c r="K20" s="95"/>
      <c r="L20" s="95"/>
      <c r="M20" s="95"/>
    </row>
    <row r="21" spans="2:16" s="1" customFormat="1" x14ac:dyDescent="0.35">
      <c r="B21" t="s">
        <v>144</v>
      </c>
      <c r="C21" s="42">
        <f t="shared" ref="C21:M21" si="6">C18-C22</f>
        <v>1161</v>
      </c>
      <c r="D21" s="42">
        <f t="shared" si="6"/>
        <v>1225</v>
      </c>
      <c r="E21" s="42">
        <f t="shared" si="6"/>
        <v>1302</v>
      </c>
      <c r="F21" s="42">
        <f t="shared" si="6"/>
        <v>1481</v>
      </c>
      <c r="G21" s="42">
        <f t="shared" si="6"/>
        <v>1629</v>
      </c>
      <c r="H21" s="42">
        <f t="shared" si="6"/>
        <v>1762</v>
      </c>
      <c r="I21" s="180">
        <f t="shared" si="6"/>
        <v>2001.5063723739215</v>
      </c>
      <c r="J21" s="180">
        <f t="shared" si="6"/>
        <v>2300.4305096309508</v>
      </c>
      <c r="K21" s="180">
        <f t="shared" si="6"/>
        <v>2587.2200719894336</v>
      </c>
      <c r="L21" s="180">
        <f t="shared" si="6"/>
        <v>2864.7219450367529</v>
      </c>
      <c r="M21" s="180">
        <f t="shared" si="6"/>
        <v>3140.0052594551858</v>
      </c>
    </row>
    <row r="22" spans="2:16" x14ac:dyDescent="0.35">
      <c r="B22" t="s">
        <v>145</v>
      </c>
      <c r="C22" s="13">
        <f>'Income Statement Source'!C21</f>
        <v>27</v>
      </c>
      <c r="D22" s="13">
        <f>'Income Statement Source'!D21</f>
        <v>30</v>
      </c>
      <c r="E22" s="13">
        <f>'Income Statement Source'!E21</f>
        <v>20</v>
      </c>
      <c r="F22" s="13">
        <f>'Income Statement Source'!F21</f>
        <v>21</v>
      </c>
      <c r="G22" s="13">
        <f>'Income Statement Source'!G21</f>
        <v>29</v>
      </c>
      <c r="H22" s="13">
        <f>'Income Statement Source'!H21</f>
        <v>51</v>
      </c>
      <c r="I22" s="90">
        <f>I18*I23</f>
        <v>57.932363786078319</v>
      </c>
      <c r="J22" s="90">
        <f>J18*J23</f>
        <v>66.584538019965095</v>
      </c>
      <c r="K22" s="90">
        <f>K18*K23</f>
        <v>74.885484490046039</v>
      </c>
      <c r="L22" s="90">
        <f>L18*L23</f>
        <v>82.917604538521218</v>
      </c>
      <c r="M22" s="90">
        <f>M18*M23</f>
        <v>90.885509779917413</v>
      </c>
    </row>
    <row r="23" spans="2:16" x14ac:dyDescent="0.35">
      <c r="B23" s="209" t="s">
        <v>146</v>
      </c>
      <c r="C23" s="209">
        <f t="shared" ref="C23:H23" si="7">C22/C18</f>
        <v>2.2727272727272728E-2</v>
      </c>
      <c r="D23" s="209">
        <f t="shared" si="7"/>
        <v>2.3904382470119521E-2</v>
      </c>
      <c r="E23" s="209">
        <f t="shared" si="7"/>
        <v>1.5128593040847202E-2</v>
      </c>
      <c r="F23" s="209">
        <f t="shared" si="7"/>
        <v>1.3981358189081226E-2</v>
      </c>
      <c r="G23" s="209">
        <f t="shared" si="7"/>
        <v>1.7490952955367914E-2</v>
      </c>
      <c r="H23" s="209">
        <f t="shared" si="7"/>
        <v>2.8130170987313845E-2</v>
      </c>
      <c r="I23" s="209">
        <f>$H$23</f>
        <v>2.8130170987313845E-2</v>
      </c>
      <c r="J23" s="209">
        <f>$H$23</f>
        <v>2.8130170987313845E-2</v>
      </c>
      <c r="K23" s="209">
        <f>$H$23</f>
        <v>2.8130170987313845E-2</v>
      </c>
      <c r="L23" s="209">
        <f>$H$23</f>
        <v>2.8130170987313845E-2</v>
      </c>
      <c r="M23" s="209">
        <f>$H$23</f>
        <v>2.8130170987313845E-2</v>
      </c>
    </row>
    <row r="27" spans="2:16" x14ac:dyDescent="0.35">
      <c r="C27" s="4"/>
      <c r="D27" s="4"/>
      <c r="E27" s="4"/>
      <c r="F27" s="4"/>
      <c r="G27" s="4"/>
      <c r="H27" s="4"/>
    </row>
  </sheetData>
  <sheetProtection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6832-8637-495B-A4DD-BEA9608E5886}">
  <sheetPr codeName="Sheet14"/>
  <dimension ref="B1:P45"/>
  <sheetViews>
    <sheetView showGridLines="0" zoomScale="79" workbookViewId="0">
      <pane xSplit="2" ySplit="3" topLeftCell="C4" activePane="bottomRight" state="frozen"/>
      <selection pane="topRight" activeCell="I40" sqref="I40"/>
      <selection pane="bottomLeft" activeCell="I40" sqref="I40"/>
      <selection pane="bottomRight" activeCell="E15" sqref="E15"/>
    </sheetView>
  </sheetViews>
  <sheetFormatPr defaultColWidth="8.7265625" defaultRowHeight="14.5" x14ac:dyDescent="0.35"/>
  <cols>
    <col min="1" max="1" width="6.54296875" style="17" customWidth="1"/>
    <col min="2" max="2" width="47.7265625" style="17" customWidth="1"/>
    <col min="3" max="9" width="14.54296875" style="17" customWidth="1"/>
    <col min="10" max="13" width="12.54296875" style="17" customWidth="1"/>
    <col min="14" max="16" width="9.54296875" style="17" customWidth="1"/>
    <col min="17" max="16384" width="8.7265625" style="17"/>
  </cols>
  <sheetData>
    <row r="1" spans="2:16" ht="49.5" customHeight="1" x14ac:dyDescent="0.35">
      <c r="B1" s="41" t="s">
        <v>147</v>
      </c>
      <c r="C1" s="41"/>
    </row>
    <row r="2" spans="2:16" ht="15" thickBot="1" x14ac:dyDescent="0.4"/>
    <row r="3" spans="2:16" ht="32.15" customHeight="1" thickBot="1" x14ac:dyDescent="0.4">
      <c r="B3" s="220" t="s">
        <v>49</v>
      </c>
      <c r="C3" s="221" t="s">
        <v>80</v>
      </c>
      <c r="D3" s="221" t="s">
        <v>27</v>
      </c>
      <c r="E3" s="221" t="s">
        <v>28</v>
      </c>
      <c r="F3" s="221" t="s">
        <v>29</v>
      </c>
      <c r="G3" s="221" t="s">
        <v>30</v>
      </c>
      <c r="H3" s="221" t="s">
        <v>31</v>
      </c>
      <c r="I3" s="221" t="s">
        <v>32</v>
      </c>
      <c r="J3" s="221" t="s">
        <v>33</v>
      </c>
      <c r="K3" s="221" t="s">
        <v>34</v>
      </c>
      <c r="L3" s="221" t="s">
        <v>35</v>
      </c>
      <c r="M3" s="221" t="s">
        <v>36</v>
      </c>
      <c r="N3"/>
      <c r="O3"/>
      <c r="P3"/>
    </row>
    <row r="4" spans="2:16" ht="15" customHeight="1" x14ac:dyDescent="0.35">
      <c r="B4" s="36" t="s">
        <v>148</v>
      </c>
      <c r="C4" s="36"/>
      <c r="D4" s="27"/>
      <c r="E4" s="27"/>
      <c r="F4" s="27"/>
      <c r="G4" s="27"/>
      <c r="H4" s="27"/>
      <c r="I4" s="75"/>
      <c r="J4" s="133"/>
      <c r="K4" s="133"/>
      <c r="L4" s="133"/>
      <c r="M4" s="133"/>
    </row>
    <row r="5" spans="2:16" ht="15" customHeight="1" x14ac:dyDescent="0.35">
      <c r="B5" s="36" t="s">
        <v>149</v>
      </c>
      <c r="C5" s="36"/>
      <c r="D5" s="27"/>
      <c r="E5" s="27"/>
      <c r="F5" s="27"/>
      <c r="G5" s="27"/>
      <c r="H5" s="27"/>
      <c r="I5" s="75"/>
      <c r="J5" s="133"/>
      <c r="K5" s="133"/>
      <c r="L5" s="133"/>
      <c r="M5" s="133"/>
    </row>
    <row r="6" spans="2:16" ht="15" customHeight="1" x14ac:dyDescent="0.35">
      <c r="B6" s="27" t="s">
        <v>150</v>
      </c>
      <c r="C6" s="13">
        <f>'Balance Sheet Source'!C6</f>
        <v>1572</v>
      </c>
      <c r="D6" s="13">
        <f>'Balance Sheet Source'!D6</f>
        <v>1220</v>
      </c>
      <c r="E6" s="13">
        <f>'Balance Sheet Source'!E6</f>
        <v>1334</v>
      </c>
      <c r="F6" s="13">
        <f>'Balance Sheet Source'!F6</f>
        <v>1202</v>
      </c>
      <c r="G6" s="13">
        <f>'Balance Sheet Source'!G6</f>
        <v>2152</v>
      </c>
      <c r="H6" s="13">
        <f>'Balance Sheet Source'!H6</f>
        <v>2441</v>
      </c>
      <c r="I6" s="64">
        <f>H6+'Cash Flow'!I24</f>
        <v>3513.2375031108786</v>
      </c>
      <c r="J6" s="64">
        <f>I6+'Cash Flow'!J24</f>
        <v>4424.1503137721911</v>
      </c>
      <c r="K6" s="64">
        <f>J6+'Cash Flow'!K24</f>
        <v>5446.8994664712027</v>
      </c>
      <c r="L6" s="64">
        <f>K6+'Cash Flow'!L24</f>
        <v>6591.7923048773209</v>
      </c>
      <c r="M6" s="64">
        <f>L6+'Cash Flow'!M24</f>
        <v>7858.6612407140456</v>
      </c>
    </row>
    <row r="7" spans="2:16" ht="15" customHeight="1" x14ac:dyDescent="0.35">
      <c r="B7" s="27" t="s">
        <v>151</v>
      </c>
      <c r="C7" s="13">
        <f>'Balance Sheet Source'!C7</f>
        <v>388</v>
      </c>
      <c r="D7" s="13">
        <f>'BS Sch III'!D22</f>
        <v>652</v>
      </c>
      <c r="E7" s="13">
        <f>'BS Sch III'!E22</f>
        <v>1015</v>
      </c>
      <c r="F7" s="13">
        <f>'BS Sch III'!F22</f>
        <v>1069</v>
      </c>
      <c r="G7" s="13">
        <f>'BS Sch III'!G22</f>
        <v>1271</v>
      </c>
      <c r="H7" s="13">
        <f>'BS Sch III'!H22</f>
        <v>1304</v>
      </c>
      <c r="I7" s="64">
        <f>'Working Capital'!I5</f>
        <v>1383.6126336812456</v>
      </c>
      <c r="J7" s="64">
        <f>'Working Capital'!J5</f>
        <v>1535.8100233861828</v>
      </c>
      <c r="K7" s="64">
        <f>'Working Capital'!K5</f>
        <v>1689.3910257248012</v>
      </c>
      <c r="L7" s="64">
        <f>'Working Capital'!L5</f>
        <v>1832.9892629114092</v>
      </c>
      <c r="M7" s="64">
        <f>'Working Capital'!M5</f>
        <v>1970.4634576297647</v>
      </c>
    </row>
    <row r="8" spans="2:16" ht="15" customHeight="1" x14ac:dyDescent="0.35">
      <c r="B8" s="27" t="s">
        <v>152</v>
      </c>
      <c r="C8" s="13">
        <f>'Balance Sheet Source'!C8</f>
        <v>1126</v>
      </c>
      <c r="D8" s="13">
        <f>'BS Sch III'!D21</f>
        <v>1412</v>
      </c>
      <c r="E8" s="13">
        <f>'BS Sch III'!E21</f>
        <v>1225</v>
      </c>
      <c r="F8" s="13">
        <f>'BS Sch III'!F21</f>
        <v>1336</v>
      </c>
      <c r="G8" s="13">
        <f>'BS Sch III'!G21</f>
        <v>1235</v>
      </c>
      <c r="H8" s="13">
        <f>'BS Sch III'!H21</f>
        <v>1611</v>
      </c>
      <c r="I8" s="64">
        <f>'Working Capital'!I6</f>
        <v>1928.9318268768591</v>
      </c>
      <c r="J8" s="64">
        <f>'Working Capital'!J6</f>
        <v>2141.1143278333138</v>
      </c>
      <c r="K8" s="64">
        <f>'Working Capital'!K6</f>
        <v>2355.2257606166454</v>
      </c>
      <c r="L8" s="64">
        <f>'Working Capital'!L6</f>
        <v>2555.4199502690603</v>
      </c>
      <c r="M8" s="64">
        <f>'Working Capital'!M6</f>
        <v>2747.0764465392394</v>
      </c>
    </row>
    <row r="9" spans="2:16" ht="15" customHeight="1" x14ac:dyDescent="0.35">
      <c r="B9" s="27" t="s">
        <v>153</v>
      </c>
      <c r="C9" s="13">
        <f>'Balance Sheet Source'!C9</f>
        <v>11</v>
      </c>
      <c r="D9" s="13">
        <f>SUM('BS Sch III'!D26:D27)</f>
        <v>7</v>
      </c>
      <c r="E9" s="13">
        <f>SUM('BS Sch III'!E26:E27)</f>
        <v>8</v>
      </c>
      <c r="F9" s="13">
        <f>SUM('BS Sch III'!F26:F27)</f>
        <v>11</v>
      </c>
      <c r="G9" s="13">
        <f>SUM('BS Sch III'!G26:G27)</f>
        <v>10</v>
      </c>
      <c r="H9" s="13">
        <f>SUM('BS Sch III'!H26:H27)</f>
        <v>13</v>
      </c>
      <c r="I9" s="64">
        <f>'BS Assumptions'!I11</f>
        <v>13</v>
      </c>
      <c r="J9" s="64">
        <f>'BS Assumptions'!J11</f>
        <v>13</v>
      </c>
      <c r="K9" s="64">
        <f>'BS Assumptions'!K11</f>
        <v>13</v>
      </c>
      <c r="L9" s="64">
        <f>'BS Assumptions'!L11</f>
        <v>13</v>
      </c>
      <c r="M9" s="64">
        <f>'BS Assumptions'!M11</f>
        <v>13</v>
      </c>
    </row>
    <row r="10" spans="2:16" ht="15" customHeight="1" x14ac:dyDescent="0.35">
      <c r="B10" s="27" t="s">
        <v>50</v>
      </c>
      <c r="C10" s="13">
        <f>'Balance Sheet Source'!C10</f>
        <v>224</v>
      </c>
      <c r="D10" s="13">
        <f>'BS Sch III'!D29</f>
        <v>213</v>
      </c>
      <c r="E10" s="13">
        <f>'BS Sch III'!E29</f>
        <v>229</v>
      </c>
      <c r="F10" s="13">
        <f>'BS Sch III'!F29</f>
        <v>378</v>
      </c>
      <c r="G10" s="13">
        <f>'BS Sch III'!G29</f>
        <v>413</v>
      </c>
      <c r="H10" s="13">
        <f>'BS Sch III'!H29</f>
        <v>488</v>
      </c>
      <c r="I10" s="64">
        <f>'BS Assumptions'!I5</f>
        <v>550.46400000000006</v>
      </c>
      <c r="J10" s="64">
        <f>'BS Assumptions'!J5</f>
        <v>611.01504000000023</v>
      </c>
      <c r="K10" s="64">
        <f>'BS Assumptions'!K5</f>
        <v>672.11654400000032</v>
      </c>
      <c r="L10" s="64">
        <f>'BS Assumptions'!L5</f>
        <v>729.24645024000029</v>
      </c>
      <c r="M10" s="64">
        <f>'BS Assumptions'!M5</f>
        <v>783.93993400800014</v>
      </c>
    </row>
    <row r="11" spans="2:16" ht="15" customHeight="1" x14ac:dyDescent="0.35">
      <c r="B11" s="27" t="s">
        <v>154</v>
      </c>
      <c r="C11" s="13">
        <f>'Balance Sheet Source'!C11</f>
        <v>15</v>
      </c>
      <c r="D11" s="13">
        <f>SUM('BS Sch III'!D28,'BS Sch III'!D30)</f>
        <v>1</v>
      </c>
      <c r="E11" s="13">
        <f>SUM('BS Sch III'!E28,'BS Sch III'!E30)</f>
        <v>9</v>
      </c>
      <c r="F11" s="13">
        <f>SUM('BS Sch III'!F28,'BS Sch III'!F30)</f>
        <v>7</v>
      </c>
      <c r="G11" s="13">
        <f>SUM('BS Sch III'!G28,'BS Sch III'!G30)</f>
        <v>2</v>
      </c>
      <c r="H11" s="13">
        <f>SUM('BS Sch III'!H28,'BS Sch III'!H30)</f>
        <v>3</v>
      </c>
      <c r="I11" s="64">
        <f>'BS Assumptions'!I8</f>
        <v>3</v>
      </c>
      <c r="J11" s="64">
        <f>'BS Assumptions'!J8</f>
        <v>3</v>
      </c>
      <c r="K11" s="64">
        <f>'BS Assumptions'!K8</f>
        <v>3</v>
      </c>
      <c r="L11" s="64">
        <f>'BS Assumptions'!L8</f>
        <v>3</v>
      </c>
      <c r="M11" s="64">
        <f>'BS Assumptions'!M8</f>
        <v>3</v>
      </c>
    </row>
    <row r="12" spans="2:16" ht="15" customHeight="1" x14ac:dyDescent="0.35">
      <c r="B12" s="196" t="s">
        <v>155</v>
      </c>
      <c r="C12" s="197">
        <f>SUM(C6:C11)</f>
        <v>3336</v>
      </c>
      <c r="D12" s="197">
        <f t="shared" ref="D12:I12" si="0">SUM(D6:D11)</f>
        <v>3505</v>
      </c>
      <c r="E12" s="197">
        <f t="shared" si="0"/>
        <v>3820</v>
      </c>
      <c r="F12" s="197">
        <f t="shared" si="0"/>
        <v>4003</v>
      </c>
      <c r="G12" s="197">
        <f t="shared" si="0"/>
        <v>5083</v>
      </c>
      <c r="H12" s="197">
        <f t="shared" si="0"/>
        <v>5860</v>
      </c>
      <c r="I12" s="197">
        <f t="shared" si="0"/>
        <v>7392.2459636689837</v>
      </c>
      <c r="J12" s="197">
        <f t="shared" ref="J12" si="1">SUM(J6:J11)</f>
        <v>8728.0897049916894</v>
      </c>
      <c r="K12" s="197">
        <f t="shared" ref="K12" si="2">SUM(K6:K11)</f>
        <v>10179.63279681265</v>
      </c>
      <c r="L12" s="197">
        <f t="shared" ref="L12" si="3">SUM(L6:L11)</f>
        <v>11725.447968297791</v>
      </c>
      <c r="M12" s="197">
        <f t="shared" ref="M12" si="4">SUM(M6:M11)</f>
        <v>13376.141078891049</v>
      </c>
    </row>
    <row r="13" spans="2:16" ht="15" customHeight="1" x14ac:dyDescent="0.35">
      <c r="B13" s="27"/>
      <c r="C13" s="27"/>
      <c r="D13" s="27"/>
      <c r="E13" s="27"/>
      <c r="F13" s="27"/>
      <c r="G13" s="27"/>
      <c r="H13" s="27"/>
      <c r="I13" s="75"/>
      <c r="J13" s="75"/>
      <c r="K13" s="75"/>
      <c r="L13" s="75"/>
      <c r="M13" s="75"/>
    </row>
    <row r="14" spans="2:16" ht="15" customHeight="1" x14ac:dyDescent="0.35">
      <c r="B14" s="36" t="s">
        <v>156</v>
      </c>
      <c r="C14" s="36"/>
      <c r="D14" s="27"/>
      <c r="E14" s="27"/>
      <c r="F14" s="27"/>
      <c r="G14" s="27"/>
      <c r="H14" s="27"/>
      <c r="I14" s="75"/>
      <c r="J14" s="75"/>
      <c r="K14" s="75"/>
      <c r="L14" s="75"/>
      <c r="M14" s="75"/>
    </row>
    <row r="15" spans="2:16" ht="15" customHeight="1" x14ac:dyDescent="0.35">
      <c r="B15" s="27" t="s">
        <v>157</v>
      </c>
      <c r="C15" s="13">
        <f>'Balance Sheet Source'!C15</f>
        <v>999</v>
      </c>
      <c r="D15" s="13">
        <f>'Balance Sheet Source'!D15</f>
        <v>1106</v>
      </c>
      <c r="E15" s="13">
        <f>'Balance Sheet Source'!E15</f>
        <v>1384</v>
      </c>
      <c r="F15" s="13">
        <f>'Balance Sheet Source'!F15</f>
        <v>1861</v>
      </c>
      <c r="G15" s="13">
        <f>'Balance Sheet Source'!G15</f>
        <v>1901</v>
      </c>
      <c r="H15" s="13">
        <f>'Balance Sheet Source'!H15</f>
        <v>2597</v>
      </c>
      <c r="I15" s="64">
        <f>'PP&amp;E'!H17</f>
        <v>2664.4537839999998</v>
      </c>
      <c r="J15" s="64">
        <f>'PP&amp;E'!I17</f>
        <v>2763.3312679999999</v>
      </c>
      <c r="K15" s="64">
        <f>'PP&amp;E'!J17</f>
        <v>2890.528968784</v>
      </c>
      <c r="L15" s="64">
        <f>'PP&amp;E'!K17</f>
        <v>3040.3838744042</v>
      </c>
      <c r="M15" s="64">
        <f>'PP&amp;E'!L17</f>
        <v>3208.8407223201611</v>
      </c>
    </row>
    <row r="16" spans="2:16" ht="15" customHeight="1" x14ac:dyDescent="0.35">
      <c r="B16" s="27" t="s">
        <v>158</v>
      </c>
      <c r="C16" s="13">
        <f>'Balance Sheet Source'!C16</f>
        <v>24</v>
      </c>
      <c r="D16" s="13">
        <f>'Balance Sheet Source'!D16</f>
        <v>39</v>
      </c>
      <c r="E16" s="13">
        <f>'Balance Sheet Source'!E16</f>
        <v>67</v>
      </c>
      <c r="F16" s="13">
        <f>'Balance Sheet Source'!F16</f>
        <v>44</v>
      </c>
      <c r="G16" s="13">
        <f>'Balance Sheet Source'!G16</f>
        <v>40</v>
      </c>
      <c r="H16" s="13">
        <f>'Balance Sheet Source'!H16</f>
        <v>85</v>
      </c>
      <c r="I16" s="64">
        <f>'BS Assumptions'!I14</f>
        <v>85</v>
      </c>
      <c r="J16" s="64">
        <f>'BS Assumptions'!J14</f>
        <v>85</v>
      </c>
      <c r="K16" s="64">
        <f>'BS Assumptions'!K14</f>
        <v>85</v>
      </c>
      <c r="L16" s="64">
        <f>'BS Assumptions'!L14</f>
        <v>85</v>
      </c>
      <c r="M16" s="64">
        <f>'BS Assumptions'!M14</f>
        <v>85</v>
      </c>
    </row>
    <row r="17" spans="2:13" ht="15" customHeight="1" x14ac:dyDescent="0.35">
      <c r="B17" s="27" t="s">
        <v>55</v>
      </c>
      <c r="C17" s="13">
        <f>'Balance Sheet Source'!C17</f>
        <v>613</v>
      </c>
      <c r="D17" s="13">
        <f>'Balance Sheet Source'!D17</f>
        <v>654</v>
      </c>
      <c r="E17" s="13">
        <f>'Balance Sheet Source'!E17</f>
        <v>862</v>
      </c>
      <c r="F17" s="13">
        <f>'Balance Sheet Source'!F17</f>
        <v>863</v>
      </c>
      <c r="G17" s="13">
        <f>'Balance Sheet Source'!G17</f>
        <v>857</v>
      </c>
      <c r="H17" s="13">
        <f>'Balance Sheet Source'!H17</f>
        <v>1036</v>
      </c>
      <c r="I17" s="64">
        <f>'BS Assumptions'!I17</f>
        <v>1036</v>
      </c>
      <c r="J17" s="64">
        <f>'BS Assumptions'!J17</f>
        <v>1036</v>
      </c>
      <c r="K17" s="64">
        <f>'BS Assumptions'!K17</f>
        <v>1036</v>
      </c>
      <c r="L17" s="64">
        <f>'BS Assumptions'!L17</f>
        <v>1036</v>
      </c>
      <c r="M17" s="64">
        <f>'BS Assumptions'!M17</f>
        <v>1036</v>
      </c>
    </row>
    <row r="18" spans="2:13" ht="15" customHeight="1" x14ac:dyDescent="0.35">
      <c r="B18" s="27" t="s">
        <v>153</v>
      </c>
      <c r="C18" s="13">
        <f>'Balance Sheet Source'!C18</f>
        <v>271</v>
      </c>
      <c r="D18" s="13">
        <f>'Balance Sheet Source'!D18</f>
        <v>208</v>
      </c>
      <c r="E18" s="13">
        <f>'Balance Sheet Source'!E18</f>
        <v>554</v>
      </c>
      <c r="F18" s="13">
        <f>'Balance Sheet Source'!F18</f>
        <v>447</v>
      </c>
      <c r="G18" s="13">
        <f>'Balance Sheet Source'!G18</f>
        <v>243</v>
      </c>
      <c r="H18" s="13">
        <f>'Balance Sheet Source'!H18</f>
        <v>166</v>
      </c>
      <c r="I18" s="64">
        <f>'BS Assumptions'!I20</f>
        <v>166</v>
      </c>
      <c r="J18" s="64">
        <f>'BS Assumptions'!J20</f>
        <v>166</v>
      </c>
      <c r="K18" s="64">
        <f>'BS Assumptions'!K20</f>
        <v>166</v>
      </c>
      <c r="L18" s="64">
        <f>'BS Assumptions'!L20</f>
        <v>166</v>
      </c>
      <c r="M18" s="64">
        <f>'BS Assumptions'!M20</f>
        <v>166</v>
      </c>
    </row>
    <row r="19" spans="2:13" ht="15" customHeight="1" x14ac:dyDescent="0.35">
      <c r="B19" s="27" t="s">
        <v>57</v>
      </c>
      <c r="C19" s="13">
        <f>'Balance Sheet Source'!C19</f>
        <v>267</v>
      </c>
      <c r="D19" s="13">
        <f>'Balance Sheet Source'!D19</f>
        <v>274</v>
      </c>
      <c r="E19" s="13">
        <f>'Balance Sheet Source'!E19</f>
        <v>259</v>
      </c>
      <c r="F19" s="13">
        <f>'Balance Sheet Source'!F19</f>
        <v>203</v>
      </c>
      <c r="G19" s="13">
        <f>'Balance Sheet Source'!G19</f>
        <v>214</v>
      </c>
      <c r="H19" s="13">
        <f>'Balance Sheet Source'!H19</f>
        <v>331</v>
      </c>
      <c r="I19" s="64">
        <f>'BS Assumptions'!I23</f>
        <v>331</v>
      </c>
      <c r="J19" s="64">
        <f>'BS Assumptions'!J23</f>
        <v>331</v>
      </c>
      <c r="K19" s="64">
        <f>'BS Assumptions'!K23</f>
        <v>331</v>
      </c>
      <c r="L19" s="64">
        <f>'BS Assumptions'!L23</f>
        <v>331</v>
      </c>
      <c r="M19" s="64">
        <f>'BS Assumptions'!M23</f>
        <v>331</v>
      </c>
    </row>
    <row r="20" spans="2:13" ht="15" customHeight="1" x14ac:dyDescent="0.35">
      <c r="B20" s="196" t="s">
        <v>159</v>
      </c>
      <c r="C20" s="197">
        <f t="shared" ref="C20:H20" si="5">SUM(C15:C19)</f>
        <v>2174</v>
      </c>
      <c r="D20" s="197">
        <f t="shared" si="5"/>
        <v>2281</v>
      </c>
      <c r="E20" s="197">
        <f t="shared" si="5"/>
        <v>3126</v>
      </c>
      <c r="F20" s="197">
        <f t="shared" si="5"/>
        <v>3418</v>
      </c>
      <c r="G20" s="197">
        <f t="shared" si="5"/>
        <v>3255</v>
      </c>
      <c r="H20" s="197">
        <f t="shared" si="5"/>
        <v>4215</v>
      </c>
      <c r="I20" s="197">
        <f t="shared" ref="I20:M20" si="6">SUM(I15:I19)</f>
        <v>4282.4537839999994</v>
      </c>
      <c r="J20" s="197">
        <f t="shared" si="6"/>
        <v>4381.3312679999999</v>
      </c>
      <c r="K20" s="197">
        <f t="shared" si="6"/>
        <v>4508.5289687839995</v>
      </c>
      <c r="L20" s="197">
        <f t="shared" si="6"/>
        <v>4658.3838744042005</v>
      </c>
      <c r="M20" s="197">
        <f t="shared" si="6"/>
        <v>4826.8407223201611</v>
      </c>
    </row>
    <row r="21" spans="2:13" ht="15" customHeight="1" thickBot="1" x14ac:dyDescent="0.4">
      <c r="B21" s="28" t="s">
        <v>160</v>
      </c>
      <c r="C21" s="61">
        <f t="shared" ref="C21:H21" si="7">SUM(C12,C20)</f>
        <v>5510</v>
      </c>
      <c r="D21" s="61">
        <f t="shared" si="7"/>
        <v>5786</v>
      </c>
      <c r="E21" s="61">
        <f t="shared" si="7"/>
        <v>6946</v>
      </c>
      <c r="F21" s="61">
        <f t="shared" si="7"/>
        <v>7421</v>
      </c>
      <c r="G21" s="61">
        <f t="shared" si="7"/>
        <v>8338</v>
      </c>
      <c r="H21" s="61">
        <f t="shared" si="7"/>
        <v>10075</v>
      </c>
      <c r="I21" s="61">
        <f t="shared" ref="I21:M21" si="8">SUM(I12,I20)</f>
        <v>11674.699747668983</v>
      </c>
      <c r="J21" s="61">
        <f t="shared" si="8"/>
        <v>13109.420972991689</v>
      </c>
      <c r="K21" s="61">
        <f t="shared" si="8"/>
        <v>14688.161765596649</v>
      </c>
      <c r="L21" s="61">
        <f t="shared" si="8"/>
        <v>16383.831842701991</v>
      </c>
      <c r="M21" s="61">
        <f t="shared" si="8"/>
        <v>18202.981801211208</v>
      </c>
    </row>
    <row r="22" spans="2:13" ht="15" customHeight="1" x14ac:dyDescent="0.35">
      <c r="B22" s="27"/>
      <c r="C22" s="27"/>
      <c r="D22" s="27"/>
      <c r="E22" s="27"/>
      <c r="F22" s="27"/>
      <c r="G22" s="27"/>
      <c r="H22" s="27"/>
      <c r="I22" s="75"/>
      <c r="J22" s="75"/>
      <c r="K22" s="75"/>
      <c r="L22" s="75"/>
      <c r="M22" s="75"/>
    </row>
    <row r="23" spans="2:13" ht="15" customHeight="1" x14ac:dyDescent="0.35">
      <c r="B23" s="36" t="s">
        <v>161</v>
      </c>
      <c r="C23" s="36"/>
      <c r="D23" s="27"/>
      <c r="E23" s="27"/>
      <c r="F23" s="27"/>
      <c r="G23" s="27"/>
      <c r="H23" s="27"/>
      <c r="I23" s="75"/>
      <c r="J23" s="75"/>
      <c r="K23" s="75"/>
      <c r="L23" s="75"/>
      <c r="M23" s="75"/>
    </row>
    <row r="24" spans="2:13" ht="15" customHeight="1" x14ac:dyDescent="0.35">
      <c r="B24" s="36" t="s">
        <v>162</v>
      </c>
      <c r="C24" s="36"/>
      <c r="D24" s="27"/>
      <c r="E24" s="27"/>
      <c r="F24" s="27"/>
      <c r="G24" s="27"/>
      <c r="H24" s="27"/>
      <c r="I24" s="75"/>
      <c r="J24" s="75"/>
      <c r="K24" s="75"/>
      <c r="L24" s="75"/>
      <c r="M24" s="75"/>
    </row>
    <row r="25" spans="2:13" ht="15" customHeight="1" x14ac:dyDescent="0.35">
      <c r="B25" s="27" t="s">
        <v>58</v>
      </c>
      <c r="C25" s="13">
        <f>'Balance Sheet Source'!C25</f>
        <v>340</v>
      </c>
      <c r="D25" s="13">
        <f>'Balance Sheet Source'!D25</f>
        <v>345</v>
      </c>
      <c r="E25" s="13">
        <f>'Balance Sheet Source'!E25</f>
        <v>473</v>
      </c>
      <c r="F25" s="13">
        <f>'Balance Sheet Source'!F25</f>
        <v>383</v>
      </c>
      <c r="G25" s="13">
        <f>'Balance Sheet Source'!G25</f>
        <v>379</v>
      </c>
      <c r="H25" s="13">
        <f>'Balance Sheet Source'!H25</f>
        <v>355</v>
      </c>
      <c r="I25" s="64">
        <f>'Finance Costs'!I7</f>
        <v>355</v>
      </c>
      <c r="J25" s="64">
        <f>'Finance Costs'!J7</f>
        <v>355</v>
      </c>
      <c r="K25" s="64">
        <f>'Finance Costs'!K7</f>
        <v>355</v>
      </c>
      <c r="L25" s="64">
        <f>'Finance Costs'!L7</f>
        <v>355</v>
      </c>
      <c r="M25" s="64">
        <f>'Finance Costs'!M7</f>
        <v>355</v>
      </c>
    </row>
    <row r="26" spans="2:13" ht="15" customHeight="1" x14ac:dyDescent="0.35">
      <c r="B26" s="17" t="s">
        <v>59</v>
      </c>
      <c r="C26" s="13">
        <f>'Balance Sheet Source'!C26</f>
        <v>38</v>
      </c>
      <c r="D26" s="13">
        <f>'Balance Sheet Source'!D26</f>
        <v>43</v>
      </c>
      <c r="E26" s="13">
        <f>'Balance Sheet Source'!E26</f>
        <v>42</v>
      </c>
      <c r="F26" s="13">
        <f>'Balance Sheet Source'!F26</f>
        <v>41</v>
      </c>
      <c r="G26" s="13">
        <f>'Balance Sheet Source'!G26</f>
        <v>51</v>
      </c>
      <c r="H26" s="13">
        <f>'Balance Sheet Source'!H26</f>
        <v>75</v>
      </c>
      <c r="I26" s="64">
        <f>'Finance Costs'!I11</f>
        <v>84.600000000000023</v>
      </c>
      <c r="J26" s="64">
        <f>'Finance Costs'!J11</f>
        <v>93.906000000000034</v>
      </c>
      <c r="K26" s="64">
        <f>'Finance Costs'!K11</f>
        <v>103.29660000000004</v>
      </c>
      <c r="L26" s="64">
        <f>'Finance Costs'!L11</f>
        <v>112.07681100000003</v>
      </c>
      <c r="M26" s="64">
        <f>'Finance Costs'!M11</f>
        <v>120.48257182500004</v>
      </c>
    </row>
    <row r="27" spans="2:13" ht="15" customHeight="1" x14ac:dyDescent="0.35">
      <c r="B27" s="27" t="s">
        <v>163</v>
      </c>
      <c r="C27" s="13">
        <f>'Balance Sheet Source'!C27</f>
        <v>1134</v>
      </c>
      <c r="D27" s="13">
        <f>'Balance Sheet Source'!D27</f>
        <v>1344</v>
      </c>
      <c r="E27" s="13">
        <f>'Balance Sheet Source'!E27</f>
        <v>1452</v>
      </c>
      <c r="F27" s="13">
        <f>'Balance Sheet Source'!F27</f>
        <v>1581</v>
      </c>
      <c r="G27" s="13">
        <f>'Balance Sheet Source'!G27</f>
        <v>1363</v>
      </c>
      <c r="H27" s="13">
        <f>'Balance Sheet Source'!H27</f>
        <v>1634</v>
      </c>
      <c r="I27" s="64">
        <f>'Working Capital'!I7</f>
        <v>2098.8816346039639</v>
      </c>
      <c r="J27" s="64">
        <f>'Working Capital'!J7</f>
        <v>2329.7586144104002</v>
      </c>
      <c r="K27" s="64">
        <f>'Working Capital'!K7</f>
        <v>2562.7344758514405</v>
      </c>
      <c r="L27" s="64">
        <f>'Working Capital'!L7</f>
        <v>2780.5669062988127</v>
      </c>
      <c r="M27" s="64">
        <f>'Working Capital'!M7</f>
        <v>2989.1094242712234</v>
      </c>
    </row>
    <row r="28" spans="2:13" ht="15" customHeight="1" x14ac:dyDescent="0.35">
      <c r="B28" s="27" t="s">
        <v>60</v>
      </c>
      <c r="C28" s="13">
        <f>'Balance Sheet Source'!C28</f>
        <v>44</v>
      </c>
      <c r="D28" s="13">
        <f>'Balance Sheet Source'!D28</f>
        <v>45</v>
      </c>
      <c r="E28" s="13">
        <f>'Balance Sheet Source'!E28</f>
        <v>40</v>
      </c>
      <c r="F28" s="13">
        <f>'Balance Sheet Source'!F28</f>
        <v>59</v>
      </c>
      <c r="G28" s="13">
        <f>'Balance Sheet Source'!G28</f>
        <v>231</v>
      </c>
      <c r="H28" s="13">
        <f>'Balance Sheet Source'!H28</f>
        <v>1585</v>
      </c>
      <c r="I28" s="64">
        <f>'BS Assumptions'!I31</f>
        <v>1585</v>
      </c>
      <c r="J28" s="64">
        <f>'BS Assumptions'!J31</f>
        <v>1585</v>
      </c>
      <c r="K28" s="64">
        <f>'BS Assumptions'!K31</f>
        <v>1585</v>
      </c>
      <c r="L28" s="64">
        <f>'BS Assumptions'!L31</f>
        <v>1585</v>
      </c>
      <c r="M28" s="64">
        <f>'BS Assumptions'!M31</f>
        <v>1585</v>
      </c>
    </row>
    <row r="29" spans="2:13" ht="15" customHeight="1" x14ac:dyDescent="0.35">
      <c r="B29" s="17" t="s">
        <v>164</v>
      </c>
      <c r="C29" s="13">
        <f>'Balance Sheet Source'!C29</f>
        <v>385</v>
      </c>
      <c r="D29" s="13">
        <f>'Balance Sheet Source'!D29</f>
        <v>309</v>
      </c>
      <c r="E29" s="13">
        <f>'Balance Sheet Source'!E29</f>
        <v>335</v>
      </c>
      <c r="F29" s="13">
        <f>'Balance Sheet Source'!F29</f>
        <v>297</v>
      </c>
      <c r="G29" s="13">
        <f>'Balance Sheet Source'!G29</f>
        <v>345</v>
      </c>
      <c r="H29" s="13">
        <f>'Balance Sheet Source'!H29</f>
        <v>376</v>
      </c>
      <c r="I29" s="64">
        <f>SUM('BS Assumptions'!I34,'BS Assumptions'!I37,'BS Assumptions'!I40)</f>
        <v>498.97600000000006</v>
      </c>
      <c r="J29" s="64">
        <f>SUM('BS Assumptions'!J34,'BS Assumptions'!J37,'BS Assumptions'!J40)</f>
        <v>544.51336000000015</v>
      </c>
      <c r="K29" s="64">
        <f>SUM('BS Assumptions'!K34,'BS Assumptions'!K37,'BS Assumptions'!K40)</f>
        <v>590.46469600000023</v>
      </c>
      <c r="L29" s="64">
        <f>SUM('BS Assumptions'!L34,'BS Assumptions'!L37,'BS Assumptions'!L40)</f>
        <v>633.42919516000018</v>
      </c>
      <c r="M29" s="64">
        <f>SUM('BS Assumptions'!M34,'BS Assumptions'!M37,'BS Assumptions'!M40)</f>
        <v>674.56138479700007</v>
      </c>
    </row>
    <row r="30" spans="2:13" ht="15" customHeight="1" x14ac:dyDescent="0.35">
      <c r="B30" s="27" t="s">
        <v>165</v>
      </c>
      <c r="C30" s="13">
        <f>'Balance Sheet Source'!C30</f>
        <v>72</v>
      </c>
      <c r="D30" s="13">
        <f>'Balance Sheet Source'!D30</f>
        <v>67</v>
      </c>
      <c r="E30" s="13">
        <f>'Balance Sheet Source'!E30</f>
        <v>87</v>
      </c>
      <c r="F30" s="13">
        <f>'Balance Sheet Source'!F30</f>
        <v>83</v>
      </c>
      <c r="G30" s="13">
        <f>'Balance Sheet Source'!G30</f>
        <v>92</v>
      </c>
      <c r="H30" s="13">
        <f>'Balance Sheet Source'!H30</f>
        <v>76</v>
      </c>
      <c r="I30" s="64">
        <f>'BS Assumptions'!I43</f>
        <v>76</v>
      </c>
      <c r="J30" s="64">
        <f>'BS Assumptions'!J43</f>
        <v>76</v>
      </c>
      <c r="K30" s="64">
        <f>'BS Assumptions'!K43</f>
        <v>76</v>
      </c>
      <c r="L30" s="64">
        <f>'BS Assumptions'!L43</f>
        <v>76</v>
      </c>
      <c r="M30" s="64">
        <f>'BS Assumptions'!M43</f>
        <v>76</v>
      </c>
    </row>
    <row r="31" spans="2:13" ht="15" customHeight="1" x14ac:dyDescent="0.35">
      <c r="B31" s="196" t="s">
        <v>166</v>
      </c>
      <c r="C31" s="197">
        <f t="shared" ref="C31:I31" si="9">SUM(C25:C30)</f>
        <v>2013</v>
      </c>
      <c r="D31" s="197">
        <f t="shared" si="9"/>
        <v>2153</v>
      </c>
      <c r="E31" s="197">
        <f t="shared" si="9"/>
        <v>2429</v>
      </c>
      <c r="F31" s="197">
        <f t="shared" si="9"/>
        <v>2444</v>
      </c>
      <c r="G31" s="197">
        <f t="shared" si="9"/>
        <v>2461</v>
      </c>
      <c r="H31" s="197">
        <f t="shared" si="9"/>
        <v>4101</v>
      </c>
      <c r="I31" s="197">
        <f t="shared" si="9"/>
        <v>4698.4576346039639</v>
      </c>
      <c r="J31" s="197">
        <f t="shared" ref="J31:M31" si="10">SUM(J25:J30)</f>
        <v>4984.1779744103997</v>
      </c>
      <c r="K31" s="197">
        <f t="shared" si="10"/>
        <v>5272.4957718514406</v>
      </c>
      <c r="L31" s="197">
        <f t="shared" si="10"/>
        <v>5542.0729124588124</v>
      </c>
      <c r="M31" s="197">
        <f t="shared" si="10"/>
        <v>5800.1533808932236</v>
      </c>
    </row>
    <row r="32" spans="2:13" ht="15" customHeight="1" x14ac:dyDescent="0.35">
      <c r="B32" s="27"/>
      <c r="C32" s="27"/>
      <c r="D32" s="27"/>
      <c r="E32" s="27"/>
      <c r="F32" s="27"/>
      <c r="G32" s="27"/>
      <c r="H32" s="27"/>
      <c r="I32" s="75"/>
      <c r="J32" s="75"/>
      <c r="K32" s="75"/>
      <c r="L32" s="75"/>
      <c r="M32" s="75"/>
    </row>
    <row r="33" spans="2:13" ht="15" customHeight="1" x14ac:dyDescent="0.35">
      <c r="B33" s="36" t="s">
        <v>167</v>
      </c>
      <c r="C33" s="36"/>
      <c r="D33" s="27"/>
      <c r="E33" s="27"/>
      <c r="F33" s="27"/>
      <c r="G33" s="27"/>
      <c r="H33" s="27"/>
      <c r="I33" s="75"/>
      <c r="J33" s="75"/>
      <c r="K33" s="75"/>
      <c r="L33" s="75"/>
      <c r="M33" s="75"/>
    </row>
    <row r="34" spans="2:13" ht="15" customHeight="1" x14ac:dyDescent="0.35">
      <c r="B34" s="27" t="s">
        <v>168</v>
      </c>
      <c r="C34" s="13">
        <f>'Balance Sheet Source'!C34</f>
        <v>8</v>
      </c>
      <c r="D34" s="13">
        <f>'Balance Sheet Source'!D34</f>
        <v>0</v>
      </c>
      <c r="E34" s="13">
        <f>'Balance Sheet Source'!E34</f>
        <v>2</v>
      </c>
      <c r="F34" s="13" t="str">
        <f>'Balance Sheet Source'!F34</f>
        <v>-</v>
      </c>
      <c r="G34" s="13" t="str">
        <f>'Balance Sheet Source'!G34</f>
        <v>-</v>
      </c>
      <c r="H34" s="13" t="str">
        <f>'Balance Sheet Source'!H34</f>
        <v>-</v>
      </c>
      <c r="I34" s="64" t="str">
        <f>'BS Assumptions'!I46</f>
        <v>-</v>
      </c>
      <c r="J34" s="64" t="str">
        <f>'BS Assumptions'!J46</f>
        <v>-</v>
      </c>
      <c r="K34" s="64" t="str">
        <f>'BS Assumptions'!K46</f>
        <v>-</v>
      </c>
      <c r="L34" s="64" t="str">
        <f>'BS Assumptions'!L46</f>
        <v>-</v>
      </c>
      <c r="M34" s="64" t="str">
        <f>'BS Assumptions'!M46</f>
        <v>-</v>
      </c>
    </row>
    <row r="35" spans="2:13" ht="15" customHeight="1" x14ac:dyDescent="0.35">
      <c r="B35" s="27" t="s">
        <v>65</v>
      </c>
      <c r="C35" s="13">
        <f>'Balance Sheet Source'!C35</f>
        <v>122</v>
      </c>
      <c r="D35" s="13">
        <f>'Balance Sheet Source'!D35</f>
        <v>91</v>
      </c>
      <c r="E35" s="13">
        <f>'Balance Sheet Source'!E35</f>
        <v>91</v>
      </c>
      <c r="F35" s="13">
        <f>'Balance Sheet Source'!F35</f>
        <v>104</v>
      </c>
      <c r="G35" s="13">
        <f>'Balance Sheet Source'!G35</f>
        <v>124</v>
      </c>
      <c r="H35" s="13">
        <f>'Balance Sheet Source'!H35</f>
        <v>127</v>
      </c>
      <c r="I35" s="64">
        <f>'BS Assumptions'!I48</f>
        <v>143.25600000000003</v>
      </c>
      <c r="J35" s="64">
        <f>'BS Assumptions'!J48</f>
        <v>159.01416000000003</v>
      </c>
      <c r="K35" s="64">
        <f>'BS Assumptions'!K48</f>
        <v>174.91557600000007</v>
      </c>
      <c r="L35" s="64">
        <f>'BS Assumptions'!L48</f>
        <v>189.78339996000005</v>
      </c>
      <c r="M35" s="64">
        <f>'BS Assumptions'!M48</f>
        <v>204.01715495700003</v>
      </c>
    </row>
    <row r="36" spans="2:13" ht="15" customHeight="1" x14ac:dyDescent="0.35">
      <c r="B36" s="27" t="s">
        <v>66</v>
      </c>
      <c r="C36" s="13">
        <f>'Balance Sheet Source'!C36</f>
        <v>109</v>
      </c>
      <c r="D36" s="13">
        <f>'Balance Sheet Source'!D36</f>
        <v>137</v>
      </c>
      <c r="E36" s="13">
        <f>'Balance Sheet Source'!E36</f>
        <v>468</v>
      </c>
      <c r="F36" s="13">
        <f>'Balance Sheet Source'!F36</f>
        <v>704</v>
      </c>
      <c r="G36" s="13">
        <f>'Balance Sheet Source'!G36</f>
        <v>1487</v>
      </c>
      <c r="H36" s="13">
        <f>'Balance Sheet Source'!H36</f>
        <v>1353</v>
      </c>
      <c r="I36" s="64">
        <f>'BS Assumptions'!I51</f>
        <v>1353</v>
      </c>
      <c r="J36" s="64">
        <f>'BS Assumptions'!J51</f>
        <v>1353</v>
      </c>
      <c r="K36" s="64">
        <f>'BS Assumptions'!K51</f>
        <v>1353</v>
      </c>
      <c r="L36" s="64">
        <f>'BS Assumptions'!L51</f>
        <v>1353</v>
      </c>
      <c r="M36" s="64">
        <f>'BS Assumptions'!M51</f>
        <v>1353</v>
      </c>
    </row>
    <row r="37" spans="2:13" ht="15" customHeight="1" x14ac:dyDescent="0.35">
      <c r="B37" s="196" t="s">
        <v>169</v>
      </c>
      <c r="C37" s="196">
        <f t="shared" ref="C37:I37" si="11">SUM(C34:C36)</f>
        <v>239</v>
      </c>
      <c r="D37" s="196">
        <f t="shared" si="11"/>
        <v>228</v>
      </c>
      <c r="E37" s="196">
        <f t="shared" si="11"/>
        <v>561</v>
      </c>
      <c r="F37" s="196">
        <f t="shared" si="11"/>
        <v>808</v>
      </c>
      <c r="G37" s="196">
        <f t="shared" si="11"/>
        <v>1611</v>
      </c>
      <c r="H37" s="196">
        <f t="shared" si="11"/>
        <v>1480</v>
      </c>
      <c r="I37" s="104">
        <f t="shared" si="11"/>
        <v>1496.2560000000001</v>
      </c>
      <c r="J37" s="104">
        <f t="shared" ref="J37:M37" si="12">SUM(J34:J36)</f>
        <v>1512.0141599999999</v>
      </c>
      <c r="K37" s="104">
        <f t="shared" si="12"/>
        <v>1527.9155760000001</v>
      </c>
      <c r="L37" s="104">
        <f t="shared" si="12"/>
        <v>1542.78339996</v>
      </c>
      <c r="M37" s="104">
        <f t="shared" si="12"/>
        <v>1557.017154957</v>
      </c>
    </row>
    <row r="38" spans="2:13" ht="15" customHeight="1" x14ac:dyDescent="0.35">
      <c r="B38" s="27"/>
      <c r="C38" s="27"/>
      <c r="D38" s="27"/>
      <c r="E38" s="27"/>
      <c r="F38" s="27"/>
      <c r="G38" s="27"/>
      <c r="H38" s="27"/>
      <c r="I38" s="75"/>
      <c r="J38" s="75"/>
      <c r="K38" s="75"/>
      <c r="L38" s="75"/>
      <c r="M38" s="75"/>
    </row>
    <row r="39" spans="2:13" ht="15" customHeight="1" x14ac:dyDescent="0.35">
      <c r="B39" s="36" t="s">
        <v>170</v>
      </c>
      <c r="C39" s="36"/>
      <c r="D39" s="27"/>
      <c r="E39" s="27"/>
      <c r="F39" s="27"/>
      <c r="G39" s="27"/>
      <c r="H39" s="27"/>
      <c r="I39" s="75"/>
      <c r="J39" s="75"/>
      <c r="K39" s="75"/>
      <c r="L39" s="75"/>
      <c r="M39" s="75"/>
    </row>
    <row r="40" spans="2:13" ht="15" customHeight="1" x14ac:dyDescent="0.35">
      <c r="B40" s="27" t="s">
        <v>171</v>
      </c>
      <c r="C40" s="13">
        <f>'Balance Sheet Source'!C40</f>
        <v>3240</v>
      </c>
      <c r="D40" s="13">
        <f>'Balance Sheet Source'!D40</f>
        <v>3348</v>
      </c>
      <c r="E40" s="13">
        <f>'Balance Sheet Source'!E40</f>
        <v>3799</v>
      </c>
      <c r="F40" s="13">
        <f>'Balance Sheet Source'!F40</f>
        <v>3832</v>
      </c>
      <c r="G40" s="13">
        <f>'Balance Sheet Source'!G40</f>
        <v>3975</v>
      </c>
      <c r="H40" s="13">
        <f>'Balance Sheet Source'!H40</f>
        <v>4210</v>
      </c>
      <c r="I40" s="64">
        <f>SUM('Equity Funds'!I7,'Equity Funds'!I12)</f>
        <v>5180.0831112413898</v>
      </c>
      <c r="J40" s="64">
        <f>SUM('Equity Funds'!J7,'Equity Funds'!J12)</f>
        <v>6295.04772828159</v>
      </c>
      <c r="K40" s="64">
        <f>SUM('Equity Funds'!K7,'Equity Funds'!K12)</f>
        <v>7549.0125077815765</v>
      </c>
      <c r="L40" s="64">
        <f>SUM('Equity Funds'!L7,'Equity Funds'!L12)</f>
        <v>8937.4759249560302</v>
      </c>
      <c r="M40" s="64">
        <f>SUM('Equity Funds'!M7,'Equity Funds'!M12)</f>
        <v>10459.362696564844</v>
      </c>
    </row>
    <row r="41" spans="2:13" ht="15" customHeight="1" x14ac:dyDescent="0.35">
      <c r="B41" s="27" t="s">
        <v>172</v>
      </c>
      <c r="C41" s="13">
        <f>'Balance Sheet Source'!C41</f>
        <v>18</v>
      </c>
      <c r="D41" s="13">
        <f>'Balance Sheet Source'!D41</f>
        <v>57</v>
      </c>
      <c r="E41" s="13">
        <f>'Balance Sheet Source'!E41</f>
        <v>157</v>
      </c>
      <c r="F41" s="13">
        <f>'Balance Sheet Source'!F41</f>
        <v>337</v>
      </c>
      <c r="G41" s="13">
        <f>'Balance Sheet Source'!G41</f>
        <v>291</v>
      </c>
      <c r="H41" s="13">
        <f>'Balance Sheet Source'!H41</f>
        <v>284</v>
      </c>
      <c r="I41" s="64">
        <f>'Equity Funds'!I18</f>
        <v>299.90300182362932</v>
      </c>
      <c r="J41" s="64">
        <f>'Equity Funds'!J18</f>
        <v>318.18111029969816</v>
      </c>
      <c r="K41" s="64">
        <f>'Equity Funds'!K18</f>
        <v>338.73790996363238</v>
      </c>
      <c r="L41" s="64">
        <f>'Equity Funds'!L18</f>
        <v>361.499605327148</v>
      </c>
      <c r="M41" s="64">
        <f>'Equity Funds'!M18</f>
        <v>386.44856879614497</v>
      </c>
    </row>
    <row r="42" spans="2:13" ht="15" customHeight="1" x14ac:dyDescent="0.35">
      <c r="B42" s="196" t="s">
        <v>107</v>
      </c>
      <c r="C42" s="196">
        <f t="shared" ref="C42:I42" si="13">SUM(C40:C41)</f>
        <v>3258</v>
      </c>
      <c r="D42" s="210">
        <f t="shared" si="13"/>
        <v>3405</v>
      </c>
      <c r="E42" s="210">
        <f t="shared" si="13"/>
        <v>3956</v>
      </c>
      <c r="F42" s="210">
        <f t="shared" si="13"/>
        <v>4169</v>
      </c>
      <c r="G42" s="210">
        <f t="shared" si="13"/>
        <v>4266</v>
      </c>
      <c r="H42" s="210">
        <f t="shared" si="13"/>
        <v>4494</v>
      </c>
      <c r="I42" s="210">
        <f t="shared" si="13"/>
        <v>5479.9861130650188</v>
      </c>
      <c r="J42" s="210">
        <f t="shared" ref="J42:M42" si="14">SUM(J40:J41)</f>
        <v>6613.2288385812881</v>
      </c>
      <c r="K42" s="210">
        <f t="shared" si="14"/>
        <v>7887.7504177452092</v>
      </c>
      <c r="L42" s="210">
        <f t="shared" si="14"/>
        <v>9298.9755302831782</v>
      </c>
      <c r="M42" s="210">
        <f t="shared" si="14"/>
        <v>10845.811265360988</v>
      </c>
    </row>
    <row r="43" spans="2:13" ht="15" customHeight="1" thickBot="1" x14ac:dyDescent="0.4">
      <c r="B43" s="28" t="s">
        <v>173</v>
      </c>
      <c r="C43" s="28">
        <f t="shared" ref="C43:I43" si="15">C31+C37+C42</f>
        <v>5510</v>
      </c>
      <c r="D43" s="29">
        <f t="shared" si="15"/>
        <v>5786</v>
      </c>
      <c r="E43" s="29">
        <f t="shared" si="15"/>
        <v>6946</v>
      </c>
      <c r="F43" s="29">
        <f t="shared" si="15"/>
        <v>7421</v>
      </c>
      <c r="G43" s="29">
        <f t="shared" si="15"/>
        <v>8338</v>
      </c>
      <c r="H43" s="29">
        <f t="shared" si="15"/>
        <v>10075</v>
      </c>
      <c r="I43" s="29">
        <f t="shared" si="15"/>
        <v>11674.699747668983</v>
      </c>
      <c r="J43" s="29">
        <f t="shared" ref="J43:M43" si="16">J31+J37+J42</f>
        <v>13109.420972991687</v>
      </c>
      <c r="K43" s="29">
        <f t="shared" si="16"/>
        <v>14688.161765596651</v>
      </c>
      <c r="L43" s="29">
        <f t="shared" si="16"/>
        <v>16383.831842701991</v>
      </c>
      <c r="M43" s="29">
        <f t="shared" si="16"/>
        <v>18202.981801211212</v>
      </c>
    </row>
    <row r="45" spans="2:13" ht="15" customHeight="1" x14ac:dyDescent="0.35">
      <c r="B45" s="118" t="s">
        <v>174</v>
      </c>
      <c r="C45" s="119">
        <f t="shared" ref="C45:I45" si="17">C21-C43</f>
        <v>0</v>
      </c>
      <c r="D45" s="119">
        <f t="shared" si="17"/>
        <v>0</v>
      </c>
      <c r="E45" s="119">
        <f t="shared" si="17"/>
        <v>0</v>
      </c>
      <c r="F45" s="119">
        <f t="shared" si="17"/>
        <v>0</v>
      </c>
      <c r="G45" s="119">
        <f t="shared" si="17"/>
        <v>0</v>
      </c>
      <c r="H45" s="119">
        <f t="shared" si="17"/>
        <v>0</v>
      </c>
      <c r="I45" s="119">
        <f t="shared" si="17"/>
        <v>0</v>
      </c>
      <c r="J45" s="119">
        <f t="shared" ref="J45:M45" si="18">J21-J43</f>
        <v>0</v>
      </c>
      <c r="K45" s="119">
        <f t="shared" si="18"/>
        <v>0</v>
      </c>
      <c r="L45" s="119">
        <f t="shared" si="18"/>
        <v>0</v>
      </c>
      <c r="M45" s="119">
        <f t="shared" si="18"/>
        <v>0</v>
      </c>
    </row>
  </sheetData>
  <sheetProtection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1DFC4-2346-4550-8A3B-99F48C04CAF9}">
  <sheetPr codeName="Sheet16"/>
  <dimension ref="B1:AA1005"/>
  <sheetViews>
    <sheetView showGridLines="0" zoomScale="88" zoomScaleNormal="91" workbookViewId="0">
      <selection activeCell="B28" sqref="B28"/>
    </sheetView>
  </sheetViews>
  <sheetFormatPr defaultColWidth="8.7265625" defaultRowHeight="12" customHeight="1" x14ac:dyDescent="0.35"/>
  <cols>
    <col min="1" max="1" width="3.54296875" style="17" customWidth="1"/>
    <col min="2" max="2" width="50.453125" style="17" customWidth="1"/>
    <col min="3" max="8" width="10.54296875" style="17" customWidth="1"/>
    <col min="9" max="9" width="26.7265625" style="17" customWidth="1"/>
    <col min="10" max="16384" width="8.7265625" style="17"/>
  </cols>
  <sheetData>
    <row r="1" spans="2:27" ht="26.15" customHeight="1" x14ac:dyDescent="0.35">
      <c r="B1" s="39" t="s">
        <v>175</v>
      </c>
    </row>
    <row r="2" spans="2:27" ht="12" customHeight="1" thickBot="1" x14ac:dyDescent="0.4"/>
    <row r="3" spans="2:27" ht="33" customHeight="1" thickBot="1" x14ac:dyDescent="0.4">
      <c r="B3" s="220" t="s">
        <v>49</v>
      </c>
      <c r="C3" s="221" t="s">
        <v>80</v>
      </c>
      <c r="D3" s="221" t="s">
        <v>27</v>
      </c>
      <c r="E3" s="221" t="s">
        <v>28</v>
      </c>
      <c r="F3" s="221" t="s">
        <v>29</v>
      </c>
      <c r="G3" s="221" t="s">
        <v>30</v>
      </c>
      <c r="H3" s="221" t="s">
        <v>31</v>
      </c>
      <c r="I3" s="221" t="s">
        <v>32</v>
      </c>
      <c r="J3" s="221" t="s">
        <v>33</v>
      </c>
      <c r="K3" s="221" t="s">
        <v>34</v>
      </c>
      <c r="L3" s="221" t="s">
        <v>35</v>
      </c>
      <c r="M3" s="221" t="s">
        <v>36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</row>
    <row r="4" spans="2:27" ht="17.149999999999999" customHeight="1" x14ac:dyDescent="0.35">
      <c r="B4" s="102" t="s">
        <v>176</v>
      </c>
      <c r="C4" s="30"/>
      <c r="D4" s="30"/>
      <c r="E4" s="30"/>
      <c r="F4" s="30"/>
      <c r="G4" s="30"/>
      <c r="H4" s="30"/>
      <c r="I4" s="105"/>
      <c r="J4" s="105"/>
      <c r="K4" s="105"/>
      <c r="L4" s="105"/>
      <c r="M4" s="105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</row>
    <row r="5" spans="2:27" ht="17.149999999999999" customHeight="1" x14ac:dyDescent="0.35">
      <c r="B5" s="30" t="s">
        <v>177</v>
      </c>
      <c r="C5" s="106">
        <f>'Income Statement'!C18</f>
        <v>1188</v>
      </c>
      <c r="D5" s="106">
        <f>'Income Statement'!D18</f>
        <v>1255</v>
      </c>
      <c r="E5" s="106">
        <f>'Income Statement'!E18</f>
        <v>1322</v>
      </c>
      <c r="F5" s="106">
        <f>'Income Statement'!F18</f>
        <v>1502</v>
      </c>
      <c r="G5" s="106">
        <f>'Income Statement'!G18</f>
        <v>1658</v>
      </c>
      <c r="H5" s="106">
        <f>'Income Statement'!H18</f>
        <v>1813</v>
      </c>
      <c r="I5" s="107">
        <f>'Income Statement'!I18</f>
        <v>2059.4387361599997</v>
      </c>
      <c r="J5" s="107">
        <f>'Income Statement'!J18</f>
        <v>2367.0150476509161</v>
      </c>
      <c r="K5" s="107">
        <f>'Income Statement'!K18</f>
        <v>2662.1055564794797</v>
      </c>
      <c r="L5" s="107">
        <f>'Income Statement'!L18</f>
        <v>2947.639549575274</v>
      </c>
      <c r="M5" s="107">
        <f>'Income Statement'!M18</f>
        <v>3230.8907692351031</v>
      </c>
      <c r="N5" s="4"/>
      <c r="O5" s="4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</row>
    <row r="6" spans="2:27" ht="17.149999999999999" customHeight="1" x14ac:dyDescent="0.35">
      <c r="B6" s="30" t="s">
        <v>178</v>
      </c>
      <c r="C6" s="106">
        <f>-'Income Statement'!C11</f>
        <v>139</v>
      </c>
      <c r="D6" s="106">
        <f>-'Income Statement'!D11</f>
        <v>139</v>
      </c>
      <c r="E6" s="106">
        <f>-'Income Statement'!E11</f>
        <v>155</v>
      </c>
      <c r="F6" s="106">
        <f>-'Income Statement'!F11</f>
        <v>158</v>
      </c>
      <c r="G6" s="106">
        <f>-'Income Statement'!G11</f>
        <v>178</v>
      </c>
      <c r="H6" s="106">
        <f>-'Income Statement'!H11</f>
        <v>202</v>
      </c>
      <c r="I6" s="107">
        <f>-'Income Statement'!I11</f>
        <v>285.67</v>
      </c>
      <c r="J6" s="107">
        <f>-'Income Statement'!J11</f>
        <v>293.08991623999998</v>
      </c>
      <c r="K6" s="107">
        <f>-'Income Statement'!K11</f>
        <v>303.96643948000002</v>
      </c>
      <c r="L6" s="107">
        <f>-'Income Statement'!L11</f>
        <v>317.95818656623999</v>
      </c>
      <c r="M6" s="107">
        <f>-'Income Statement'!M11</f>
        <v>334.44222618446202</v>
      </c>
      <c r="N6" s="4"/>
      <c r="O6" s="4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2:27" ht="17.149999999999999" customHeight="1" x14ac:dyDescent="0.35">
      <c r="B7" s="30" t="s">
        <v>179</v>
      </c>
      <c r="C7" s="106">
        <f>'CFS Sch III'!C10</f>
        <v>675</v>
      </c>
      <c r="D7" s="106">
        <f>'CFS Sch III'!D10</f>
        <v>-342</v>
      </c>
      <c r="E7" s="106">
        <f>'CFS Sch III'!E10</f>
        <v>-59</v>
      </c>
      <c r="F7" s="106">
        <f>'CFS Sch III'!F10</f>
        <v>-226</v>
      </c>
      <c r="G7" s="106">
        <f>'CFS Sch III'!G10</f>
        <v>-293</v>
      </c>
      <c r="H7" s="106">
        <f>'CFS Sch III'!H10</f>
        <v>253</v>
      </c>
      <c r="I7" s="107">
        <f>('Balance Sheet'!H7+'Balance Sheet'!H8+'Balance Sheet'!H10-'Balance Sheet'!H27-'Balance Sheet'!H29)-('Balance Sheet'!I7+'Balance Sheet'!I8+'Balance Sheet'!I10-'Balance Sheet'!I27-'Balance Sheet'!I29)</f>
        <v>127.8491740458594</v>
      </c>
      <c r="J7" s="107">
        <f>('Balance Sheet'!I7+'Balance Sheet'!I8+'Balance Sheet'!I10-'Balance Sheet'!I27-'Balance Sheet'!I29)-('Balance Sheet'!J7+'Balance Sheet'!J8+'Balance Sheet'!J10-'Balance Sheet'!J27-'Balance Sheet'!J29)</f>
        <v>-148.51659085495635</v>
      </c>
      <c r="K7" s="107">
        <f>('Balance Sheet'!J7+'Balance Sheet'!J8+'Balance Sheet'!J10-'Balance Sheet'!J27-'Balance Sheet'!J29)-('Balance Sheet'!K7+'Balance Sheet'!K8+'Balance Sheet'!K10-'Balance Sheet'!K27-'Balance Sheet'!K29)</f>
        <v>-149.8667416809094</v>
      </c>
      <c r="L7" s="107">
        <f>('Balance Sheet'!K7+'Balance Sheet'!K8+'Balance Sheet'!K10-'Balance Sheet'!K27-'Balance Sheet'!K29)-('Balance Sheet'!L7+'Balance Sheet'!L8+'Balance Sheet'!L10-'Balance Sheet'!L27-'Balance Sheet'!L29)</f>
        <v>-140.12540347165054</v>
      </c>
      <c r="M7" s="107">
        <f>('Balance Sheet'!L7+'Balance Sheet'!L8+'Balance Sheet'!L10-'Balance Sheet'!L27-'Balance Sheet'!L29)-('Balance Sheet'!M7+'Balance Sheet'!M8+'Balance Sheet'!M10-'Balance Sheet'!M27-'Balance Sheet'!M29)</f>
        <v>-134.14946714712391</v>
      </c>
      <c r="N7" s="4"/>
      <c r="O7" s="4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2:27" ht="17.149999999999999" customHeight="1" x14ac:dyDescent="0.35">
      <c r="B8" s="30" t="s">
        <v>180</v>
      </c>
      <c r="C8" s="106">
        <f>-'Income Statement'!C14</f>
        <v>34</v>
      </c>
      <c r="D8" s="106">
        <f>-'Income Statement'!D14</f>
        <v>39</v>
      </c>
      <c r="E8" s="106">
        <f>-'Income Statement'!E14</f>
        <v>56</v>
      </c>
      <c r="F8" s="106">
        <f>-'Income Statement'!F14</f>
        <v>73</v>
      </c>
      <c r="G8" s="106">
        <f>-'Income Statement'!G14</f>
        <v>53</v>
      </c>
      <c r="H8" s="106">
        <f>-'Income Statement'!H14</f>
        <v>53</v>
      </c>
      <c r="I8" s="107">
        <f>-'Income Statement'!I14</f>
        <v>54.143160000000002</v>
      </c>
      <c r="J8" s="107">
        <f>-'Income Statement'!J14</f>
        <v>56.561867600000006</v>
      </c>
      <c r="K8" s="107">
        <f>-'Income Statement'!K14</f>
        <v>58.953785960000005</v>
      </c>
      <c r="L8" s="107">
        <f>-'Income Statement'!L14</f>
        <v>61.278438380600008</v>
      </c>
      <c r="M8" s="107">
        <f>-'Income Statement'!M14</f>
        <v>63.477097042745001</v>
      </c>
      <c r="N8" s="4"/>
      <c r="O8" s="4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2:27" ht="17.149999999999999" customHeight="1" x14ac:dyDescent="0.35">
      <c r="B9" s="30" t="s">
        <v>181</v>
      </c>
      <c r="C9" s="106">
        <f>'CFS Sch III'!C8+'CFS Sch III'!C11+'CFS Sch III'!C12-'Income Statement Source'!C16</f>
        <v>-40</v>
      </c>
      <c r="D9" s="106">
        <f>'CFS Sch III'!D8+'CFS Sch III'!D11+'CFS Sch III'!D12-'Income Statement Source'!D16</f>
        <v>-75</v>
      </c>
      <c r="E9" s="106">
        <f>'CFS Sch III'!E8+'CFS Sch III'!E11+'CFS Sch III'!E12-'Income Statement Source'!E16</f>
        <v>-55</v>
      </c>
      <c r="F9" s="106">
        <f>'CFS Sch III'!F8+'CFS Sch III'!F11+'CFS Sch III'!F12-'Income Statement Source'!F16</f>
        <v>-71</v>
      </c>
      <c r="G9" s="106">
        <f>'CFS Sch III'!G8+'CFS Sch III'!G11+'CFS Sch III'!G12-'Income Statement Source'!G16</f>
        <v>-233</v>
      </c>
      <c r="H9" s="106">
        <f>'CFS Sch III'!H8+'CFS Sch III'!H11+'CFS Sch III'!H12-'Income Statement Source'!H16</f>
        <v>-237</v>
      </c>
      <c r="I9" s="107"/>
      <c r="J9" s="107"/>
      <c r="K9" s="107"/>
      <c r="L9" s="107"/>
      <c r="M9" s="107"/>
      <c r="N9" s="4"/>
      <c r="O9" s="4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</row>
    <row r="10" spans="2:27" s="34" customFormat="1" ht="17.149999999999999" customHeight="1" x14ac:dyDescent="0.35">
      <c r="B10" s="35" t="s">
        <v>182</v>
      </c>
      <c r="C10" s="104">
        <f t="shared" ref="C10:I10" si="0">SUM(C5:C9)</f>
        <v>1996</v>
      </c>
      <c r="D10" s="104">
        <f t="shared" si="0"/>
        <v>1016</v>
      </c>
      <c r="E10" s="104">
        <f t="shared" si="0"/>
        <v>1419</v>
      </c>
      <c r="F10" s="104">
        <f t="shared" si="0"/>
        <v>1436</v>
      </c>
      <c r="G10" s="104">
        <f t="shared" si="0"/>
        <v>1363</v>
      </c>
      <c r="H10" s="104">
        <f t="shared" si="0"/>
        <v>2084</v>
      </c>
      <c r="I10" s="104">
        <f t="shared" si="0"/>
        <v>2527.1010702058593</v>
      </c>
      <c r="J10" s="104">
        <f t="shared" ref="J10:M10" si="1">SUM(J5:J9)</f>
        <v>2568.15024063596</v>
      </c>
      <c r="K10" s="104">
        <f t="shared" si="1"/>
        <v>2875.1590402385705</v>
      </c>
      <c r="L10" s="104">
        <f t="shared" si="1"/>
        <v>3186.7507710504633</v>
      </c>
      <c r="M10" s="104">
        <f t="shared" si="1"/>
        <v>3494.6606253151863</v>
      </c>
      <c r="N10" s="62"/>
      <c r="O10" s="6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7" ht="17.149999999999999" customHeight="1" x14ac:dyDescent="0.35">
      <c r="B11" s="30"/>
      <c r="C11" s="106"/>
      <c r="D11" s="106"/>
      <c r="E11" s="106"/>
      <c r="F11" s="106"/>
      <c r="G11" s="106"/>
      <c r="H11" s="106"/>
      <c r="I11" s="107"/>
      <c r="J11" s="107"/>
      <c r="K11" s="107"/>
      <c r="L11" s="107"/>
      <c r="M11" s="107"/>
      <c r="N11" s="106"/>
      <c r="O11" s="4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</row>
    <row r="12" spans="2:27" ht="17.149999999999999" customHeight="1" x14ac:dyDescent="0.35">
      <c r="B12" s="102" t="s">
        <v>183</v>
      </c>
      <c r="C12" s="106"/>
      <c r="D12" s="106"/>
      <c r="E12" s="106"/>
      <c r="F12" s="106"/>
      <c r="G12" s="106"/>
      <c r="H12" s="106"/>
      <c r="I12" s="107"/>
      <c r="J12" s="107"/>
      <c r="K12" s="107"/>
      <c r="L12" s="107"/>
      <c r="M12" s="107"/>
      <c r="N12" s="106"/>
      <c r="O12" s="4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</row>
    <row r="13" spans="2:27" ht="17.149999999999999" customHeight="1" x14ac:dyDescent="0.35">
      <c r="B13" s="30" t="s">
        <v>184</v>
      </c>
      <c r="C13" s="106">
        <f>'CFS Sch III'!C16</f>
        <v>-142</v>
      </c>
      <c r="D13" s="106">
        <f>'CFS Sch III'!D16</f>
        <v>-132</v>
      </c>
      <c r="E13" s="106">
        <f>'CFS Sch III'!E16</f>
        <v>-182</v>
      </c>
      <c r="F13" s="106">
        <f>'CFS Sch III'!F16</f>
        <v>-153</v>
      </c>
      <c r="G13" s="106">
        <f>'CFS Sch III'!G16</f>
        <v>-161</v>
      </c>
      <c r="H13" s="106">
        <f>'CFS Sch III'!H16</f>
        <v>-319</v>
      </c>
      <c r="I13" s="107">
        <f>-'PP&amp;E'!H13</f>
        <v>-353.12378400000006</v>
      </c>
      <c r="J13" s="107">
        <f>-'PP&amp;E'!I13</f>
        <v>-391.96740024000007</v>
      </c>
      <c r="K13" s="107">
        <f>-'PP&amp;E'!J13</f>
        <v>-431.16414026400014</v>
      </c>
      <c r="L13" s="107">
        <f>-'PP&amp;E'!K13</f>
        <v>-467.81309218644014</v>
      </c>
      <c r="M13" s="107">
        <f>-'PP&amp;E'!L13</f>
        <v>-502.89907410042309</v>
      </c>
      <c r="N13" s="106"/>
      <c r="O13" s="4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</row>
    <row r="14" spans="2:27" ht="17.149999999999999" customHeight="1" x14ac:dyDescent="0.35">
      <c r="B14" s="30" t="s">
        <v>185</v>
      </c>
      <c r="C14" s="106">
        <f>'CFS Sch III'!C17+'CFS Sch III'!C18+'CFS Sch III'!C19</f>
        <v>-796</v>
      </c>
      <c r="D14" s="106">
        <f>'CFS Sch III'!D17+'CFS Sch III'!D18+'CFS Sch III'!D19</f>
        <v>560</v>
      </c>
      <c r="E14" s="106">
        <f>'CFS Sch III'!E17+'CFS Sch III'!E18+'CFS Sch III'!E19</f>
        <v>-683</v>
      </c>
      <c r="F14" s="106">
        <f>'CFS Sch III'!F17+'CFS Sch III'!F18+'CFS Sch III'!F19</f>
        <v>329</v>
      </c>
      <c r="G14" s="106">
        <f>'CFS Sch III'!G17+'CFS Sch III'!G18+'CFS Sch III'!G19</f>
        <v>-460</v>
      </c>
      <c r="H14" s="106">
        <f>'CFS Sch III'!H17+'CFS Sch III'!H18+'CFS Sch III'!H19</f>
        <v>-403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6"/>
      <c r="O14" s="4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</row>
    <row r="15" spans="2:27" s="34" customFormat="1" ht="17.149999999999999" customHeight="1" x14ac:dyDescent="0.35">
      <c r="B15" s="103" t="s">
        <v>186</v>
      </c>
      <c r="C15" s="104">
        <f t="shared" ref="C15:I15" si="2">SUM(C13:C14)</f>
        <v>-938</v>
      </c>
      <c r="D15" s="104">
        <f t="shared" si="2"/>
        <v>428</v>
      </c>
      <c r="E15" s="104">
        <f t="shared" si="2"/>
        <v>-865</v>
      </c>
      <c r="F15" s="104">
        <f t="shared" si="2"/>
        <v>176</v>
      </c>
      <c r="G15" s="104">
        <f t="shared" si="2"/>
        <v>-621</v>
      </c>
      <c r="H15" s="104">
        <f t="shared" si="2"/>
        <v>-722</v>
      </c>
      <c r="I15" s="104">
        <f t="shared" si="2"/>
        <v>-353.12378400000006</v>
      </c>
      <c r="J15" s="104">
        <f t="shared" ref="J15:M15" si="3">SUM(J13:J14)</f>
        <v>-391.96740024000007</v>
      </c>
      <c r="K15" s="104">
        <f t="shared" si="3"/>
        <v>-431.16414026400014</v>
      </c>
      <c r="L15" s="104">
        <f t="shared" si="3"/>
        <v>-467.81309218644014</v>
      </c>
      <c r="M15" s="104">
        <f t="shared" si="3"/>
        <v>-502.89907410042309</v>
      </c>
      <c r="N15" s="62"/>
      <c r="O15" s="6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2:27" ht="17.149999999999999" customHeight="1" x14ac:dyDescent="0.35">
      <c r="B16" s="30"/>
      <c r="C16" s="4"/>
      <c r="D16" s="4"/>
      <c r="E16" s="4"/>
      <c r="F16" s="4"/>
      <c r="G16" s="4"/>
      <c r="H16" s="4"/>
      <c r="I16" s="90"/>
      <c r="J16" s="90"/>
      <c r="K16" s="90"/>
      <c r="L16" s="90"/>
      <c r="M16" s="90"/>
      <c r="N16" s="4"/>
      <c r="O16" s="4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</row>
    <row r="17" spans="2:27" ht="17.149999999999999" customHeight="1" x14ac:dyDescent="0.35">
      <c r="B17" s="102" t="s">
        <v>187</v>
      </c>
      <c r="C17" s="4"/>
      <c r="D17" s="4"/>
      <c r="E17" s="4"/>
      <c r="F17" s="4"/>
      <c r="G17" s="4"/>
      <c r="H17" s="4"/>
      <c r="I17" s="90"/>
      <c r="J17" s="90"/>
      <c r="K17" s="90"/>
      <c r="L17" s="90"/>
      <c r="M17" s="90"/>
      <c r="N17" s="4"/>
      <c r="O17" s="4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</row>
    <row r="18" spans="2:27" ht="17.149999999999999" customHeight="1" x14ac:dyDescent="0.35">
      <c r="B18" s="30" t="s">
        <v>188</v>
      </c>
      <c r="C18" s="106">
        <f>'CFS Sch III'!C26</f>
        <v>-968</v>
      </c>
      <c r="D18" s="106">
        <f>'CFS Sch III'!D26</f>
        <v>-1195</v>
      </c>
      <c r="E18" s="106">
        <f>'CFS Sch III'!E26</f>
        <v>-582</v>
      </c>
      <c r="F18" s="106">
        <f>'CFS Sch III'!F26</f>
        <v>-1229</v>
      </c>
      <c r="G18" s="106">
        <f>'CFS Sch III'!G26</f>
        <v>-453</v>
      </c>
      <c r="H18" s="106">
        <f>'CFS Sch III'!H26</f>
        <v>-908</v>
      </c>
      <c r="I18" s="107">
        <f>-'Equity Funds'!I22</f>
        <v>-1031.4232611325317</v>
      </c>
      <c r="J18" s="107">
        <f>-'Equity Funds'!J22</f>
        <v>-1185.4658925907511</v>
      </c>
      <c r="K18" s="107">
        <f>-'Equity Funds'!K22</f>
        <v>-1333.2552924894471</v>
      </c>
      <c r="L18" s="107">
        <f>-'Equity Funds'!L22</f>
        <v>-1476.2585278622996</v>
      </c>
      <c r="M18" s="107">
        <f>-'Equity Funds'!M22</f>
        <v>-1618.1184878463728</v>
      </c>
      <c r="N18" s="106"/>
      <c r="O18" s="4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</row>
    <row r="19" spans="2:27" ht="17.149999999999999" customHeight="1" x14ac:dyDescent="0.35">
      <c r="B19" s="30" t="s">
        <v>189</v>
      </c>
      <c r="C19" s="106">
        <f>'CFS Sch III'!C27</f>
        <v>-26</v>
      </c>
      <c r="D19" s="106">
        <f>'CFS Sch III'!D27</f>
        <v>-25</v>
      </c>
      <c r="E19" s="106">
        <f>'CFS Sch III'!E27</f>
        <v>-46</v>
      </c>
      <c r="F19" s="106">
        <f>'CFS Sch III'!F27</f>
        <v>-42</v>
      </c>
      <c r="G19" s="106">
        <f>'CFS Sch III'!G27</f>
        <v>-51</v>
      </c>
      <c r="H19" s="106">
        <f>'CFS Sch III'!H27</f>
        <v>-37</v>
      </c>
      <c r="I19" s="107">
        <f>-'Equity Funds'!I26</f>
        <v>-42.029361962448974</v>
      </c>
      <c r="J19" s="107">
        <f>-'Equity Funds'!J26</f>
        <v>-48.306429543896243</v>
      </c>
      <c r="K19" s="107">
        <f>-'Equity Funds'!K26</f>
        <v>-54.328684826111832</v>
      </c>
      <c r="L19" s="107">
        <f>-'Equity Funds'!L26</f>
        <v>-60.15590917500559</v>
      </c>
      <c r="M19" s="107">
        <f>-'Equity Funds'!M26</f>
        <v>-65.936546310920477</v>
      </c>
      <c r="N19" s="106"/>
      <c r="O19" s="4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</row>
    <row r="20" spans="2:27" ht="17.149999999999999" customHeight="1" x14ac:dyDescent="0.35">
      <c r="B20" s="30" t="s">
        <v>190</v>
      </c>
      <c r="C20" s="106">
        <f>'CFS Sch III'!C25</f>
        <v>-21</v>
      </c>
      <c r="D20" s="106">
        <f>'CFS Sch III'!D25</f>
        <v>-28</v>
      </c>
      <c r="E20" s="106">
        <f>'CFS Sch III'!E25</f>
        <v>-42</v>
      </c>
      <c r="F20" s="106">
        <f>'CFS Sch III'!F25</f>
        <v>-54</v>
      </c>
      <c r="G20" s="106">
        <f>'CFS Sch III'!G25</f>
        <v>-51</v>
      </c>
      <c r="H20" s="106">
        <f>'CFS Sch III'!H25</f>
        <v>-37</v>
      </c>
      <c r="I20" s="107">
        <f>'Finance Costs'!I17</f>
        <v>-54.143160000000002</v>
      </c>
      <c r="J20" s="107">
        <f>'Finance Costs'!J17</f>
        <v>-56.561867600000006</v>
      </c>
      <c r="K20" s="107">
        <f>'Finance Costs'!K17</f>
        <v>-58.953785960000005</v>
      </c>
      <c r="L20" s="107">
        <f>'Finance Costs'!L17</f>
        <v>-61.278438380600008</v>
      </c>
      <c r="M20" s="107">
        <f>'Finance Costs'!M17</f>
        <v>-63.477097042745001</v>
      </c>
      <c r="N20" s="106"/>
      <c r="O20" s="4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</row>
    <row r="21" spans="2:27" ht="17.149999999999999" customHeight="1" x14ac:dyDescent="0.35">
      <c r="B21" s="30" t="s">
        <v>191</v>
      </c>
      <c r="C21" s="106">
        <f>SUM('CFS Sch III'!C23,'CFS Sch III'!C24,'CFS Sch III'!C28)</f>
        <v>-43</v>
      </c>
      <c r="D21" s="106">
        <f>SUM('CFS Sch III'!D23,'CFS Sch III'!D24,'CFS Sch III'!D28)</f>
        <v>-42</v>
      </c>
      <c r="E21" s="106">
        <f>SUM('CFS Sch III'!E23,'CFS Sch III'!E24,'CFS Sch III'!E28)</f>
        <v>110</v>
      </c>
      <c r="F21" s="106">
        <f>SUM('CFS Sch III'!F23,'CFS Sch III'!F24,'CFS Sch III'!F28)</f>
        <v>-217</v>
      </c>
      <c r="G21" s="106">
        <f>SUM('CFS Sch III'!G23,'CFS Sch III'!G24,'CFS Sch III'!G28)</f>
        <v>-94</v>
      </c>
      <c r="H21" s="106">
        <f>SUM('CFS Sch III'!H23,'CFS Sch III'!H24,'CFS Sch III'!H28)</f>
        <v>-297</v>
      </c>
      <c r="I21" s="107">
        <f>'Finance Costs'!I13-'Finance Costs'!H13</f>
        <v>25.856000000000051</v>
      </c>
      <c r="J21" s="107">
        <f>'Finance Costs'!J13-'Finance Costs'!I13</f>
        <v>25.064160000000015</v>
      </c>
      <c r="K21" s="107">
        <f>'Finance Costs'!K13-'Finance Costs'!J13</f>
        <v>25.292016000000046</v>
      </c>
      <c r="L21" s="107">
        <f>'Finance Costs'!L13-'Finance Costs'!K13</f>
        <v>23.648034959999961</v>
      </c>
      <c r="M21" s="107">
        <f>'Finance Costs'!M13-'Finance Costs'!L13</f>
        <v>22.639515821999964</v>
      </c>
      <c r="N21" s="106"/>
      <c r="O21" s="4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</row>
    <row r="22" spans="2:27" s="34" customFormat="1" ht="17.149999999999999" customHeight="1" x14ac:dyDescent="0.35">
      <c r="B22" s="103" t="s">
        <v>192</v>
      </c>
      <c r="C22" s="104">
        <f t="shared" ref="C22:I22" si="4">SUM(C18:C21)</f>
        <v>-1058</v>
      </c>
      <c r="D22" s="104">
        <f t="shared" si="4"/>
        <v>-1290</v>
      </c>
      <c r="E22" s="104">
        <f t="shared" si="4"/>
        <v>-560</v>
      </c>
      <c r="F22" s="104">
        <f t="shared" si="4"/>
        <v>-1542</v>
      </c>
      <c r="G22" s="104">
        <f t="shared" si="4"/>
        <v>-649</v>
      </c>
      <c r="H22" s="104">
        <f t="shared" si="4"/>
        <v>-1279</v>
      </c>
      <c r="I22" s="104">
        <f t="shared" si="4"/>
        <v>-1101.7397830949808</v>
      </c>
      <c r="J22" s="104">
        <f t="shared" ref="J22:M22" si="5">SUM(J18:J21)</f>
        <v>-1265.2700297346473</v>
      </c>
      <c r="K22" s="104">
        <f t="shared" si="5"/>
        <v>-1421.2457472755589</v>
      </c>
      <c r="L22" s="104">
        <f t="shared" si="5"/>
        <v>-1574.0448404579051</v>
      </c>
      <c r="M22" s="104">
        <f t="shared" si="5"/>
        <v>-1724.8926153780383</v>
      </c>
      <c r="N22" s="62"/>
      <c r="O22" s="6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2:27" ht="17.149999999999999" customHeight="1" x14ac:dyDescent="0.35">
      <c r="B23" s="32" t="s">
        <v>193</v>
      </c>
      <c r="C23" s="62">
        <v>5</v>
      </c>
      <c r="D23" s="62">
        <v>2</v>
      </c>
      <c r="E23" s="62">
        <v>-63</v>
      </c>
      <c r="F23" s="62">
        <v>-49</v>
      </c>
      <c r="G23" s="62">
        <v>0</v>
      </c>
      <c r="H23" s="62">
        <v>0</v>
      </c>
      <c r="I23" s="90"/>
      <c r="J23" s="90"/>
      <c r="K23" s="90"/>
      <c r="L23" s="90"/>
      <c r="M23" s="90"/>
      <c r="N23" s="4"/>
      <c r="O23" s="4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</row>
    <row r="24" spans="2:27" s="34" customFormat="1" ht="17.149999999999999" customHeight="1" thickBot="1" x14ac:dyDescent="0.4">
      <c r="B24" s="211" t="s">
        <v>194</v>
      </c>
      <c r="C24" s="181">
        <f t="shared" ref="C24:H24" si="6">SUM(C10,C15,C22,C23)</f>
        <v>5</v>
      </c>
      <c r="D24" s="181">
        <f t="shared" si="6"/>
        <v>156</v>
      </c>
      <c r="E24" s="181">
        <f t="shared" si="6"/>
        <v>-69</v>
      </c>
      <c r="F24" s="181">
        <f t="shared" si="6"/>
        <v>21</v>
      </c>
      <c r="G24" s="181">
        <f t="shared" si="6"/>
        <v>93</v>
      </c>
      <c r="H24" s="181">
        <f t="shared" si="6"/>
        <v>83</v>
      </c>
      <c r="I24" s="181">
        <f>SUM(I10,I15,I22)</f>
        <v>1072.2375031108786</v>
      </c>
      <c r="J24" s="181">
        <f t="shared" ref="J24:M24" si="7">SUM(J10,J15,J22)</f>
        <v>910.91281066131251</v>
      </c>
      <c r="K24" s="181">
        <f t="shared" si="7"/>
        <v>1022.7491526990113</v>
      </c>
      <c r="L24" s="181">
        <f t="shared" si="7"/>
        <v>1144.8928384061178</v>
      </c>
      <c r="M24" s="181">
        <f t="shared" si="7"/>
        <v>1266.8689358367249</v>
      </c>
      <c r="N24" s="62"/>
      <c r="O24" s="6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2:27" customFormat="1" ht="17.149999999999999" customHeight="1" x14ac:dyDescent="0.35"/>
    <row r="26" spans="2:27" customFormat="1" ht="17.149999999999999" customHeight="1" x14ac:dyDescent="0.35"/>
    <row r="27" spans="2:27" customFormat="1" ht="17.149999999999999" customHeight="1" x14ac:dyDescent="0.35"/>
    <row r="28" spans="2:27" customFormat="1" ht="17.149999999999999" customHeight="1" x14ac:dyDescent="0.35"/>
    <row r="29" spans="2:27" customFormat="1" ht="17.149999999999999" customHeight="1" x14ac:dyDescent="0.35"/>
    <row r="30" spans="2:27" customFormat="1" ht="17.149999999999999" customHeight="1" x14ac:dyDescent="0.35"/>
    <row r="31" spans="2:27" customFormat="1" ht="17.149999999999999" customHeight="1" x14ac:dyDescent="0.35"/>
    <row r="32" spans="2:27" customFormat="1" ht="14.5" customHeight="1" x14ac:dyDescent="0.35"/>
    <row r="33" spans="2:27" ht="14.5" customHeight="1" x14ac:dyDescent="0.35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</row>
    <row r="34" spans="2:27" ht="14.5" customHeight="1" x14ac:dyDescent="0.35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</row>
    <row r="35" spans="2:27" ht="14.5" customHeight="1" x14ac:dyDescent="0.35"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</row>
    <row r="36" spans="2:27" ht="14.5" customHeight="1" x14ac:dyDescent="0.35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</row>
    <row r="37" spans="2:27" ht="14.5" customHeight="1" x14ac:dyDescent="0.35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</row>
    <row r="38" spans="2:27" ht="14.5" customHeight="1" x14ac:dyDescent="0.35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</row>
    <row r="39" spans="2:27" ht="14.5" customHeight="1" x14ac:dyDescent="0.35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2:27" ht="14.5" customHeight="1" x14ac:dyDescent="0.35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</row>
    <row r="41" spans="2:27" ht="14.5" customHeight="1" x14ac:dyDescent="0.35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</row>
    <row r="42" spans="2:27" ht="14.5" customHeight="1" x14ac:dyDescent="0.35"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27" ht="14.5" customHeight="1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</row>
    <row r="44" spans="2:27" ht="14.5" customHeight="1" x14ac:dyDescent="0.35"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</row>
    <row r="45" spans="2:27" ht="14.5" customHeight="1" x14ac:dyDescent="0.35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</row>
    <row r="46" spans="2:27" ht="14.5" customHeight="1" x14ac:dyDescent="0.35"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</row>
    <row r="47" spans="2:27" ht="14.5" customHeight="1" x14ac:dyDescent="0.35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</row>
    <row r="48" spans="2:27" ht="14.5" customHeight="1" x14ac:dyDescent="0.35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</row>
    <row r="49" spans="2:27" ht="14.5" customHeight="1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</row>
    <row r="50" spans="2:27" ht="14.5" customHeight="1" x14ac:dyDescent="0.35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</row>
    <row r="51" spans="2:27" ht="14.5" customHeight="1" x14ac:dyDescent="0.35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</row>
    <row r="52" spans="2:27" ht="12" customHeight="1" x14ac:dyDescent="0.35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</row>
    <row r="53" spans="2:27" ht="12" customHeight="1" x14ac:dyDescent="0.35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</row>
    <row r="54" spans="2:27" ht="12" customHeight="1" x14ac:dyDescent="0.35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2:27" ht="12" customHeight="1" x14ac:dyDescent="0.35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2:27" ht="12" customHeight="1" x14ac:dyDescent="0.35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2:27" ht="12" customHeight="1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2:27" ht="12" customHeight="1" x14ac:dyDescent="0.35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</row>
    <row r="59" spans="2:27" ht="12" customHeight="1" x14ac:dyDescent="0.35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</row>
    <row r="60" spans="2:27" ht="12" customHeight="1" x14ac:dyDescent="0.35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</row>
    <row r="61" spans="2:27" ht="12" customHeight="1" x14ac:dyDescent="0.35"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</row>
    <row r="62" spans="2:27" ht="12" customHeight="1" x14ac:dyDescent="0.35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2:27" ht="12" customHeight="1" x14ac:dyDescent="0.35"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2:27" ht="12" customHeight="1" x14ac:dyDescent="0.35"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</row>
    <row r="65" spans="2:27" ht="12" customHeight="1" x14ac:dyDescent="0.35"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</row>
    <row r="66" spans="2:27" ht="12" customHeight="1" x14ac:dyDescent="0.35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</row>
    <row r="67" spans="2:27" ht="12" customHeight="1" x14ac:dyDescent="0.35"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</row>
    <row r="68" spans="2:27" ht="12" customHeight="1" x14ac:dyDescent="0.35"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2:27" ht="12" customHeight="1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</row>
    <row r="70" spans="2:27" ht="12" customHeight="1" x14ac:dyDescent="0.35"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</row>
    <row r="71" spans="2:27" ht="12" customHeight="1" x14ac:dyDescent="0.35"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2:27" ht="12" customHeight="1" x14ac:dyDescent="0.35"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2:27" ht="12" customHeight="1" x14ac:dyDescent="0.35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</row>
    <row r="74" spans="2:27" ht="12" customHeight="1" x14ac:dyDescent="0.35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</row>
    <row r="75" spans="2:27" ht="12" customHeight="1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</row>
    <row r="76" spans="2:27" ht="12" customHeight="1" x14ac:dyDescent="0.35"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</row>
    <row r="77" spans="2:27" ht="12" customHeight="1" x14ac:dyDescent="0.35"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</row>
    <row r="78" spans="2:27" ht="12" customHeight="1" x14ac:dyDescent="0.35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2:27" ht="12" customHeight="1" x14ac:dyDescent="0.35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2:27" ht="12" customHeight="1" x14ac:dyDescent="0.35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2:27" ht="12" customHeight="1" x14ac:dyDescent="0.35"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</row>
    <row r="82" spans="2:27" ht="12" customHeight="1" x14ac:dyDescent="0.35"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</row>
    <row r="83" spans="2:27" ht="12" customHeight="1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</row>
    <row r="84" spans="2:27" ht="12" customHeight="1" x14ac:dyDescent="0.35"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</row>
    <row r="85" spans="2:27" ht="12" customHeight="1" x14ac:dyDescent="0.35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</row>
    <row r="86" spans="2:27" ht="12" customHeight="1" x14ac:dyDescent="0.35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</row>
    <row r="87" spans="2:27" ht="12" customHeight="1" x14ac:dyDescent="0.35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</row>
    <row r="88" spans="2:27" ht="12" customHeight="1" x14ac:dyDescent="0.35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2:27" ht="12" customHeight="1" x14ac:dyDescent="0.35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</row>
    <row r="90" spans="2:27" ht="12" customHeight="1" x14ac:dyDescent="0.35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</row>
    <row r="91" spans="2:27" ht="12" customHeight="1" x14ac:dyDescent="0.35"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</row>
    <row r="92" spans="2:27" ht="12" customHeight="1" x14ac:dyDescent="0.35"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</row>
    <row r="93" spans="2:27" ht="12" customHeight="1" x14ac:dyDescent="0.35"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</row>
    <row r="94" spans="2:27" ht="12" customHeight="1" x14ac:dyDescent="0.35"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</row>
    <row r="95" spans="2:27" ht="12" customHeight="1" x14ac:dyDescent="0.35"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</row>
    <row r="96" spans="2:27" ht="12" customHeight="1" x14ac:dyDescent="0.35"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</row>
    <row r="97" spans="2:27" ht="12" customHeight="1" x14ac:dyDescent="0.35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</row>
    <row r="98" spans="2:27" ht="12" customHeight="1" x14ac:dyDescent="0.35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</row>
    <row r="99" spans="2:27" ht="12" customHeight="1" x14ac:dyDescent="0.35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</row>
    <row r="100" spans="2:27" ht="12" customHeight="1" x14ac:dyDescent="0.35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</row>
    <row r="101" spans="2:27" ht="12" customHeight="1" x14ac:dyDescent="0.35"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</row>
    <row r="102" spans="2:27" ht="12" customHeight="1" x14ac:dyDescent="0.35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</row>
    <row r="103" spans="2:27" ht="12" customHeight="1" x14ac:dyDescent="0.35"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</row>
    <row r="104" spans="2:27" ht="12" customHeight="1" x14ac:dyDescent="0.35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</row>
    <row r="105" spans="2:27" ht="12" customHeight="1" x14ac:dyDescent="0.35"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</row>
    <row r="106" spans="2:27" ht="12" customHeight="1" x14ac:dyDescent="0.35"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</row>
    <row r="107" spans="2:27" ht="12" customHeight="1" x14ac:dyDescent="0.35"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</row>
    <row r="108" spans="2:27" ht="12" customHeight="1" x14ac:dyDescent="0.35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</row>
    <row r="109" spans="2:27" ht="12" customHeight="1" x14ac:dyDescent="0.35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</row>
    <row r="110" spans="2:27" ht="12" customHeight="1" x14ac:dyDescent="0.35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</row>
    <row r="111" spans="2:27" ht="12" customHeight="1" x14ac:dyDescent="0.35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</row>
    <row r="112" spans="2:27" ht="12" customHeight="1" x14ac:dyDescent="0.35"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</row>
    <row r="113" spans="2:27" ht="12" customHeight="1" x14ac:dyDescent="0.35"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</row>
    <row r="114" spans="2:27" ht="12" customHeight="1" x14ac:dyDescent="0.35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</row>
    <row r="115" spans="2:27" ht="12" customHeight="1" x14ac:dyDescent="0.35"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</row>
    <row r="116" spans="2:27" ht="12" customHeight="1" x14ac:dyDescent="0.35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</row>
    <row r="117" spans="2:27" ht="12" customHeight="1" x14ac:dyDescent="0.35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</row>
    <row r="118" spans="2:27" ht="12" customHeight="1" x14ac:dyDescent="0.35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</row>
    <row r="119" spans="2:27" ht="12" customHeight="1" x14ac:dyDescent="0.35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</row>
    <row r="120" spans="2:27" ht="12" customHeight="1" x14ac:dyDescent="0.35"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</row>
    <row r="121" spans="2:27" ht="12" customHeight="1" x14ac:dyDescent="0.35"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</row>
    <row r="122" spans="2:27" ht="12" customHeight="1" x14ac:dyDescent="0.35"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</row>
    <row r="123" spans="2:27" ht="12" customHeight="1" x14ac:dyDescent="0.35"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</row>
    <row r="124" spans="2:27" ht="12" customHeight="1" x14ac:dyDescent="0.35"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</row>
    <row r="125" spans="2:27" ht="12" customHeight="1" x14ac:dyDescent="0.35"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</row>
    <row r="126" spans="2:27" ht="12" customHeight="1" x14ac:dyDescent="0.35"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</row>
    <row r="127" spans="2:27" ht="12" customHeight="1" x14ac:dyDescent="0.35"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</row>
    <row r="128" spans="2:27" ht="12" customHeight="1" x14ac:dyDescent="0.35"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</row>
    <row r="129" spans="2:27" ht="12" customHeight="1" x14ac:dyDescent="0.35"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</row>
    <row r="130" spans="2:27" ht="12" customHeight="1" x14ac:dyDescent="0.35"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</row>
    <row r="131" spans="2:27" ht="12" customHeight="1" x14ac:dyDescent="0.35"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</row>
    <row r="132" spans="2:27" ht="12" customHeight="1" x14ac:dyDescent="0.35"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</row>
    <row r="133" spans="2:27" ht="12" customHeight="1" x14ac:dyDescent="0.35"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</row>
    <row r="134" spans="2:27" ht="12" customHeight="1" x14ac:dyDescent="0.35"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</row>
    <row r="135" spans="2:27" ht="12" customHeight="1" x14ac:dyDescent="0.35"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</row>
    <row r="136" spans="2:27" ht="12" customHeight="1" x14ac:dyDescent="0.35"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</row>
    <row r="137" spans="2:27" ht="12" customHeight="1" x14ac:dyDescent="0.35"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</row>
    <row r="138" spans="2:27" ht="12" customHeight="1" x14ac:dyDescent="0.35"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</row>
    <row r="139" spans="2:27" ht="12" customHeight="1" x14ac:dyDescent="0.35"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</row>
    <row r="140" spans="2:27" ht="12" customHeight="1" x14ac:dyDescent="0.35"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</row>
    <row r="141" spans="2:27" ht="12" customHeight="1" x14ac:dyDescent="0.35"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</row>
    <row r="142" spans="2:27" ht="12" customHeight="1" x14ac:dyDescent="0.35"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</row>
    <row r="143" spans="2:27" ht="12" customHeight="1" x14ac:dyDescent="0.35"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</row>
    <row r="144" spans="2:27" ht="12" customHeight="1" x14ac:dyDescent="0.35"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</row>
    <row r="145" spans="2:27" ht="12" customHeight="1" x14ac:dyDescent="0.35"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</row>
    <row r="146" spans="2:27" ht="12" customHeight="1" x14ac:dyDescent="0.35"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</row>
    <row r="147" spans="2:27" ht="12" customHeight="1" x14ac:dyDescent="0.35"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</row>
    <row r="148" spans="2:27" ht="12" customHeight="1" x14ac:dyDescent="0.35"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</row>
    <row r="149" spans="2:27" ht="12" customHeight="1" x14ac:dyDescent="0.35"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</row>
    <row r="150" spans="2:27" ht="12" customHeight="1" x14ac:dyDescent="0.35"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</row>
    <row r="151" spans="2:27" ht="12" customHeight="1" x14ac:dyDescent="0.35"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</row>
    <row r="152" spans="2:27" ht="12" customHeight="1" x14ac:dyDescent="0.35"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</row>
    <row r="153" spans="2:27" ht="12" customHeight="1" x14ac:dyDescent="0.35"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</row>
    <row r="154" spans="2:27" ht="12" customHeight="1" x14ac:dyDescent="0.35"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</row>
    <row r="155" spans="2:27" ht="12" customHeight="1" x14ac:dyDescent="0.35"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</row>
    <row r="156" spans="2:27" ht="12" customHeight="1" x14ac:dyDescent="0.35"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</row>
    <row r="157" spans="2:27" ht="12" customHeight="1" x14ac:dyDescent="0.35"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</row>
    <row r="158" spans="2:27" ht="12" customHeight="1" x14ac:dyDescent="0.35"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</row>
    <row r="159" spans="2:27" ht="12" customHeight="1" x14ac:dyDescent="0.35"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</row>
    <row r="160" spans="2:27" ht="12" customHeight="1" x14ac:dyDescent="0.35"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</row>
    <row r="161" spans="2:27" ht="12" customHeight="1" x14ac:dyDescent="0.35"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</row>
    <row r="162" spans="2:27" ht="12" customHeight="1" x14ac:dyDescent="0.35"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</row>
    <row r="163" spans="2:27" ht="12" customHeight="1" x14ac:dyDescent="0.35"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</row>
    <row r="164" spans="2:27" ht="12" customHeight="1" x14ac:dyDescent="0.35"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</row>
    <row r="165" spans="2:27" ht="12" customHeight="1" x14ac:dyDescent="0.35"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</row>
    <row r="166" spans="2:27" ht="12" customHeight="1" x14ac:dyDescent="0.35"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</row>
    <row r="167" spans="2:27" ht="12" customHeight="1" x14ac:dyDescent="0.35"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</row>
    <row r="168" spans="2:27" ht="12" customHeight="1" x14ac:dyDescent="0.35"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</row>
    <row r="169" spans="2:27" ht="12" customHeight="1" x14ac:dyDescent="0.35"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</row>
    <row r="170" spans="2:27" ht="12" customHeight="1" x14ac:dyDescent="0.35"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</row>
    <row r="171" spans="2:27" ht="12" customHeight="1" x14ac:dyDescent="0.35"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</row>
    <row r="172" spans="2:27" ht="12" customHeight="1" x14ac:dyDescent="0.35"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</row>
    <row r="173" spans="2:27" ht="12" customHeight="1" x14ac:dyDescent="0.35"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</row>
    <row r="174" spans="2:27" ht="12" customHeight="1" x14ac:dyDescent="0.35"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</row>
    <row r="175" spans="2:27" ht="12" customHeight="1" x14ac:dyDescent="0.35"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</row>
    <row r="176" spans="2:27" ht="12" customHeight="1" x14ac:dyDescent="0.35"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</row>
    <row r="177" spans="2:27" ht="12" customHeight="1" x14ac:dyDescent="0.35"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</row>
    <row r="178" spans="2:27" ht="12" customHeight="1" x14ac:dyDescent="0.35"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</row>
    <row r="179" spans="2:27" ht="12" customHeight="1" x14ac:dyDescent="0.35"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</row>
    <row r="180" spans="2:27" ht="12" customHeight="1" x14ac:dyDescent="0.35"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</row>
    <row r="181" spans="2:27" ht="12" customHeight="1" x14ac:dyDescent="0.35"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</row>
    <row r="182" spans="2:27" ht="12" customHeight="1" x14ac:dyDescent="0.35"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</row>
    <row r="183" spans="2:27" ht="12" customHeight="1" x14ac:dyDescent="0.35"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</row>
    <row r="184" spans="2:27" ht="12" customHeight="1" x14ac:dyDescent="0.35"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</row>
    <row r="185" spans="2:27" ht="12" customHeight="1" x14ac:dyDescent="0.35"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</row>
    <row r="186" spans="2:27" ht="12" customHeight="1" x14ac:dyDescent="0.35"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</row>
    <row r="187" spans="2:27" ht="12" customHeight="1" x14ac:dyDescent="0.35"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</row>
    <row r="188" spans="2:27" ht="12" customHeight="1" x14ac:dyDescent="0.35"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</row>
    <row r="189" spans="2:27" ht="12" customHeight="1" x14ac:dyDescent="0.35"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</row>
    <row r="190" spans="2:27" ht="12" customHeight="1" x14ac:dyDescent="0.35"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</row>
    <row r="191" spans="2:27" ht="12" customHeight="1" x14ac:dyDescent="0.35"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</row>
    <row r="192" spans="2:27" ht="12" customHeight="1" x14ac:dyDescent="0.35"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</row>
    <row r="193" spans="2:27" ht="12" customHeight="1" x14ac:dyDescent="0.35"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</row>
    <row r="194" spans="2:27" ht="12" customHeight="1" x14ac:dyDescent="0.35"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</row>
    <row r="195" spans="2:27" ht="12" customHeight="1" x14ac:dyDescent="0.35"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</row>
    <row r="196" spans="2:27" ht="12" customHeight="1" x14ac:dyDescent="0.35"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</row>
    <row r="197" spans="2:27" ht="12" customHeight="1" x14ac:dyDescent="0.35"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</row>
    <row r="198" spans="2:27" ht="12" customHeight="1" x14ac:dyDescent="0.35"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</row>
    <row r="199" spans="2:27" ht="12" customHeight="1" x14ac:dyDescent="0.35"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</row>
    <row r="200" spans="2:27" ht="12" customHeight="1" x14ac:dyDescent="0.35"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</row>
    <row r="201" spans="2:27" ht="12" customHeight="1" x14ac:dyDescent="0.35"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</row>
    <row r="202" spans="2:27" ht="12" customHeight="1" x14ac:dyDescent="0.35"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</row>
    <row r="203" spans="2:27" ht="12" customHeight="1" x14ac:dyDescent="0.35"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</row>
    <row r="204" spans="2:27" ht="12" customHeight="1" x14ac:dyDescent="0.35"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</row>
    <row r="205" spans="2:27" ht="12" customHeight="1" x14ac:dyDescent="0.35"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</row>
    <row r="206" spans="2:27" ht="12" customHeight="1" x14ac:dyDescent="0.35"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</row>
    <row r="207" spans="2:27" ht="12" customHeight="1" x14ac:dyDescent="0.35"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</row>
    <row r="208" spans="2:27" ht="12" customHeight="1" x14ac:dyDescent="0.35"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</row>
    <row r="209" spans="2:27" ht="12" customHeight="1" x14ac:dyDescent="0.35"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</row>
    <row r="210" spans="2:27" ht="12" customHeight="1" x14ac:dyDescent="0.35"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</row>
    <row r="211" spans="2:27" ht="12" customHeight="1" x14ac:dyDescent="0.35"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</row>
    <row r="212" spans="2:27" ht="12" customHeight="1" x14ac:dyDescent="0.35"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</row>
    <row r="213" spans="2:27" ht="12" customHeight="1" x14ac:dyDescent="0.35"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</row>
    <row r="214" spans="2:27" ht="12" customHeight="1" x14ac:dyDescent="0.35"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</row>
    <row r="215" spans="2:27" ht="12" customHeight="1" x14ac:dyDescent="0.35"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</row>
    <row r="216" spans="2:27" ht="12" customHeight="1" x14ac:dyDescent="0.35"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</row>
    <row r="217" spans="2:27" ht="12" customHeight="1" x14ac:dyDescent="0.35"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</row>
    <row r="218" spans="2:27" ht="12" customHeight="1" x14ac:dyDescent="0.35"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</row>
    <row r="219" spans="2:27" ht="12" customHeight="1" x14ac:dyDescent="0.35"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</row>
    <row r="220" spans="2:27" ht="12" customHeight="1" x14ac:dyDescent="0.35"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</row>
    <row r="221" spans="2:27" ht="12" customHeight="1" x14ac:dyDescent="0.35"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</row>
    <row r="222" spans="2:27" ht="12" customHeight="1" x14ac:dyDescent="0.35"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</row>
    <row r="223" spans="2:27" ht="12" customHeight="1" x14ac:dyDescent="0.35"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</row>
    <row r="224" spans="2:27" ht="12" customHeight="1" x14ac:dyDescent="0.35"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</row>
    <row r="225" spans="2:27" ht="12" customHeight="1" x14ac:dyDescent="0.35"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</row>
    <row r="226" spans="2:27" ht="12" customHeight="1" x14ac:dyDescent="0.35"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</row>
    <row r="227" spans="2:27" ht="12" customHeight="1" x14ac:dyDescent="0.35"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</row>
    <row r="228" spans="2:27" ht="12" customHeight="1" x14ac:dyDescent="0.35"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</row>
    <row r="229" spans="2:27" ht="12" customHeight="1" x14ac:dyDescent="0.35"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</row>
    <row r="230" spans="2:27" ht="12" customHeight="1" x14ac:dyDescent="0.35"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</row>
    <row r="231" spans="2:27" ht="12" customHeight="1" x14ac:dyDescent="0.35"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</row>
    <row r="232" spans="2:27" ht="12" customHeight="1" x14ac:dyDescent="0.35"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</row>
    <row r="233" spans="2:27" ht="12" customHeight="1" x14ac:dyDescent="0.35"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</row>
    <row r="234" spans="2:27" ht="12" customHeight="1" x14ac:dyDescent="0.35"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</row>
    <row r="235" spans="2:27" ht="12" customHeight="1" x14ac:dyDescent="0.35"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</row>
    <row r="236" spans="2:27" ht="12" customHeight="1" x14ac:dyDescent="0.35"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</row>
    <row r="237" spans="2:27" ht="12" customHeight="1" x14ac:dyDescent="0.35"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</row>
    <row r="238" spans="2:27" ht="12" customHeight="1" x14ac:dyDescent="0.35"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</row>
    <row r="239" spans="2:27" ht="12" customHeight="1" x14ac:dyDescent="0.35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</row>
    <row r="240" spans="2:27" ht="12" customHeight="1" x14ac:dyDescent="0.35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</row>
    <row r="241" spans="2:27" ht="12" customHeight="1" x14ac:dyDescent="0.35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</row>
    <row r="242" spans="2:27" ht="12" customHeight="1" x14ac:dyDescent="0.35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</row>
    <row r="243" spans="2:27" ht="12" customHeight="1" x14ac:dyDescent="0.35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</row>
    <row r="244" spans="2:27" ht="12" customHeight="1" x14ac:dyDescent="0.35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</row>
    <row r="245" spans="2:27" ht="12" customHeight="1" x14ac:dyDescent="0.35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</row>
    <row r="246" spans="2:27" ht="12" customHeight="1" x14ac:dyDescent="0.35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</row>
    <row r="247" spans="2:27" ht="12" customHeight="1" x14ac:dyDescent="0.35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</row>
    <row r="248" spans="2:27" ht="12" customHeight="1" x14ac:dyDescent="0.35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</row>
    <row r="249" spans="2:27" ht="12" customHeight="1" x14ac:dyDescent="0.35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</row>
    <row r="250" spans="2:27" ht="12" customHeight="1" x14ac:dyDescent="0.35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</row>
    <row r="251" spans="2:27" ht="12" customHeight="1" x14ac:dyDescent="0.35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</row>
    <row r="252" spans="2:27" ht="12" customHeight="1" x14ac:dyDescent="0.35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</row>
    <row r="253" spans="2:27" ht="12" customHeight="1" x14ac:dyDescent="0.35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</row>
    <row r="254" spans="2:27" ht="12" customHeight="1" x14ac:dyDescent="0.35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</row>
    <row r="255" spans="2:27" ht="12" customHeight="1" x14ac:dyDescent="0.35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</row>
    <row r="256" spans="2:27" ht="12" customHeight="1" x14ac:dyDescent="0.35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</row>
    <row r="257" spans="2:27" ht="12" customHeight="1" x14ac:dyDescent="0.35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</row>
    <row r="258" spans="2:27" ht="12" customHeight="1" x14ac:dyDescent="0.35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</row>
    <row r="259" spans="2:27" ht="12" customHeight="1" x14ac:dyDescent="0.35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</row>
    <row r="260" spans="2:27" ht="12" customHeight="1" x14ac:dyDescent="0.35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</row>
    <row r="261" spans="2:27" ht="12" customHeight="1" x14ac:dyDescent="0.35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</row>
    <row r="262" spans="2:27" ht="12" customHeight="1" x14ac:dyDescent="0.35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</row>
    <row r="263" spans="2:27" ht="12" customHeight="1" x14ac:dyDescent="0.35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</row>
    <row r="264" spans="2:27" ht="12" customHeight="1" x14ac:dyDescent="0.35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</row>
    <row r="265" spans="2:27" ht="12" customHeight="1" x14ac:dyDescent="0.35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</row>
    <row r="266" spans="2:27" ht="12" customHeight="1" x14ac:dyDescent="0.35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</row>
    <row r="267" spans="2:27" ht="12" customHeight="1" x14ac:dyDescent="0.35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</row>
    <row r="268" spans="2:27" ht="12" customHeight="1" x14ac:dyDescent="0.35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</row>
    <row r="269" spans="2:27" ht="12" customHeight="1" x14ac:dyDescent="0.35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</row>
    <row r="270" spans="2:27" ht="12" customHeight="1" x14ac:dyDescent="0.35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</row>
    <row r="271" spans="2:27" ht="12" customHeight="1" x14ac:dyDescent="0.35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</row>
    <row r="272" spans="2:27" ht="12" customHeight="1" x14ac:dyDescent="0.35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</row>
    <row r="273" spans="2:27" ht="12" customHeight="1" x14ac:dyDescent="0.35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</row>
    <row r="274" spans="2:27" ht="12" customHeight="1" x14ac:dyDescent="0.35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</row>
    <row r="275" spans="2:27" ht="12" customHeight="1" x14ac:dyDescent="0.35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</row>
    <row r="276" spans="2:27" ht="12" customHeight="1" x14ac:dyDescent="0.35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</row>
    <row r="277" spans="2:27" ht="12" customHeight="1" x14ac:dyDescent="0.35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</row>
    <row r="278" spans="2:27" ht="12" customHeight="1" x14ac:dyDescent="0.35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</row>
    <row r="279" spans="2:27" ht="12" customHeight="1" x14ac:dyDescent="0.35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</row>
    <row r="280" spans="2:27" ht="12" customHeight="1" x14ac:dyDescent="0.35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</row>
    <row r="281" spans="2:27" ht="12" customHeight="1" x14ac:dyDescent="0.35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</row>
    <row r="282" spans="2:27" ht="12" customHeight="1" x14ac:dyDescent="0.35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</row>
    <row r="283" spans="2:27" ht="12" customHeight="1" x14ac:dyDescent="0.35"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</row>
    <row r="284" spans="2:27" ht="12" customHeight="1" x14ac:dyDescent="0.35"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</row>
    <row r="285" spans="2:27" ht="12" customHeight="1" x14ac:dyDescent="0.35"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</row>
    <row r="286" spans="2:27" ht="12" customHeight="1" x14ac:dyDescent="0.35"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</row>
    <row r="287" spans="2:27" ht="12" customHeight="1" x14ac:dyDescent="0.35"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</row>
    <row r="288" spans="2:27" ht="12" customHeight="1" x14ac:dyDescent="0.35"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</row>
    <row r="289" spans="2:27" ht="12" customHeight="1" x14ac:dyDescent="0.35"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</row>
    <row r="290" spans="2:27" ht="12" customHeight="1" x14ac:dyDescent="0.35"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</row>
    <row r="291" spans="2:27" ht="12" customHeight="1" x14ac:dyDescent="0.35"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</row>
    <row r="292" spans="2:27" ht="12" customHeight="1" x14ac:dyDescent="0.35"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</row>
    <row r="293" spans="2:27" ht="12" customHeight="1" x14ac:dyDescent="0.35"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</row>
    <row r="294" spans="2:27" ht="12" customHeight="1" x14ac:dyDescent="0.35"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</row>
    <row r="295" spans="2:27" ht="12" customHeight="1" x14ac:dyDescent="0.35"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</row>
    <row r="296" spans="2:27" ht="12" customHeight="1" x14ac:dyDescent="0.35"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</row>
    <row r="297" spans="2:27" ht="12" customHeight="1" x14ac:dyDescent="0.35"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</row>
    <row r="298" spans="2:27" ht="12" customHeight="1" x14ac:dyDescent="0.35"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</row>
    <row r="299" spans="2:27" ht="12" customHeight="1" x14ac:dyDescent="0.35"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</row>
    <row r="300" spans="2:27" ht="12" customHeight="1" x14ac:dyDescent="0.35"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</row>
    <row r="301" spans="2:27" ht="12" customHeight="1" x14ac:dyDescent="0.35"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</row>
    <row r="302" spans="2:27" ht="12" customHeight="1" x14ac:dyDescent="0.35"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</row>
    <row r="303" spans="2:27" ht="12" customHeight="1" x14ac:dyDescent="0.35"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</row>
    <row r="304" spans="2:27" ht="12" customHeight="1" x14ac:dyDescent="0.35"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</row>
    <row r="305" spans="2:27" ht="12" customHeight="1" x14ac:dyDescent="0.35"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</row>
    <row r="306" spans="2:27" ht="12" customHeight="1" x14ac:dyDescent="0.35"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</row>
    <row r="307" spans="2:27" ht="12" customHeight="1" x14ac:dyDescent="0.35"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</row>
    <row r="308" spans="2:27" ht="12" customHeight="1" x14ac:dyDescent="0.35"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</row>
    <row r="309" spans="2:27" ht="12" customHeight="1" x14ac:dyDescent="0.35"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</row>
    <row r="310" spans="2:27" ht="12" customHeight="1" x14ac:dyDescent="0.35"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</row>
    <row r="311" spans="2:27" ht="12" customHeight="1" x14ac:dyDescent="0.35"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</row>
    <row r="312" spans="2:27" ht="12" customHeight="1" x14ac:dyDescent="0.35"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</row>
    <row r="313" spans="2:27" ht="12" customHeight="1" x14ac:dyDescent="0.35"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</row>
    <row r="314" spans="2:27" ht="12" customHeight="1" x14ac:dyDescent="0.35"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</row>
    <row r="315" spans="2:27" ht="12" customHeight="1" x14ac:dyDescent="0.35"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</row>
    <row r="316" spans="2:27" ht="12" customHeight="1" x14ac:dyDescent="0.35"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</row>
    <row r="317" spans="2:27" ht="12" customHeight="1" x14ac:dyDescent="0.35"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</row>
    <row r="318" spans="2:27" ht="12" customHeight="1" x14ac:dyDescent="0.35"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</row>
    <row r="319" spans="2:27" ht="12" customHeight="1" x14ac:dyDescent="0.35"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</row>
    <row r="320" spans="2:27" ht="12" customHeight="1" x14ac:dyDescent="0.35"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</row>
    <row r="321" spans="2:27" ht="12" customHeight="1" x14ac:dyDescent="0.35"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</row>
    <row r="322" spans="2:27" ht="12" customHeight="1" x14ac:dyDescent="0.35"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</row>
    <row r="323" spans="2:27" ht="12" customHeight="1" x14ac:dyDescent="0.35"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</row>
    <row r="324" spans="2:27" ht="12" customHeight="1" x14ac:dyDescent="0.35"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</row>
    <row r="325" spans="2:27" ht="12" customHeight="1" x14ac:dyDescent="0.35"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</row>
    <row r="326" spans="2:27" ht="12" customHeight="1" x14ac:dyDescent="0.35"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</row>
    <row r="327" spans="2:27" ht="12" customHeight="1" x14ac:dyDescent="0.35"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</row>
    <row r="328" spans="2:27" ht="12" customHeight="1" x14ac:dyDescent="0.35"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</row>
    <row r="329" spans="2:27" ht="12" customHeight="1" x14ac:dyDescent="0.35"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</row>
    <row r="330" spans="2:27" ht="12" customHeight="1" x14ac:dyDescent="0.35"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</row>
    <row r="331" spans="2:27" ht="12" customHeight="1" x14ac:dyDescent="0.35"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</row>
    <row r="332" spans="2:27" ht="12" customHeight="1" x14ac:dyDescent="0.35"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</row>
    <row r="333" spans="2:27" ht="12" customHeight="1" x14ac:dyDescent="0.35"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</row>
    <row r="334" spans="2:27" ht="12" customHeight="1" x14ac:dyDescent="0.35"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</row>
    <row r="335" spans="2:27" ht="12" customHeight="1" x14ac:dyDescent="0.35"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</row>
    <row r="336" spans="2:27" ht="12" customHeight="1" x14ac:dyDescent="0.35"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</row>
    <row r="337" spans="2:27" ht="12" customHeight="1" x14ac:dyDescent="0.35"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</row>
    <row r="338" spans="2:27" ht="12" customHeight="1" x14ac:dyDescent="0.35"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</row>
    <row r="339" spans="2:27" ht="12" customHeight="1" x14ac:dyDescent="0.35"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</row>
    <row r="340" spans="2:27" ht="12" customHeight="1" x14ac:dyDescent="0.35"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</row>
    <row r="341" spans="2:27" ht="12" customHeight="1" x14ac:dyDescent="0.35"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</row>
    <row r="342" spans="2:27" ht="12" customHeight="1" x14ac:dyDescent="0.35"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</row>
    <row r="343" spans="2:27" ht="12" customHeight="1" x14ac:dyDescent="0.35"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</row>
    <row r="344" spans="2:27" ht="12" customHeight="1" x14ac:dyDescent="0.35"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</row>
    <row r="345" spans="2:27" ht="12" customHeight="1" x14ac:dyDescent="0.35"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</row>
    <row r="346" spans="2:27" ht="12" customHeight="1" x14ac:dyDescent="0.35"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</row>
    <row r="347" spans="2:27" ht="12" customHeight="1" x14ac:dyDescent="0.35"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</row>
    <row r="348" spans="2:27" ht="12" customHeight="1" x14ac:dyDescent="0.35"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</row>
    <row r="349" spans="2:27" ht="12" customHeight="1" x14ac:dyDescent="0.35"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</row>
    <row r="350" spans="2:27" ht="12" customHeight="1" x14ac:dyDescent="0.35"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</row>
    <row r="351" spans="2:27" ht="12" customHeight="1" x14ac:dyDescent="0.35"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</row>
    <row r="352" spans="2:27" ht="12" customHeight="1" x14ac:dyDescent="0.35"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</row>
    <row r="353" spans="2:27" ht="12" customHeight="1" x14ac:dyDescent="0.35"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</row>
    <row r="354" spans="2:27" ht="12" customHeight="1" x14ac:dyDescent="0.35"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</row>
    <row r="355" spans="2:27" ht="12" customHeight="1" x14ac:dyDescent="0.35"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</row>
    <row r="356" spans="2:27" ht="12" customHeight="1" x14ac:dyDescent="0.35"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</row>
    <row r="357" spans="2:27" ht="12" customHeight="1" x14ac:dyDescent="0.35"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</row>
    <row r="358" spans="2:27" ht="12" customHeight="1" x14ac:dyDescent="0.35"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</row>
    <row r="359" spans="2:27" ht="12" customHeight="1" x14ac:dyDescent="0.35"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</row>
    <row r="360" spans="2:27" ht="12" customHeight="1" x14ac:dyDescent="0.35"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</row>
    <row r="361" spans="2:27" ht="12" customHeight="1" x14ac:dyDescent="0.35"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</row>
    <row r="362" spans="2:27" ht="12" customHeight="1" x14ac:dyDescent="0.35"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</row>
    <row r="363" spans="2:27" ht="12" customHeight="1" x14ac:dyDescent="0.35"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</row>
    <row r="364" spans="2:27" ht="12" customHeight="1" x14ac:dyDescent="0.35"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</row>
    <row r="365" spans="2:27" ht="12" customHeight="1" x14ac:dyDescent="0.35"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</row>
    <row r="366" spans="2:27" ht="12" customHeight="1" x14ac:dyDescent="0.35"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</row>
    <row r="367" spans="2:27" ht="12" customHeight="1" x14ac:dyDescent="0.35"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</row>
    <row r="368" spans="2:27" ht="12" customHeight="1" x14ac:dyDescent="0.35"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</row>
    <row r="369" spans="2:27" ht="12" customHeight="1" x14ac:dyDescent="0.35"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</row>
    <row r="370" spans="2:27" ht="12" customHeight="1" x14ac:dyDescent="0.35"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</row>
    <row r="371" spans="2:27" ht="12" customHeight="1" x14ac:dyDescent="0.35"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</row>
    <row r="372" spans="2:27" ht="12" customHeight="1" x14ac:dyDescent="0.35"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</row>
    <row r="373" spans="2:27" ht="12" customHeight="1" x14ac:dyDescent="0.35"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</row>
    <row r="374" spans="2:27" ht="12" customHeight="1" x14ac:dyDescent="0.35"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</row>
    <row r="375" spans="2:27" ht="12" customHeight="1" x14ac:dyDescent="0.35"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</row>
    <row r="376" spans="2:27" ht="12" customHeight="1" x14ac:dyDescent="0.35"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</row>
    <row r="377" spans="2:27" ht="12" customHeight="1" x14ac:dyDescent="0.35"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</row>
    <row r="378" spans="2:27" ht="12" customHeight="1" x14ac:dyDescent="0.35"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</row>
    <row r="379" spans="2:27" ht="12" customHeight="1" x14ac:dyDescent="0.35"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</row>
    <row r="380" spans="2:27" ht="12" customHeight="1" x14ac:dyDescent="0.35"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</row>
    <row r="381" spans="2:27" ht="12" customHeight="1" x14ac:dyDescent="0.35"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</row>
    <row r="382" spans="2:27" ht="12" customHeight="1" x14ac:dyDescent="0.35"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</row>
    <row r="383" spans="2:27" ht="12" customHeight="1" x14ac:dyDescent="0.35"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</row>
    <row r="384" spans="2:27" ht="12" customHeight="1" x14ac:dyDescent="0.35"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</row>
    <row r="385" spans="2:27" ht="12" customHeight="1" x14ac:dyDescent="0.35"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</row>
    <row r="386" spans="2:27" ht="12" customHeight="1" x14ac:dyDescent="0.35"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</row>
    <row r="387" spans="2:27" ht="12" customHeight="1" x14ac:dyDescent="0.35"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</row>
    <row r="388" spans="2:27" ht="12" customHeight="1" x14ac:dyDescent="0.35"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</row>
    <row r="389" spans="2:27" ht="12" customHeight="1" x14ac:dyDescent="0.35"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</row>
    <row r="390" spans="2:27" ht="12" customHeight="1" x14ac:dyDescent="0.35"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</row>
    <row r="391" spans="2:27" ht="12" customHeight="1" x14ac:dyDescent="0.35"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</row>
    <row r="392" spans="2:27" ht="12" customHeight="1" x14ac:dyDescent="0.35"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</row>
    <row r="393" spans="2:27" ht="12" customHeight="1" x14ac:dyDescent="0.35"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</row>
    <row r="394" spans="2:27" ht="12" customHeight="1" x14ac:dyDescent="0.35"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</row>
    <row r="395" spans="2:27" ht="12" customHeight="1" x14ac:dyDescent="0.35"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</row>
    <row r="396" spans="2:27" ht="12" customHeight="1" x14ac:dyDescent="0.35"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</row>
    <row r="397" spans="2:27" ht="12" customHeight="1" x14ac:dyDescent="0.35"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</row>
    <row r="398" spans="2:27" ht="12" customHeight="1" x14ac:dyDescent="0.35"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</row>
    <row r="399" spans="2:27" ht="12" customHeight="1" x14ac:dyDescent="0.35"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</row>
    <row r="400" spans="2:27" ht="12" customHeight="1" x14ac:dyDescent="0.35"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</row>
    <row r="401" spans="2:27" ht="12" customHeight="1" x14ac:dyDescent="0.35"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</row>
    <row r="402" spans="2:27" ht="12" customHeight="1" x14ac:dyDescent="0.35"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</row>
    <row r="403" spans="2:27" ht="12" customHeight="1" x14ac:dyDescent="0.35"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</row>
    <row r="404" spans="2:27" ht="12" customHeight="1" x14ac:dyDescent="0.35"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</row>
    <row r="405" spans="2:27" ht="12" customHeight="1" x14ac:dyDescent="0.35"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</row>
    <row r="406" spans="2:27" ht="12" customHeight="1" x14ac:dyDescent="0.35"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</row>
    <row r="407" spans="2:27" ht="12" customHeight="1" x14ac:dyDescent="0.35"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</row>
    <row r="408" spans="2:27" ht="12" customHeight="1" x14ac:dyDescent="0.35"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</row>
    <row r="409" spans="2:27" ht="12" customHeight="1" x14ac:dyDescent="0.35"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</row>
    <row r="410" spans="2:27" ht="12" customHeight="1" x14ac:dyDescent="0.35"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</row>
    <row r="411" spans="2:27" ht="12" customHeight="1" x14ac:dyDescent="0.35"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</row>
    <row r="412" spans="2:27" ht="12" customHeight="1" x14ac:dyDescent="0.35"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</row>
    <row r="413" spans="2:27" ht="12" customHeight="1" x14ac:dyDescent="0.35"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</row>
    <row r="414" spans="2:27" ht="12" customHeight="1" x14ac:dyDescent="0.35"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</row>
    <row r="415" spans="2:27" ht="12" customHeight="1" x14ac:dyDescent="0.35"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</row>
    <row r="416" spans="2:27" ht="12" customHeight="1" x14ac:dyDescent="0.35"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</row>
    <row r="417" spans="2:27" ht="12" customHeight="1" x14ac:dyDescent="0.35"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</row>
    <row r="418" spans="2:27" ht="12" customHeight="1" x14ac:dyDescent="0.35"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</row>
    <row r="419" spans="2:27" ht="12" customHeight="1" x14ac:dyDescent="0.35"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</row>
    <row r="420" spans="2:27" ht="12" customHeight="1" x14ac:dyDescent="0.35"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</row>
    <row r="421" spans="2:27" ht="12" customHeight="1" x14ac:dyDescent="0.35"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</row>
    <row r="422" spans="2:27" ht="12" customHeight="1" x14ac:dyDescent="0.35"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</row>
    <row r="423" spans="2:27" ht="12" customHeight="1" x14ac:dyDescent="0.35"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</row>
    <row r="424" spans="2:27" ht="12" customHeight="1" x14ac:dyDescent="0.35"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</row>
    <row r="425" spans="2:27" ht="12" customHeight="1" x14ac:dyDescent="0.35"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</row>
    <row r="426" spans="2:27" ht="12" customHeight="1" x14ac:dyDescent="0.35"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</row>
    <row r="427" spans="2:27" ht="12" customHeight="1" x14ac:dyDescent="0.35"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</row>
    <row r="428" spans="2:27" ht="12" customHeight="1" x14ac:dyDescent="0.35"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</row>
    <row r="429" spans="2:27" ht="12" customHeight="1" x14ac:dyDescent="0.35"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</row>
    <row r="430" spans="2:27" ht="12" customHeight="1" x14ac:dyDescent="0.35"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</row>
    <row r="431" spans="2:27" ht="12" customHeight="1" x14ac:dyDescent="0.35"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</row>
    <row r="432" spans="2:27" ht="12" customHeight="1" x14ac:dyDescent="0.35"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</row>
    <row r="433" spans="2:27" ht="12" customHeight="1" x14ac:dyDescent="0.35"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</row>
    <row r="434" spans="2:27" ht="12" customHeight="1" x14ac:dyDescent="0.35"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</row>
    <row r="435" spans="2:27" ht="12" customHeight="1" x14ac:dyDescent="0.35"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</row>
    <row r="436" spans="2:27" ht="12" customHeight="1" x14ac:dyDescent="0.35"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</row>
    <row r="437" spans="2:27" ht="12" customHeight="1" x14ac:dyDescent="0.35"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</row>
    <row r="438" spans="2:27" ht="12" customHeight="1" x14ac:dyDescent="0.35"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</row>
    <row r="439" spans="2:27" ht="12" customHeight="1" x14ac:dyDescent="0.35"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</row>
    <row r="440" spans="2:27" ht="12" customHeight="1" x14ac:dyDescent="0.35"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</row>
    <row r="441" spans="2:27" ht="12" customHeight="1" x14ac:dyDescent="0.35"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</row>
    <row r="442" spans="2:27" ht="12" customHeight="1" x14ac:dyDescent="0.35"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</row>
    <row r="443" spans="2:27" ht="12" customHeight="1" x14ac:dyDescent="0.35"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</row>
    <row r="444" spans="2:27" ht="12" customHeight="1" x14ac:dyDescent="0.35"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</row>
    <row r="445" spans="2:27" ht="12" customHeight="1" x14ac:dyDescent="0.35"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</row>
    <row r="446" spans="2:27" ht="12" customHeight="1" x14ac:dyDescent="0.35"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</row>
    <row r="447" spans="2:27" ht="12" customHeight="1" x14ac:dyDescent="0.35"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</row>
    <row r="448" spans="2:27" ht="12" customHeight="1" x14ac:dyDescent="0.35"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</row>
    <row r="449" spans="2:27" ht="12" customHeight="1" x14ac:dyDescent="0.35"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</row>
    <row r="450" spans="2:27" ht="12" customHeight="1" x14ac:dyDescent="0.35"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</row>
    <row r="451" spans="2:27" ht="12" customHeight="1" x14ac:dyDescent="0.35"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</row>
    <row r="452" spans="2:27" ht="12" customHeight="1" x14ac:dyDescent="0.35"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</row>
    <row r="453" spans="2:27" ht="12" customHeight="1" x14ac:dyDescent="0.35"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</row>
    <row r="454" spans="2:27" ht="12" customHeight="1" x14ac:dyDescent="0.35"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</row>
    <row r="455" spans="2:27" ht="12" customHeight="1" x14ac:dyDescent="0.35"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</row>
    <row r="456" spans="2:27" ht="12" customHeight="1" x14ac:dyDescent="0.35"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</row>
    <row r="457" spans="2:27" ht="12" customHeight="1" x14ac:dyDescent="0.35"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</row>
    <row r="458" spans="2:27" ht="12" customHeight="1" x14ac:dyDescent="0.35"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</row>
    <row r="459" spans="2:27" ht="12" customHeight="1" x14ac:dyDescent="0.35"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</row>
    <row r="460" spans="2:27" ht="12" customHeight="1" x14ac:dyDescent="0.35"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</row>
    <row r="461" spans="2:27" ht="12" customHeight="1" x14ac:dyDescent="0.35"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</row>
    <row r="462" spans="2:27" ht="12" customHeight="1" x14ac:dyDescent="0.35"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</row>
    <row r="463" spans="2:27" ht="12" customHeight="1" x14ac:dyDescent="0.35"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</row>
    <row r="464" spans="2:27" ht="12" customHeight="1" x14ac:dyDescent="0.35"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</row>
    <row r="465" spans="2:27" ht="12" customHeight="1" x14ac:dyDescent="0.35"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</row>
    <row r="466" spans="2:27" ht="12" customHeight="1" x14ac:dyDescent="0.35"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</row>
    <row r="467" spans="2:27" ht="12" customHeight="1" x14ac:dyDescent="0.35"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</row>
    <row r="468" spans="2:27" ht="12" customHeight="1" x14ac:dyDescent="0.35"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</row>
    <row r="469" spans="2:27" ht="12" customHeight="1" x14ac:dyDescent="0.35"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</row>
    <row r="470" spans="2:27" ht="12" customHeight="1" x14ac:dyDescent="0.35"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</row>
    <row r="471" spans="2:27" ht="12" customHeight="1" x14ac:dyDescent="0.35"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</row>
    <row r="472" spans="2:27" ht="12" customHeight="1" x14ac:dyDescent="0.35"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</row>
    <row r="473" spans="2:27" ht="12" customHeight="1" x14ac:dyDescent="0.35"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</row>
    <row r="474" spans="2:27" ht="12" customHeight="1" x14ac:dyDescent="0.35"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</row>
    <row r="475" spans="2:27" ht="12" customHeight="1" x14ac:dyDescent="0.35"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</row>
    <row r="476" spans="2:27" ht="12" customHeight="1" x14ac:dyDescent="0.35"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</row>
    <row r="477" spans="2:27" ht="12" customHeight="1" x14ac:dyDescent="0.35"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</row>
    <row r="478" spans="2:27" ht="12" customHeight="1" x14ac:dyDescent="0.35"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</row>
    <row r="479" spans="2:27" ht="12" customHeight="1" x14ac:dyDescent="0.35"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</row>
    <row r="480" spans="2:27" ht="12" customHeight="1" x14ac:dyDescent="0.35"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</row>
    <row r="481" spans="2:27" ht="12" customHeight="1" x14ac:dyDescent="0.35"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</row>
    <row r="482" spans="2:27" ht="12" customHeight="1" x14ac:dyDescent="0.35"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</row>
    <row r="483" spans="2:27" ht="12" customHeight="1" x14ac:dyDescent="0.35"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</row>
    <row r="484" spans="2:27" ht="12" customHeight="1" x14ac:dyDescent="0.35"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</row>
    <row r="485" spans="2:27" ht="12" customHeight="1" x14ac:dyDescent="0.35"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</row>
    <row r="486" spans="2:27" ht="12" customHeight="1" x14ac:dyDescent="0.35"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</row>
    <row r="487" spans="2:27" ht="12" customHeight="1" x14ac:dyDescent="0.35"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</row>
    <row r="488" spans="2:27" ht="12" customHeight="1" x14ac:dyDescent="0.35"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</row>
    <row r="489" spans="2:27" ht="12" customHeight="1" x14ac:dyDescent="0.35"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</row>
    <row r="490" spans="2:27" ht="12" customHeight="1" x14ac:dyDescent="0.35"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</row>
    <row r="491" spans="2:27" ht="12" customHeight="1" x14ac:dyDescent="0.35"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</row>
    <row r="492" spans="2:27" ht="12" customHeight="1" x14ac:dyDescent="0.35"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</row>
    <row r="493" spans="2:27" ht="12" customHeight="1" x14ac:dyDescent="0.35"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</row>
    <row r="494" spans="2:27" ht="12" customHeight="1" x14ac:dyDescent="0.35"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</row>
    <row r="495" spans="2:27" ht="12" customHeight="1" x14ac:dyDescent="0.35"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</row>
    <row r="496" spans="2:27" ht="12" customHeight="1" x14ac:dyDescent="0.35"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</row>
    <row r="497" spans="2:27" ht="12" customHeight="1" x14ac:dyDescent="0.35"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</row>
    <row r="498" spans="2:27" ht="12" customHeight="1" x14ac:dyDescent="0.35"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</row>
    <row r="499" spans="2:27" ht="12" customHeight="1" x14ac:dyDescent="0.35"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</row>
    <row r="500" spans="2:27" ht="12" customHeight="1" x14ac:dyDescent="0.35"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</row>
    <row r="501" spans="2:27" ht="12" customHeight="1" x14ac:dyDescent="0.35"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</row>
    <row r="502" spans="2:27" ht="12" customHeight="1" x14ac:dyDescent="0.35"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</row>
    <row r="503" spans="2:27" ht="12" customHeight="1" x14ac:dyDescent="0.35"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</row>
    <row r="504" spans="2:27" ht="12" customHeight="1" x14ac:dyDescent="0.35"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</row>
    <row r="505" spans="2:27" ht="12" customHeight="1" x14ac:dyDescent="0.35"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</row>
    <row r="506" spans="2:27" ht="12" customHeight="1" x14ac:dyDescent="0.35"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</row>
    <row r="507" spans="2:27" ht="12" customHeight="1" x14ac:dyDescent="0.35"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</row>
    <row r="508" spans="2:27" ht="12" customHeight="1" x14ac:dyDescent="0.35"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</row>
    <row r="509" spans="2:27" ht="12" customHeight="1" x14ac:dyDescent="0.35"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</row>
    <row r="510" spans="2:27" ht="12" customHeight="1" x14ac:dyDescent="0.35"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</row>
    <row r="511" spans="2:27" ht="12" customHeight="1" x14ac:dyDescent="0.35"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</row>
    <row r="512" spans="2:27" ht="12" customHeight="1" x14ac:dyDescent="0.35"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</row>
    <row r="513" spans="2:27" ht="12" customHeight="1" x14ac:dyDescent="0.35"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</row>
    <row r="514" spans="2:27" ht="12" customHeight="1" x14ac:dyDescent="0.35"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</row>
    <row r="515" spans="2:27" ht="12" customHeight="1" x14ac:dyDescent="0.35"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</row>
    <row r="516" spans="2:27" ht="12" customHeight="1" x14ac:dyDescent="0.35"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</row>
    <row r="517" spans="2:27" ht="12" customHeight="1" x14ac:dyDescent="0.35"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</row>
    <row r="518" spans="2:27" ht="12" customHeight="1" x14ac:dyDescent="0.35"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</row>
    <row r="519" spans="2:27" ht="12" customHeight="1" x14ac:dyDescent="0.35"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</row>
    <row r="520" spans="2:27" ht="12" customHeight="1" x14ac:dyDescent="0.35"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</row>
    <row r="521" spans="2:27" ht="12" customHeight="1" x14ac:dyDescent="0.35"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</row>
    <row r="522" spans="2:27" ht="12" customHeight="1" x14ac:dyDescent="0.35"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</row>
    <row r="523" spans="2:27" ht="12" customHeight="1" x14ac:dyDescent="0.35"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</row>
    <row r="524" spans="2:27" ht="12" customHeight="1" x14ac:dyDescent="0.35"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</row>
    <row r="525" spans="2:27" ht="12" customHeight="1" x14ac:dyDescent="0.35"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</row>
    <row r="526" spans="2:27" ht="12" customHeight="1" x14ac:dyDescent="0.35"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</row>
    <row r="527" spans="2:27" ht="12" customHeight="1" x14ac:dyDescent="0.35"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</row>
    <row r="528" spans="2:27" ht="12" customHeight="1" x14ac:dyDescent="0.35"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</row>
    <row r="529" spans="2:27" ht="12" customHeight="1" x14ac:dyDescent="0.35"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</row>
    <row r="530" spans="2:27" ht="12" customHeight="1" x14ac:dyDescent="0.35"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</row>
    <row r="531" spans="2:27" ht="12" customHeight="1" x14ac:dyDescent="0.35"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</row>
    <row r="532" spans="2:27" ht="12" customHeight="1" x14ac:dyDescent="0.35"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</row>
    <row r="533" spans="2:27" ht="12" customHeight="1" x14ac:dyDescent="0.35"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</row>
    <row r="534" spans="2:27" ht="12" customHeight="1" x14ac:dyDescent="0.35"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</row>
    <row r="535" spans="2:27" ht="12" customHeight="1" x14ac:dyDescent="0.35"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</row>
    <row r="536" spans="2:27" ht="12" customHeight="1" x14ac:dyDescent="0.35"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</row>
    <row r="537" spans="2:27" ht="12" customHeight="1" x14ac:dyDescent="0.35"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</row>
    <row r="538" spans="2:27" ht="12" customHeight="1" x14ac:dyDescent="0.35"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</row>
    <row r="539" spans="2:27" ht="12" customHeight="1" x14ac:dyDescent="0.35"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</row>
    <row r="540" spans="2:27" ht="12" customHeight="1" x14ac:dyDescent="0.35"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</row>
    <row r="541" spans="2:27" ht="12" customHeight="1" x14ac:dyDescent="0.35"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</row>
    <row r="542" spans="2:27" ht="12" customHeight="1" x14ac:dyDescent="0.35"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</row>
    <row r="543" spans="2:27" ht="12" customHeight="1" x14ac:dyDescent="0.35"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</row>
    <row r="544" spans="2:27" ht="12" customHeight="1" x14ac:dyDescent="0.35"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</row>
    <row r="545" spans="2:27" ht="12" customHeight="1" x14ac:dyDescent="0.35"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</row>
    <row r="546" spans="2:27" ht="12" customHeight="1" x14ac:dyDescent="0.35"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</row>
    <row r="547" spans="2:27" ht="12" customHeight="1" x14ac:dyDescent="0.35"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</row>
    <row r="548" spans="2:27" ht="12" customHeight="1" x14ac:dyDescent="0.35"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</row>
    <row r="549" spans="2:27" ht="12" customHeight="1" x14ac:dyDescent="0.35"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</row>
    <row r="550" spans="2:27" ht="12" customHeight="1" x14ac:dyDescent="0.35"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</row>
    <row r="551" spans="2:27" ht="12" customHeight="1" x14ac:dyDescent="0.35"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</row>
    <row r="552" spans="2:27" ht="12" customHeight="1" x14ac:dyDescent="0.35"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</row>
    <row r="553" spans="2:27" ht="12" customHeight="1" x14ac:dyDescent="0.35"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</row>
    <row r="554" spans="2:27" ht="12" customHeight="1" x14ac:dyDescent="0.35"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</row>
    <row r="555" spans="2:27" ht="12" customHeight="1" x14ac:dyDescent="0.35"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</row>
    <row r="556" spans="2:27" ht="12" customHeight="1" x14ac:dyDescent="0.35"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</row>
    <row r="557" spans="2:27" ht="12" customHeight="1" x14ac:dyDescent="0.35"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</row>
    <row r="558" spans="2:27" ht="12" customHeight="1" x14ac:dyDescent="0.35"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</row>
    <row r="559" spans="2:27" ht="12" customHeight="1" x14ac:dyDescent="0.35"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</row>
    <row r="560" spans="2:27" ht="12" customHeight="1" x14ac:dyDescent="0.35"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</row>
    <row r="561" spans="2:27" ht="12" customHeight="1" x14ac:dyDescent="0.35"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</row>
    <row r="562" spans="2:27" ht="12" customHeight="1" x14ac:dyDescent="0.35"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</row>
    <row r="563" spans="2:27" ht="12" customHeight="1" x14ac:dyDescent="0.35"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</row>
    <row r="564" spans="2:27" ht="12" customHeight="1" x14ac:dyDescent="0.35"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</row>
    <row r="565" spans="2:27" ht="12" customHeight="1" x14ac:dyDescent="0.35"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</row>
    <row r="566" spans="2:27" ht="12" customHeight="1" x14ac:dyDescent="0.35"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</row>
    <row r="567" spans="2:27" ht="12" customHeight="1" x14ac:dyDescent="0.35"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</row>
    <row r="568" spans="2:27" ht="12" customHeight="1" x14ac:dyDescent="0.35"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</row>
    <row r="569" spans="2:27" ht="12" customHeight="1" x14ac:dyDescent="0.35"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</row>
    <row r="570" spans="2:27" ht="12" customHeight="1" x14ac:dyDescent="0.35"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</row>
    <row r="571" spans="2:27" ht="12" customHeight="1" x14ac:dyDescent="0.35"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</row>
    <row r="572" spans="2:27" ht="12" customHeight="1" x14ac:dyDescent="0.35"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</row>
    <row r="573" spans="2:27" ht="12" customHeight="1" x14ac:dyDescent="0.35"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</row>
    <row r="574" spans="2:27" ht="12" customHeight="1" x14ac:dyDescent="0.35"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</row>
    <row r="575" spans="2:27" ht="12" customHeight="1" x14ac:dyDescent="0.35"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</row>
    <row r="576" spans="2:27" ht="12" customHeight="1" x14ac:dyDescent="0.35"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</row>
    <row r="577" spans="2:27" ht="12" customHeight="1" x14ac:dyDescent="0.35"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</row>
    <row r="578" spans="2:27" ht="12" customHeight="1" x14ac:dyDescent="0.35"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</row>
    <row r="579" spans="2:27" ht="12" customHeight="1" x14ac:dyDescent="0.35"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</row>
    <row r="580" spans="2:27" ht="12" customHeight="1" x14ac:dyDescent="0.35"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</row>
    <row r="581" spans="2:27" ht="12" customHeight="1" x14ac:dyDescent="0.35"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</row>
    <row r="582" spans="2:27" ht="12" customHeight="1" x14ac:dyDescent="0.35"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</row>
    <row r="583" spans="2:27" ht="12" customHeight="1" x14ac:dyDescent="0.35"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</row>
    <row r="584" spans="2:27" ht="12" customHeight="1" x14ac:dyDescent="0.35"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</row>
    <row r="585" spans="2:27" ht="12" customHeight="1" x14ac:dyDescent="0.35"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</row>
    <row r="586" spans="2:27" ht="12" customHeight="1" x14ac:dyDescent="0.35"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</row>
    <row r="587" spans="2:27" ht="12" customHeight="1" x14ac:dyDescent="0.35"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</row>
    <row r="588" spans="2:27" ht="12" customHeight="1" x14ac:dyDescent="0.35"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</row>
    <row r="589" spans="2:27" ht="12" customHeight="1" x14ac:dyDescent="0.35"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</row>
    <row r="590" spans="2:27" ht="12" customHeight="1" x14ac:dyDescent="0.35"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</row>
    <row r="591" spans="2:27" ht="12" customHeight="1" x14ac:dyDescent="0.35"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</row>
    <row r="592" spans="2:27" ht="12" customHeight="1" x14ac:dyDescent="0.35"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</row>
    <row r="593" spans="2:27" ht="12" customHeight="1" x14ac:dyDescent="0.35"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</row>
    <row r="594" spans="2:27" ht="12" customHeight="1" x14ac:dyDescent="0.35"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</row>
    <row r="595" spans="2:27" ht="12" customHeight="1" x14ac:dyDescent="0.35"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</row>
    <row r="596" spans="2:27" ht="12" customHeight="1" x14ac:dyDescent="0.35"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</row>
    <row r="597" spans="2:27" ht="12" customHeight="1" x14ac:dyDescent="0.35"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</row>
    <row r="598" spans="2:27" ht="12" customHeight="1" x14ac:dyDescent="0.35"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</row>
    <row r="599" spans="2:27" ht="12" customHeight="1" x14ac:dyDescent="0.35"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</row>
    <row r="600" spans="2:27" ht="12" customHeight="1" x14ac:dyDescent="0.35"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</row>
    <row r="601" spans="2:27" ht="12" customHeight="1" x14ac:dyDescent="0.35"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</row>
    <row r="602" spans="2:27" ht="12" customHeight="1" x14ac:dyDescent="0.35"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</row>
    <row r="603" spans="2:27" ht="12" customHeight="1" x14ac:dyDescent="0.35"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</row>
    <row r="604" spans="2:27" ht="12" customHeight="1" x14ac:dyDescent="0.35"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</row>
    <row r="605" spans="2:27" ht="12" customHeight="1" x14ac:dyDescent="0.35"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</row>
    <row r="606" spans="2:27" ht="12" customHeight="1" x14ac:dyDescent="0.35"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</row>
    <row r="607" spans="2:27" ht="12" customHeight="1" x14ac:dyDescent="0.35"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</row>
    <row r="608" spans="2:27" ht="12" customHeight="1" x14ac:dyDescent="0.35"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</row>
    <row r="609" spans="2:27" ht="12" customHeight="1" x14ac:dyDescent="0.35"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</row>
    <row r="610" spans="2:27" ht="12" customHeight="1" x14ac:dyDescent="0.35"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</row>
    <row r="611" spans="2:27" ht="12" customHeight="1" x14ac:dyDescent="0.35"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</row>
    <row r="612" spans="2:27" ht="12" customHeight="1" x14ac:dyDescent="0.35"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</row>
    <row r="613" spans="2:27" ht="12" customHeight="1" x14ac:dyDescent="0.35"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</row>
    <row r="614" spans="2:27" ht="12" customHeight="1" x14ac:dyDescent="0.35"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</row>
    <row r="615" spans="2:27" ht="12" customHeight="1" x14ac:dyDescent="0.35"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</row>
    <row r="616" spans="2:27" ht="12" customHeight="1" x14ac:dyDescent="0.35"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</row>
    <row r="617" spans="2:27" ht="12" customHeight="1" x14ac:dyDescent="0.35"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</row>
    <row r="618" spans="2:27" ht="12" customHeight="1" x14ac:dyDescent="0.35"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</row>
    <row r="619" spans="2:27" ht="12" customHeight="1" x14ac:dyDescent="0.35"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</row>
    <row r="620" spans="2:27" ht="12" customHeight="1" x14ac:dyDescent="0.35"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</row>
    <row r="621" spans="2:27" ht="12" customHeight="1" x14ac:dyDescent="0.35"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</row>
    <row r="622" spans="2:27" ht="12" customHeight="1" x14ac:dyDescent="0.35"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</row>
    <row r="623" spans="2:27" ht="12" customHeight="1" x14ac:dyDescent="0.35"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</row>
    <row r="624" spans="2:27" ht="12" customHeight="1" x14ac:dyDescent="0.35"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</row>
    <row r="625" spans="2:27" ht="12" customHeight="1" x14ac:dyDescent="0.35"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</row>
    <row r="626" spans="2:27" ht="12" customHeight="1" x14ac:dyDescent="0.35"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</row>
    <row r="627" spans="2:27" ht="12" customHeight="1" x14ac:dyDescent="0.35"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</row>
    <row r="628" spans="2:27" ht="12" customHeight="1" x14ac:dyDescent="0.35"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</row>
    <row r="629" spans="2:27" ht="12" customHeight="1" x14ac:dyDescent="0.35"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</row>
    <row r="630" spans="2:27" ht="12" customHeight="1" x14ac:dyDescent="0.35"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</row>
    <row r="631" spans="2:27" ht="12" customHeight="1" x14ac:dyDescent="0.35"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</row>
    <row r="632" spans="2:27" ht="12" customHeight="1" x14ac:dyDescent="0.35"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</row>
    <row r="633" spans="2:27" ht="12" customHeight="1" x14ac:dyDescent="0.35"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</row>
    <row r="634" spans="2:27" ht="12" customHeight="1" x14ac:dyDescent="0.35"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</row>
    <row r="635" spans="2:27" ht="12" customHeight="1" x14ac:dyDescent="0.35"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</row>
    <row r="636" spans="2:27" ht="12" customHeight="1" x14ac:dyDescent="0.35"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</row>
    <row r="637" spans="2:27" ht="12" customHeight="1" x14ac:dyDescent="0.35"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</row>
    <row r="638" spans="2:27" ht="12" customHeight="1" x14ac:dyDescent="0.35"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</row>
    <row r="639" spans="2:27" ht="12" customHeight="1" x14ac:dyDescent="0.35"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</row>
    <row r="640" spans="2:27" ht="12" customHeight="1" x14ac:dyDescent="0.35"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</row>
    <row r="641" spans="2:27" ht="12" customHeight="1" x14ac:dyDescent="0.35"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</row>
    <row r="642" spans="2:27" ht="12" customHeight="1" x14ac:dyDescent="0.35"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</row>
    <row r="643" spans="2:27" ht="12" customHeight="1" x14ac:dyDescent="0.35"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</row>
    <row r="644" spans="2:27" ht="12" customHeight="1" x14ac:dyDescent="0.35"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</row>
    <row r="645" spans="2:27" ht="12" customHeight="1" x14ac:dyDescent="0.35"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</row>
    <row r="646" spans="2:27" ht="12" customHeight="1" x14ac:dyDescent="0.35"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</row>
    <row r="647" spans="2:27" ht="12" customHeight="1" x14ac:dyDescent="0.35"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</row>
    <row r="648" spans="2:27" ht="12" customHeight="1" x14ac:dyDescent="0.35"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</row>
    <row r="649" spans="2:27" ht="12" customHeight="1" x14ac:dyDescent="0.35"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</row>
    <row r="650" spans="2:27" ht="12" customHeight="1" x14ac:dyDescent="0.35"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</row>
    <row r="651" spans="2:27" ht="12" customHeight="1" x14ac:dyDescent="0.35"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</row>
    <row r="652" spans="2:27" ht="12" customHeight="1" x14ac:dyDescent="0.35"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</row>
    <row r="653" spans="2:27" ht="12" customHeight="1" x14ac:dyDescent="0.35"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</row>
    <row r="654" spans="2:27" ht="12" customHeight="1" x14ac:dyDescent="0.35"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</row>
    <row r="655" spans="2:27" ht="12" customHeight="1" x14ac:dyDescent="0.35"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</row>
    <row r="656" spans="2:27" ht="12" customHeight="1" x14ac:dyDescent="0.35"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</row>
    <row r="657" spans="2:27" ht="12" customHeight="1" x14ac:dyDescent="0.35"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</row>
    <row r="658" spans="2:27" ht="12" customHeight="1" x14ac:dyDescent="0.35"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</row>
    <row r="659" spans="2:27" ht="12" customHeight="1" x14ac:dyDescent="0.35"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</row>
    <row r="660" spans="2:27" ht="12" customHeight="1" x14ac:dyDescent="0.35"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</row>
    <row r="661" spans="2:27" ht="12" customHeight="1" x14ac:dyDescent="0.35"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</row>
    <row r="662" spans="2:27" ht="12" customHeight="1" x14ac:dyDescent="0.35"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</row>
    <row r="663" spans="2:27" ht="12" customHeight="1" x14ac:dyDescent="0.35"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</row>
    <row r="664" spans="2:27" ht="12" customHeight="1" x14ac:dyDescent="0.35"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</row>
    <row r="665" spans="2:27" ht="12" customHeight="1" x14ac:dyDescent="0.35"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</row>
    <row r="666" spans="2:27" ht="12" customHeight="1" x14ac:dyDescent="0.35"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</row>
    <row r="667" spans="2:27" ht="12" customHeight="1" x14ac:dyDescent="0.35"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</row>
    <row r="668" spans="2:27" ht="12" customHeight="1" x14ac:dyDescent="0.35"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</row>
    <row r="669" spans="2:27" ht="12" customHeight="1" x14ac:dyDescent="0.35"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</row>
    <row r="670" spans="2:27" ht="12" customHeight="1" x14ac:dyDescent="0.35"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</row>
    <row r="671" spans="2:27" ht="12" customHeight="1" x14ac:dyDescent="0.35"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</row>
    <row r="672" spans="2:27" ht="12" customHeight="1" x14ac:dyDescent="0.35"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</row>
    <row r="673" spans="2:27" ht="12" customHeight="1" x14ac:dyDescent="0.35"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</row>
    <row r="674" spans="2:27" ht="12" customHeight="1" x14ac:dyDescent="0.35"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</row>
    <row r="675" spans="2:27" ht="12" customHeight="1" x14ac:dyDescent="0.35"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</row>
    <row r="676" spans="2:27" ht="12" customHeight="1" x14ac:dyDescent="0.35"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</row>
    <row r="677" spans="2:27" ht="12" customHeight="1" x14ac:dyDescent="0.35"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</row>
    <row r="678" spans="2:27" ht="12" customHeight="1" x14ac:dyDescent="0.35"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</row>
    <row r="679" spans="2:27" ht="12" customHeight="1" x14ac:dyDescent="0.35"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</row>
    <row r="680" spans="2:27" ht="12" customHeight="1" x14ac:dyDescent="0.35"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</row>
    <row r="681" spans="2:27" ht="12" customHeight="1" x14ac:dyDescent="0.35"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</row>
    <row r="682" spans="2:27" ht="12" customHeight="1" x14ac:dyDescent="0.35"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</row>
    <row r="683" spans="2:27" ht="12" customHeight="1" x14ac:dyDescent="0.35"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</row>
    <row r="684" spans="2:27" ht="12" customHeight="1" x14ac:dyDescent="0.35"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</row>
    <row r="685" spans="2:27" ht="12" customHeight="1" x14ac:dyDescent="0.35"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</row>
    <row r="686" spans="2:27" ht="12" customHeight="1" x14ac:dyDescent="0.35"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</row>
    <row r="687" spans="2:27" ht="12" customHeight="1" x14ac:dyDescent="0.35"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</row>
    <row r="688" spans="2:27" ht="12" customHeight="1" x14ac:dyDescent="0.35"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</row>
    <row r="689" spans="2:27" ht="12" customHeight="1" x14ac:dyDescent="0.35"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</row>
    <row r="690" spans="2:27" ht="12" customHeight="1" x14ac:dyDescent="0.35"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</row>
    <row r="691" spans="2:27" ht="12" customHeight="1" x14ac:dyDescent="0.35"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</row>
    <row r="692" spans="2:27" ht="12" customHeight="1" x14ac:dyDescent="0.35"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</row>
    <row r="693" spans="2:27" ht="12" customHeight="1" x14ac:dyDescent="0.35"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</row>
    <row r="694" spans="2:27" ht="12" customHeight="1" x14ac:dyDescent="0.35"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</row>
    <row r="695" spans="2:27" ht="12" customHeight="1" x14ac:dyDescent="0.35"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</row>
    <row r="696" spans="2:27" ht="12" customHeight="1" x14ac:dyDescent="0.35"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</row>
    <row r="697" spans="2:27" ht="12" customHeight="1" x14ac:dyDescent="0.35"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</row>
    <row r="698" spans="2:27" ht="12" customHeight="1" x14ac:dyDescent="0.35"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</row>
    <row r="699" spans="2:27" ht="12" customHeight="1" x14ac:dyDescent="0.35"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</row>
    <row r="700" spans="2:27" ht="12" customHeight="1" x14ac:dyDescent="0.35"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</row>
    <row r="701" spans="2:27" ht="12" customHeight="1" x14ac:dyDescent="0.35"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</row>
    <row r="702" spans="2:27" ht="12" customHeight="1" x14ac:dyDescent="0.35"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</row>
    <row r="703" spans="2:27" ht="12" customHeight="1" x14ac:dyDescent="0.35"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</row>
    <row r="704" spans="2:27" ht="12" customHeight="1" x14ac:dyDescent="0.35"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</row>
    <row r="705" spans="2:27" ht="12" customHeight="1" x14ac:dyDescent="0.35"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</row>
    <row r="706" spans="2:27" ht="12" customHeight="1" x14ac:dyDescent="0.35"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</row>
    <row r="707" spans="2:27" ht="12" customHeight="1" x14ac:dyDescent="0.35"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</row>
    <row r="708" spans="2:27" ht="12" customHeight="1" x14ac:dyDescent="0.35"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</row>
    <row r="709" spans="2:27" ht="12" customHeight="1" x14ac:dyDescent="0.35"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</row>
    <row r="710" spans="2:27" ht="12" customHeight="1" x14ac:dyDescent="0.35"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</row>
    <row r="711" spans="2:27" ht="12" customHeight="1" x14ac:dyDescent="0.35"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</row>
    <row r="712" spans="2:27" ht="12" customHeight="1" x14ac:dyDescent="0.35"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</row>
    <row r="713" spans="2:27" ht="12" customHeight="1" x14ac:dyDescent="0.35"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</row>
    <row r="714" spans="2:27" ht="12" customHeight="1" x14ac:dyDescent="0.35"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</row>
    <row r="715" spans="2:27" ht="12" customHeight="1" x14ac:dyDescent="0.35"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</row>
    <row r="716" spans="2:27" ht="12" customHeight="1" x14ac:dyDescent="0.35"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</row>
    <row r="717" spans="2:27" ht="12" customHeight="1" x14ac:dyDescent="0.35"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</row>
    <row r="718" spans="2:27" ht="12" customHeight="1" x14ac:dyDescent="0.35"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</row>
    <row r="719" spans="2:27" ht="12" customHeight="1" x14ac:dyDescent="0.35"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</row>
    <row r="720" spans="2:27" ht="12" customHeight="1" x14ac:dyDescent="0.35"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</row>
    <row r="721" spans="2:27" ht="12" customHeight="1" x14ac:dyDescent="0.35"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</row>
    <row r="722" spans="2:27" ht="12" customHeight="1" x14ac:dyDescent="0.35"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</row>
    <row r="723" spans="2:27" ht="12" customHeight="1" x14ac:dyDescent="0.35"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</row>
    <row r="724" spans="2:27" ht="12" customHeight="1" x14ac:dyDescent="0.35"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</row>
    <row r="725" spans="2:27" ht="12" customHeight="1" x14ac:dyDescent="0.35"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</row>
    <row r="726" spans="2:27" ht="12" customHeight="1" x14ac:dyDescent="0.35"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</row>
    <row r="727" spans="2:27" ht="12" customHeight="1" x14ac:dyDescent="0.35"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</row>
    <row r="728" spans="2:27" ht="12" customHeight="1" x14ac:dyDescent="0.35"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</row>
    <row r="729" spans="2:27" ht="12" customHeight="1" x14ac:dyDescent="0.35"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</row>
    <row r="730" spans="2:27" ht="12" customHeight="1" x14ac:dyDescent="0.35"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</row>
    <row r="731" spans="2:27" ht="12" customHeight="1" x14ac:dyDescent="0.35"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</row>
    <row r="732" spans="2:27" ht="12" customHeight="1" x14ac:dyDescent="0.35"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</row>
    <row r="733" spans="2:27" ht="12" customHeight="1" x14ac:dyDescent="0.35"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</row>
    <row r="734" spans="2:27" ht="12" customHeight="1" x14ac:dyDescent="0.35"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</row>
    <row r="735" spans="2:27" ht="12" customHeight="1" x14ac:dyDescent="0.35"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</row>
    <row r="736" spans="2:27" ht="12" customHeight="1" x14ac:dyDescent="0.35"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</row>
    <row r="737" spans="2:27" ht="12" customHeight="1" x14ac:dyDescent="0.35"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</row>
    <row r="738" spans="2:27" ht="12" customHeight="1" x14ac:dyDescent="0.35"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</row>
    <row r="739" spans="2:27" ht="12" customHeight="1" x14ac:dyDescent="0.35"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</row>
    <row r="740" spans="2:27" ht="12" customHeight="1" x14ac:dyDescent="0.35"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</row>
    <row r="741" spans="2:27" ht="12" customHeight="1" x14ac:dyDescent="0.35"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</row>
    <row r="742" spans="2:27" ht="12" customHeight="1" x14ac:dyDescent="0.35"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</row>
    <row r="743" spans="2:27" ht="12" customHeight="1" x14ac:dyDescent="0.35"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</row>
    <row r="744" spans="2:27" ht="12" customHeight="1" x14ac:dyDescent="0.35"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</row>
    <row r="745" spans="2:27" ht="12" customHeight="1" x14ac:dyDescent="0.35"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</row>
    <row r="746" spans="2:27" ht="12" customHeight="1" x14ac:dyDescent="0.35"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</row>
    <row r="747" spans="2:27" ht="12" customHeight="1" x14ac:dyDescent="0.35"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</row>
    <row r="748" spans="2:27" ht="12" customHeight="1" x14ac:dyDescent="0.35"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</row>
    <row r="749" spans="2:27" ht="12" customHeight="1" x14ac:dyDescent="0.35"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</row>
    <row r="750" spans="2:27" ht="12" customHeight="1" x14ac:dyDescent="0.35"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</row>
    <row r="751" spans="2:27" ht="12" customHeight="1" x14ac:dyDescent="0.35"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</row>
    <row r="752" spans="2:27" ht="12" customHeight="1" x14ac:dyDescent="0.35"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</row>
    <row r="753" spans="2:27" ht="12" customHeight="1" x14ac:dyDescent="0.35"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</row>
    <row r="754" spans="2:27" ht="12" customHeight="1" x14ac:dyDescent="0.35"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</row>
    <row r="755" spans="2:27" ht="12" customHeight="1" x14ac:dyDescent="0.35"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</row>
    <row r="756" spans="2:27" ht="12" customHeight="1" x14ac:dyDescent="0.35"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</row>
    <row r="757" spans="2:27" ht="12" customHeight="1" x14ac:dyDescent="0.35"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</row>
    <row r="758" spans="2:27" ht="12" customHeight="1" x14ac:dyDescent="0.35"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</row>
    <row r="759" spans="2:27" ht="12" customHeight="1" x14ac:dyDescent="0.35"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</row>
    <row r="760" spans="2:27" ht="12" customHeight="1" x14ac:dyDescent="0.35"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</row>
    <row r="761" spans="2:27" ht="12" customHeight="1" x14ac:dyDescent="0.35"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</row>
    <row r="762" spans="2:27" ht="12" customHeight="1" x14ac:dyDescent="0.35"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</row>
    <row r="763" spans="2:27" ht="12" customHeight="1" x14ac:dyDescent="0.35"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</row>
    <row r="764" spans="2:27" ht="12" customHeight="1" x14ac:dyDescent="0.35"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</row>
    <row r="765" spans="2:27" ht="12" customHeight="1" x14ac:dyDescent="0.35"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</row>
    <row r="766" spans="2:27" ht="12" customHeight="1" x14ac:dyDescent="0.35"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</row>
    <row r="767" spans="2:27" ht="12" customHeight="1" x14ac:dyDescent="0.35"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</row>
    <row r="768" spans="2:27" ht="12" customHeight="1" x14ac:dyDescent="0.35"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</row>
    <row r="769" spans="2:27" ht="12" customHeight="1" x14ac:dyDescent="0.35"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</row>
    <row r="770" spans="2:27" ht="12" customHeight="1" x14ac:dyDescent="0.35"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</row>
    <row r="771" spans="2:27" ht="12" customHeight="1" x14ac:dyDescent="0.35"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</row>
    <row r="772" spans="2:27" ht="12" customHeight="1" x14ac:dyDescent="0.35"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</row>
    <row r="773" spans="2:27" ht="12" customHeight="1" x14ac:dyDescent="0.35"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</row>
    <row r="774" spans="2:27" ht="12" customHeight="1" x14ac:dyDescent="0.35"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</row>
    <row r="775" spans="2:27" ht="12" customHeight="1" x14ac:dyDescent="0.35"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</row>
    <row r="776" spans="2:27" ht="12" customHeight="1" x14ac:dyDescent="0.35"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</row>
    <row r="777" spans="2:27" ht="12" customHeight="1" x14ac:dyDescent="0.35"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</row>
    <row r="778" spans="2:27" ht="12" customHeight="1" x14ac:dyDescent="0.35"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</row>
    <row r="779" spans="2:27" ht="12" customHeight="1" x14ac:dyDescent="0.35"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</row>
    <row r="780" spans="2:27" ht="12" customHeight="1" x14ac:dyDescent="0.35"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</row>
    <row r="781" spans="2:27" ht="12" customHeight="1" x14ac:dyDescent="0.35"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</row>
    <row r="782" spans="2:27" ht="12" customHeight="1" x14ac:dyDescent="0.35"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</row>
    <row r="783" spans="2:27" ht="12" customHeight="1" x14ac:dyDescent="0.35"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</row>
    <row r="784" spans="2:27" ht="12" customHeight="1" x14ac:dyDescent="0.35"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</row>
    <row r="785" spans="2:27" ht="12" customHeight="1" x14ac:dyDescent="0.35"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</row>
    <row r="786" spans="2:27" ht="12" customHeight="1" x14ac:dyDescent="0.35"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</row>
    <row r="787" spans="2:27" ht="12" customHeight="1" x14ac:dyDescent="0.35"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</row>
    <row r="788" spans="2:27" ht="12" customHeight="1" x14ac:dyDescent="0.35"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</row>
    <row r="789" spans="2:27" ht="12" customHeight="1" x14ac:dyDescent="0.35"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</row>
    <row r="790" spans="2:27" ht="12" customHeight="1" x14ac:dyDescent="0.35"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</row>
    <row r="791" spans="2:27" ht="12" customHeight="1" x14ac:dyDescent="0.35"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</row>
    <row r="792" spans="2:27" ht="12" customHeight="1" x14ac:dyDescent="0.35"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</row>
    <row r="793" spans="2:27" ht="12" customHeight="1" x14ac:dyDescent="0.35"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</row>
    <row r="794" spans="2:27" ht="12" customHeight="1" x14ac:dyDescent="0.35"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</row>
    <row r="795" spans="2:27" ht="12" customHeight="1" x14ac:dyDescent="0.35"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</row>
    <row r="796" spans="2:27" ht="12" customHeight="1" x14ac:dyDescent="0.35"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</row>
    <row r="797" spans="2:27" ht="12" customHeight="1" x14ac:dyDescent="0.35"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</row>
    <row r="798" spans="2:27" ht="12" customHeight="1" x14ac:dyDescent="0.35"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</row>
    <row r="799" spans="2:27" ht="12" customHeight="1" x14ac:dyDescent="0.35"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</row>
    <row r="800" spans="2:27" ht="12" customHeight="1" x14ac:dyDescent="0.35"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</row>
    <row r="801" spans="2:27" ht="12" customHeight="1" x14ac:dyDescent="0.35"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</row>
    <row r="802" spans="2:27" ht="12" customHeight="1" x14ac:dyDescent="0.35"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</row>
    <row r="803" spans="2:27" ht="12" customHeight="1" x14ac:dyDescent="0.35"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</row>
    <row r="804" spans="2:27" ht="12" customHeight="1" x14ac:dyDescent="0.35"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</row>
    <row r="805" spans="2:27" ht="12" customHeight="1" x14ac:dyDescent="0.35"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</row>
    <row r="806" spans="2:27" ht="12" customHeight="1" x14ac:dyDescent="0.35"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</row>
    <row r="807" spans="2:27" ht="12" customHeight="1" x14ac:dyDescent="0.35"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</row>
    <row r="808" spans="2:27" ht="12" customHeight="1" x14ac:dyDescent="0.35"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</row>
    <row r="809" spans="2:27" ht="12" customHeight="1" x14ac:dyDescent="0.35"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</row>
    <row r="810" spans="2:27" ht="12" customHeight="1" x14ac:dyDescent="0.35"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</row>
    <row r="811" spans="2:27" ht="12" customHeight="1" x14ac:dyDescent="0.35"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</row>
    <row r="812" spans="2:27" ht="12" customHeight="1" x14ac:dyDescent="0.35"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</row>
    <row r="813" spans="2:27" ht="12" customHeight="1" x14ac:dyDescent="0.35"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</row>
    <row r="814" spans="2:27" ht="12" customHeight="1" x14ac:dyDescent="0.35"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</row>
    <row r="815" spans="2:27" ht="12" customHeight="1" x14ac:dyDescent="0.35"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</row>
    <row r="816" spans="2:27" ht="12" customHeight="1" x14ac:dyDescent="0.35"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</row>
    <row r="817" spans="2:27" ht="12" customHeight="1" x14ac:dyDescent="0.35"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</row>
    <row r="818" spans="2:27" ht="12" customHeight="1" x14ac:dyDescent="0.35"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</row>
    <row r="819" spans="2:27" ht="12" customHeight="1" x14ac:dyDescent="0.35"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</row>
    <row r="820" spans="2:27" ht="12" customHeight="1" x14ac:dyDescent="0.35"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</row>
    <row r="821" spans="2:27" ht="12" customHeight="1" x14ac:dyDescent="0.35"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</row>
    <row r="822" spans="2:27" ht="12" customHeight="1" x14ac:dyDescent="0.35"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</row>
    <row r="823" spans="2:27" ht="12" customHeight="1" x14ac:dyDescent="0.35"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</row>
    <row r="824" spans="2:27" ht="12" customHeight="1" x14ac:dyDescent="0.35"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</row>
    <row r="825" spans="2:27" ht="12" customHeight="1" x14ac:dyDescent="0.35"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</row>
    <row r="826" spans="2:27" ht="12" customHeight="1" x14ac:dyDescent="0.35"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</row>
    <row r="827" spans="2:27" ht="12" customHeight="1" x14ac:dyDescent="0.35"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</row>
    <row r="828" spans="2:27" ht="12" customHeight="1" x14ac:dyDescent="0.35"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</row>
    <row r="829" spans="2:27" ht="12" customHeight="1" x14ac:dyDescent="0.35"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</row>
    <row r="830" spans="2:27" ht="12" customHeight="1" x14ac:dyDescent="0.35"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</row>
    <row r="831" spans="2:27" ht="12" customHeight="1" x14ac:dyDescent="0.35"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</row>
    <row r="832" spans="2:27" ht="12" customHeight="1" x14ac:dyDescent="0.35"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</row>
    <row r="833" spans="2:27" ht="12" customHeight="1" x14ac:dyDescent="0.35"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</row>
    <row r="834" spans="2:27" ht="12" customHeight="1" x14ac:dyDescent="0.35"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</row>
    <row r="835" spans="2:27" ht="12" customHeight="1" x14ac:dyDescent="0.35"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</row>
    <row r="836" spans="2:27" ht="12" customHeight="1" x14ac:dyDescent="0.35"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</row>
    <row r="837" spans="2:27" ht="12" customHeight="1" x14ac:dyDescent="0.35"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</row>
    <row r="838" spans="2:27" ht="12" customHeight="1" x14ac:dyDescent="0.35"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</row>
    <row r="839" spans="2:27" ht="12" customHeight="1" x14ac:dyDescent="0.35"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</row>
    <row r="840" spans="2:27" ht="12" customHeight="1" x14ac:dyDescent="0.35"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</row>
    <row r="841" spans="2:27" ht="12" customHeight="1" x14ac:dyDescent="0.35"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</row>
    <row r="842" spans="2:27" ht="12" customHeight="1" x14ac:dyDescent="0.35"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</row>
    <row r="843" spans="2:27" ht="12" customHeight="1" x14ac:dyDescent="0.35"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</row>
    <row r="844" spans="2:27" ht="12" customHeight="1" x14ac:dyDescent="0.35"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</row>
    <row r="845" spans="2:27" ht="12" customHeight="1" x14ac:dyDescent="0.35"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</row>
    <row r="846" spans="2:27" ht="12" customHeight="1" x14ac:dyDescent="0.35"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</row>
    <row r="847" spans="2:27" ht="12" customHeight="1" x14ac:dyDescent="0.35"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</row>
    <row r="848" spans="2:27" ht="12" customHeight="1" x14ac:dyDescent="0.35"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</row>
    <row r="849" spans="2:27" ht="12" customHeight="1" x14ac:dyDescent="0.35"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</row>
    <row r="850" spans="2:27" ht="12" customHeight="1" x14ac:dyDescent="0.35"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</row>
    <row r="851" spans="2:27" ht="12" customHeight="1" x14ac:dyDescent="0.35"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</row>
    <row r="852" spans="2:27" ht="12" customHeight="1" x14ac:dyDescent="0.35"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</row>
    <row r="853" spans="2:27" ht="12" customHeight="1" x14ac:dyDescent="0.35"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</row>
    <row r="854" spans="2:27" ht="12" customHeight="1" x14ac:dyDescent="0.35"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</row>
    <row r="855" spans="2:27" ht="12" customHeight="1" x14ac:dyDescent="0.35"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</row>
    <row r="856" spans="2:27" ht="12" customHeight="1" x14ac:dyDescent="0.35"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</row>
    <row r="857" spans="2:27" ht="12" customHeight="1" x14ac:dyDescent="0.35"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</row>
    <row r="858" spans="2:27" ht="12" customHeight="1" x14ac:dyDescent="0.35"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</row>
    <row r="859" spans="2:27" ht="12" customHeight="1" x14ac:dyDescent="0.35"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</row>
    <row r="860" spans="2:27" ht="12" customHeight="1" x14ac:dyDescent="0.35"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</row>
    <row r="861" spans="2:27" ht="12" customHeight="1" x14ac:dyDescent="0.35"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</row>
    <row r="862" spans="2:27" ht="12" customHeight="1" x14ac:dyDescent="0.35"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</row>
    <row r="863" spans="2:27" ht="12" customHeight="1" x14ac:dyDescent="0.35"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</row>
    <row r="864" spans="2:27" ht="12" customHeight="1" x14ac:dyDescent="0.35"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</row>
    <row r="865" spans="2:27" ht="12" customHeight="1" x14ac:dyDescent="0.35"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</row>
    <row r="866" spans="2:27" ht="12" customHeight="1" x14ac:dyDescent="0.35"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</row>
    <row r="867" spans="2:27" ht="12" customHeight="1" x14ac:dyDescent="0.35"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</row>
    <row r="868" spans="2:27" ht="12" customHeight="1" x14ac:dyDescent="0.35"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</row>
    <row r="869" spans="2:27" ht="12" customHeight="1" x14ac:dyDescent="0.35"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</row>
    <row r="870" spans="2:27" ht="12" customHeight="1" x14ac:dyDescent="0.35"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</row>
    <row r="871" spans="2:27" ht="12" customHeight="1" x14ac:dyDescent="0.35"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</row>
    <row r="872" spans="2:27" ht="12" customHeight="1" x14ac:dyDescent="0.35"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</row>
    <row r="873" spans="2:27" ht="12" customHeight="1" x14ac:dyDescent="0.35"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</row>
    <row r="874" spans="2:27" ht="12" customHeight="1" x14ac:dyDescent="0.35"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</row>
    <row r="875" spans="2:27" ht="12" customHeight="1" x14ac:dyDescent="0.35"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</row>
    <row r="876" spans="2:27" ht="12" customHeight="1" x14ac:dyDescent="0.35"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</row>
    <row r="877" spans="2:27" ht="12" customHeight="1" x14ac:dyDescent="0.35"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</row>
    <row r="878" spans="2:27" ht="12" customHeight="1" x14ac:dyDescent="0.35"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</row>
    <row r="879" spans="2:27" ht="12" customHeight="1" x14ac:dyDescent="0.35"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</row>
    <row r="880" spans="2:27" ht="12" customHeight="1" x14ac:dyDescent="0.35"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</row>
    <row r="881" spans="2:27" ht="12" customHeight="1" x14ac:dyDescent="0.35"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</row>
    <row r="882" spans="2:27" ht="12" customHeight="1" x14ac:dyDescent="0.35"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</row>
    <row r="883" spans="2:27" ht="12" customHeight="1" x14ac:dyDescent="0.35"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</row>
    <row r="884" spans="2:27" ht="12" customHeight="1" x14ac:dyDescent="0.35"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</row>
    <row r="885" spans="2:27" ht="12" customHeight="1" x14ac:dyDescent="0.35"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</row>
    <row r="886" spans="2:27" ht="12" customHeight="1" x14ac:dyDescent="0.35"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</row>
    <row r="887" spans="2:27" ht="12" customHeight="1" x14ac:dyDescent="0.35"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</row>
    <row r="888" spans="2:27" ht="12" customHeight="1" x14ac:dyDescent="0.35"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</row>
    <row r="889" spans="2:27" ht="12" customHeight="1" x14ac:dyDescent="0.35"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</row>
    <row r="890" spans="2:27" ht="12" customHeight="1" x14ac:dyDescent="0.35"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</row>
    <row r="891" spans="2:27" ht="12" customHeight="1" x14ac:dyDescent="0.35"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</row>
    <row r="892" spans="2:27" ht="12" customHeight="1" x14ac:dyDescent="0.35"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</row>
    <row r="893" spans="2:27" ht="12" customHeight="1" x14ac:dyDescent="0.35"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</row>
    <row r="894" spans="2:27" ht="12" customHeight="1" x14ac:dyDescent="0.35"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</row>
    <row r="895" spans="2:27" ht="12" customHeight="1" x14ac:dyDescent="0.35"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</row>
    <row r="896" spans="2:27" ht="12" customHeight="1" x14ac:dyDescent="0.35"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</row>
    <row r="897" spans="2:27" ht="12" customHeight="1" x14ac:dyDescent="0.35"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</row>
    <row r="898" spans="2:27" ht="12" customHeight="1" x14ac:dyDescent="0.35"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</row>
    <row r="899" spans="2:27" ht="12" customHeight="1" x14ac:dyDescent="0.35"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</row>
    <row r="900" spans="2:27" ht="12" customHeight="1" x14ac:dyDescent="0.35"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</row>
    <row r="901" spans="2:27" ht="12" customHeight="1" x14ac:dyDescent="0.35"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</row>
    <row r="902" spans="2:27" ht="12" customHeight="1" x14ac:dyDescent="0.35"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</row>
    <row r="903" spans="2:27" ht="12" customHeight="1" x14ac:dyDescent="0.35"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</row>
    <row r="904" spans="2:27" ht="12" customHeight="1" x14ac:dyDescent="0.35"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</row>
    <row r="905" spans="2:27" ht="12" customHeight="1" x14ac:dyDescent="0.35"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</row>
    <row r="906" spans="2:27" ht="12" customHeight="1" x14ac:dyDescent="0.35"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</row>
    <row r="907" spans="2:27" ht="12" customHeight="1" x14ac:dyDescent="0.35"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</row>
    <row r="908" spans="2:27" ht="12" customHeight="1" x14ac:dyDescent="0.35"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</row>
    <row r="909" spans="2:27" ht="12" customHeight="1" x14ac:dyDescent="0.35"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</row>
    <row r="910" spans="2:27" ht="12" customHeight="1" x14ac:dyDescent="0.35"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</row>
    <row r="911" spans="2:27" ht="12" customHeight="1" x14ac:dyDescent="0.35"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</row>
    <row r="912" spans="2:27" ht="12" customHeight="1" x14ac:dyDescent="0.35"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</row>
    <row r="913" spans="2:27" ht="12" customHeight="1" x14ac:dyDescent="0.35"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</row>
    <row r="914" spans="2:27" ht="12" customHeight="1" x14ac:dyDescent="0.35"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</row>
    <row r="915" spans="2:27" ht="12" customHeight="1" x14ac:dyDescent="0.35"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</row>
    <row r="916" spans="2:27" ht="12" customHeight="1" x14ac:dyDescent="0.35"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</row>
    <row r="917" spans="2:27" ht="12" customHeight="1" x14ac:dyDescent="0.35"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</row>
    <row r="918" spans="2:27" ht="12" customHeight="1" x14ac:dyDescent="0.35"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</row>
    <row r="919" spans="2:27" ht="12" customHeight="1" x14ac:dyDescent="0.35"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</row>
    <row r="920" spans="2:27" ht="12" customHeight="1" x14ac:dyDescent="0.35"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</row>
    <row r="921" spans="2:27" ht="12" customHeight="1" x14ac:dyDescent="0.35"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</row>
    <row r="922" spans="2:27" ht="12" customHeight="1" x14ac:dyDescent="0.35"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</row>
    <row r="923" spans="2:27" ht="12" customHeight="1" x14ac:dyDescent="0.35"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</row>
    <row r="924" spans="2:27" ht="12" customHeight="1" x14ac:dyDescent="0.35"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</row>
    <row r="925" spans="2:27" ht="12" customHeight="1" x14ac:dyDescent="0.35"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</row>
    <row r="926" spans="2:27" ht="12" customHeight="1" x14ac:dyDescent="0.35"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</row>
    <row r="927" spans="2:27" ht="12" customHeight="1" x14ac:dyDescent="0.35"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</row>
    <row r="928" spans="2:27" ht="12" customHeight="1" x14ac:dyDescent="0.35"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</row>
    <row r="929" spans="2:27" ht="12" customHeight="1" x14ac:dyDescent="0.35"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</row>
    <row r="930" spans="2:27" ht="12" customHeight="1" x14ac:dyDescent="0.35"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</row>
    <row r="931" spans="2:27" ht="12" customHeight="1" x14ac:dyDescent="0.35"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</row>
    <row r="932" spans="2:27" ht="12" customHeight="1" x14ac:dyDescent="0.35"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</row>
    <row r="933" spans="2:27" ht="12" customHeight="1" x14ac:dyDescent="0.35"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</row>
    <row r="934" spans="2:27" ht="12" customHeight="1" x14ac:dyDescent="0.35"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</row>
    <row r="935" spans="2:27" ht="12" customHeight="1" x14ac:dyDescent="0.35"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</row>
    <row r="936" spans="2:27" ht="12" customHeight="1" x14ac:dyDescent="0.35"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</row>
    <row r="937" spans="2:27" ht="12" customHeight="1" x14ac:dyDescent="0.35"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</row>
    <row r="938" spans="2:27" ht="12" customHeight="1" x14ac:dyDescent="0.35"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</row>
    <row r="939" spans="2:27" ht="12" customHeight="1" x14ac:dyDescent="0.35"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</row>
    <row r="940" spans="2:27" ht="12" customHeight="1" x14ac:dyDescent="0.35"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</row>
    <row r="941" spans="2:27" ht="12" customHeight="1" x14ac:dyDescent="0.35"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</row>
    <row r="942" spans="2:27" ht="12" customHeight="1" x14ac:dyDescent="0.35"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</row>
    <row r="943" spans="2:27" ht="12" customHeight="1" x14ac:dyDescent="0.35"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</row>
    <row r="944" spans="2:27" ht="12" customHeight="1" x14ac:dyDescent="0.35"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</row>
    <row r="945" spans="2:27" ht="12" customHeight="1" x14ac:dyDescent="0.35"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</row>
    <row r="946" spans="2:27" ht="12" customHeight="1" x14ac:dyDescent="0.35"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</row>
    <row r="947" spans="2:27" ht="12" customHeight="1" x14ac:dyDescent="0.35"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</row>
    <row r="948" spans="2:27" ht="12" customHeight="1" x14ac:dyDescent="0.35"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</row>
    <row r="949" spans="2:27" ht="12" customHeight="1" x14ac:dyDescent="0.35"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</row>
    <row r="950" spans="2:27" ht="12" customHeight="1" x14ac:dyDescent="0.35"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</row>
    <row r="951" spans="2:27" ht="12" customHeight="1" x14ac:dyDescent="0.35"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</row>
    <row r="952" spans="2:27" ht="12" customHeight="1" x14ac:dyDescent="0.35"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</row>
    <row r="953" spans="2:27" ht="12" customHeight="1" x14ac:dyDescent="0.35"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</row>
    <row r="954" spans="2:27" ht="12" customHeight="1" x14ac:dyDescent="0.35"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</row>
    <row r="955" spans="2:27" ht="12" customHeight="1" x14ac:dyDescent="0.35"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</row>
    <row r="956" spans="2:27" ht="12" customHeight="1" x14ac:dyDescent="0.35"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</row>
    <row r="957" spans="2:27" ht="12" customHeight="1" x14ac:dyDescent="0.35"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</row>
    <row r="958" spans="2:27" ht="12" customHeight="1" x14ac:dyDescent="0.35"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</row>
    <row r="959" spans="2:27" ht="12" customHeight="1" x14ac:dyDescent="0.35"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</row>
    <row r="960" spans="2:27" ht="12" customHeight="1" x14ac:dyDescent="0.35"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</row>
    <row r="961" spans="2:27" ht="12" customHeight="1" x14ac:dyDescent="0.35"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</row>
    <row r="962" spans="2:27" ht="12" customHeight="1" x14ac:dyDescent="0.35"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</row>
    <row r="963" spans="2:27" ht="12" customHeight="1" x14ac:dyDescent="0.35"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</row>
    <row r="964" spans="2:27" ht="12" customHeight="1" x14ac:dyDescent="0.35"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</row>
    <row r="965" spans="2:27" ht="12" customHeight="1" x14ac:dyDescent="0.35"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</row>
    <row r="966" spans="2:27" ht="12" customHeight="1" x14ac:dyDescent="0.35"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</row>
    <row r="967" spans="2:27" ht="12" customHeight="1" x14ac:dyDescent="0.35"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</row>
    <row r="968" spans="2:27" ht="12" customHeight="1" x14ac:dyDescent="0.35"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</row>
    <row r="969" spans="2:27" ht="12" customHeight="1" x14ac:dyDescent="0.35"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</row>
    <row r="970" spans="2:27" ht="12" customHeight="1" x14ac:dyDescent="0.35"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</row>
    <row r="971" spans="2:27" ht="12" customHeight="1" x14ac:dyDescent="0.35"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</row>
    <row r="972" spans="2:27" ht="12" customHeight="1" x14ac:dyDescent="0.35"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</row>
    <row r="973" spans="2:27" ht="12" customHeight="1" x14ac:dyDescent="0.35"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</row>
    <row r="974" spans="2:27" ht="12" customHeight="1" x14ac:dyDescent="0.35"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</row>
    <row r="975" spans="2:27" ht="12" customHeight="1" x14ac:dyDescent="0.35"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</row>
    <row r="976" spans="2:27" ht="12" customHeight="1" x14ac:dyDescent="0.35"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</row>
    <row r="977" spans="2:27" ht="12" customHeight="1" x14ac:dyDescent="0.35"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</row>
    <row r="978" spans="2:27" ht="12" customHeight="1" x14ac:dyDescent="0.35"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</row>
    <row r="979" spans="2:27" ht="12" customHeight="1" x14ac:dyDescent="0.35"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</row>
    <row r="980" spans="2:27" ht="12" customHeight="1" x14ac:dyDescent="0.35"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</row>
    <row r="981" spans="2:27" ht="12" customHeight="1" x14ac:dyDescent="0.35"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</row>
    <row r="982" spans="2:27" ht="12" customHeight="1" x14ac:dyDescent="0.35"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</row>
    <row r="983" spans="2:27" ht="12" customHeight="1" x14ac:dyDescent="0.35"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</row>
    <row r="984" spans="2:27" ht="12" customHeight="1" x14ac:dyDescent="0.35"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</row>
    <row r="985" spans="2:27" ht="12" customHeight="1" x14ac:dyDescent="0.35"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</row>
    <row r="986" spans="2:27" ht="12" customHeight="1" x14ac:dyDescent="0.35"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</row>
    <row r="987" spans="2:27" ht="12" customHeight="1" x14ac:dyDescent="0.35"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</row>
    <row r="988" spans="2:27" ht="12" customHeight="1" x14ac:dyDescent="0.35"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</row>
    <row r="989" spans="2:27" ht="12" customHeight="1" x14ac:dyDescent="0.35"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</row>
    <row r="990" spans="2:27" ht="12" customHeight="1" x14ac:dyDescent="0.35"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</row>
    <row r="991" spans="2:27" ht="12" customHeight="1" x14ac:dyDescent="0.35"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</row>
    <row r="992" spans="2:27" ht="12" customHeight="1" x14ac:dyDescent="0.35"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</row>
    <row r="993" spans="2:27" ht="12" customHeight="1" x14ac:dyDescent="0.35"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</row>
    <row r="994" spans="2:27" ht="12" customHeight="1" x14ac:dyDescent="0.35"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</row>
    <row r="995" spans="2:27" ht="12" customHeight="1" x14ac:dyDescent="0.35"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</row>
    <row r="996" spans="2:27" ht="12" customHeight="1" x14ac:dyDescent="0.35"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</row>
    <row r="997" spans="2:27" ht="12" customHeight="1" x14ac:dyDescent="0.35"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</row>
    <row r="998" spans="2:27" ht="12" customHeight="1" x14ac:dyDescent="0.35"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</row>
    <row r="999" spans="2:27" ht="12" customHeight="1" x14ac:dyDescent="0.35"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</row>
    <row r="1000" spans="2:27" ht="12" customHeight="1" x14ac:dyDescent="0.35"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</row>
    <row r="1001" spans="2:27" ht="12" customHeight="1" x14ac:dyDescent="0.35"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  <c r="Z1001" s="30"/>
      <c r="AA1001" s="30"/>
    </row>
    <row r="1002" spans="2:27" ht="12" customHeight="1" x14ac:dyDescent="0.35"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  <c r="Z1002" s="30"/>
      <c r="AA1002" s="30"/>
    </row>
    <row r="1003" spans="2:27" ht="12" customHeight="1" x14ac:dyDescent="0.35"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  <c r="Z1003" s="30"/>
      <c r="AA1003" s="30"/>
    </row>
    <row r="1004" spans="2:27" ht="12" customHeight="1" x14ac:dyDescent="0.35"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  <c r="Z1004" s="30"/>
      <c r="AA1004" s="30"/>
    </row>
    <row r="1005" spans="2:27" ht="12" customHeight="1" x14ac:dyDescent="0.35"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  <c r="Z1005" s="30"/>
      <c r="AA1005" s="30"/>
    </row>
  </sheetData>
  <sheetProtection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B8A7-553A-4AEA-BB13-9C31600513F2}">
  <sheetPr codeName="Sheet23">
    <tabColor rgb="FFFF0000"/>
  </sheetPr>
  <dimension ref="B1:G29"/>
  <sheetViews>
    <sheetView workbookViewId="0">
      <selection activeCell="B8" sqref="B8"/>
    </sheetView>
  </sheetViews>
  <sheetFormatPr defaultColWidth="8.7265625" defaultRowHeight="14.5" x14ac:dyDescent="0.35"/>
  <cols>
    <col min="1" max="1" width="4.7265625" style="122" customWidth="1"/>
    <col min="2" max="2" width="8.7265625" style="122"/>
    <col min="3" max="7" width="10.54296875" style="122" customWidth="1"/>
    <col min="8" max="16384" width="8.7265625" style="122"/>
  </cols>
  <sheetData>
    <row r="1" spans="2:2" ht="18.5" x14ac:dyDescent="0.45">
      <c r="B1" s="124"/>
    </row>
    <row r="8" spans="2:2" ht="92" x14ac:dyDescent="2">
      <c r="B8" s="123" t="s">
        <v>195</v>
      </c>
    </row>
    <row r="29" spans="3:7" x14ac:dyDescent="0.35">
      <c r="C29" s="125"/>
      <c r="D29" s="125"/>
      <c r="E29" s="125"/>
      <c r="F29" s="125"/>
      <c r="G29" s="125"/>
    </row>
  </sheetData>
  <sheetProtection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F7D76-0C48-4F6A-BC16-03CE0C806ABF}">
  <sheetPr codeName="Sheet15"/>
  <dimension ref="C2:Z20"/>
  <sheetViews>
    <sheetView showGridLines="0" workbookViewId="0">
      <pane xSplit="3" ySplit="3" topLeftCell="F5" activePane="bottomRight" state="frozen"/>
      <selection pane="topRight" activeCell="D1" sqref="D1"/>
      <selection pane="bottomLeft" activeCell="A4" sqref="A4"/>
      <selection pane="bottomRight" activeCell="C21" sqref="C21"/>
    </sheetView>
  </sheetViews>
  <sheetFormatPr defaultRowHeight="14.5" x14ac:dyDescent="0.35"/>
  <cols>
    <col min="1" max="1" width="2.54296875" customWidth="1"/>
    <col min="2" max="2" width="2.1796875" customWidth="1"/>
    <col min="3" max="3" width="40.7265625" customWidth="1"/>
    <col min="4" max="7" width="12.54296875" customWidth="1"/>
    <col min="8" max="12" width="14.54296875" customWidth="1"/>
    <col min="13" max="13" width="13.81640625" customWidth="1"/>
  </cols>
  <sheetData>
    <row r="2" spans="3:26" ht="15" thickBot="1" x14ac:dyDescent="0.4"/>
    <row r="3" spans="3:26" s="17" customFormat="1" ht="33" customHeight="1" thickBot="1" x14ac:dyDescent="0.4">
      <c r="C3" s="218" t="s">
        <v>49</v>
      </c>
      <c r="D3" s="219" t="s">
        <v>27</v>
      </c>
      <c r="E3" s="219" t="s">
        <v>28</v>
      </c>
      <c r="F3" s="219" t="s">
        <v>29</v>
      </c>
      <c r="G3" s="219" t="s">
        <v>30</v>
      </c>
      <c r="H3" s="219" t="s">
        <v>31</v>
      </c>
      <c r="I3" s="219" t="s">
        <v>32</v>
      </c>
      <c r="J3" s="219" t="s">
        <v>33</v>
      </c>
      <c r="K3" s="219" t="s">
        <v>34</v>
      </c>
      <c r="L3" s="219" t="s">
        <v>35</v>
      </c>
      <c r="M3" s="219" t="s">
        <v>36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spans="3:26" ht="17.149999999999999" customHeight="1" x14ac:dyDescent="0.35">
      <c r="C4" t="s">
        <v>138</v>
      </c>
      <c r="D4" s="106">
        <f>'Income Statement'!D12</f>
        <v>1542</v>
      </c>
      <c r="E4" s="106">
        <f>'Income Statement'!E12</f>
        <v>1655</v>
      </c>
      <c r="F4" s="106">
        <f>'Income Statement'!F12</f>
        <v>1868</v>
      </c>
      <c r="G4" s="106">
        <f>'Income Statement'!G12</f>
        <v>1961</v>
      </c>
      <c r="H4" s="106">
        <f>'Income Statement'!H12</f>
        <v>2126</v>
      </c>
      <c r="I4" s="107">
        <f>'Income Statement'!I12</f>
        <v>2462.554232</v>
      </c>
      <c r="J4" s="107">
        <f>'Income Statement'!J12</f>
        <v>2757.43898128</v>
      </c>
      <c r="K4" s="107">
        <f>'Income Statement'!K12</f>
        <v>3051.6153477920006</v>
      </c>
      <c r="L4" s="107">
        <f>'Income Statement'!L12</f>
        <v>3322.8480526238795</v>
      </c>
      <c r="M4" s="107">
        <f>'Income Statement'!M12</f>
        <v>3579.4244809449169</v>
      </c>
    </row>
    <row r="5" spans="3:26" ht="17.149999999999999" customHeight="1" x14ac:dyDescent="0.35">
      <c r="C5" t="s">
        <v>46</v>
      </c>
      <c r="D5" s="4">
        <f t="shared" ref="D5:M5" si="0">D4*D6</f>
        <v>-333.24921923797626</v>
      </c>
      <c r="E5" s="4">
        <f t="shared" si="0"/>
        <v>-399.74469305794605</v>
      </c>
      <c r="F5" s="4">
        <f t="shared" si="0"/>
        <v>-419.50438822922047</v>
      </c>
      <c r="G5" s="4">
        <f t="shared" si="0"/>
        <v>-424.45085066162574</v>
      </c>
      <c r="H5" s="4">
        <f t="shared" si="0"/>
        <v>-433.22968818620996</v>
      </c>
      <c r="I5" s="90">
        <f t="shared" si="0"/>
        <v>-541.76193104000004</v>
      </c>
      <c r="J5" s="90">
        <f t="shared" si="0"/>
        <v>-606.63657588160004</v>
      </c>
      <c r="K5" s="90">
        <f t="shared" si="0"/>
        <v>-671.35537651424011</v>
      </c>
      <c r="L5" s="90">
        <f t="shared" si="0"/>
        <v>-731.02657157725343</v>
      </c>
      <c r="M5" s="90">
        <f t="shared" si="0"/>
        <v>-787.47338580788175</v>
      </c>
    </row>
    <row r="6" spans="3:26" ht="17.149999999999999" customHeight="1" x14ac:dyDescent="0.35">
      <c r="C6" t="s">
        <v>141</v>
      </c>
      <c r="D6" s="239">
        <f>'Income Statement'!D17</f>
        <v>-0.21611492816989381</v>
      </c>
      <c r="E6" s="239">
        <f>'Income Statement'!E17</f>
        <v>-0.24153757888697647</v>
      </c>
      <c r="F6" s="239">
        <f>'Income Statement'!F17</f>
        <v>-0.22457408363448633</v>
      </c>
      <c r="G6" s="239">
        <f>'Income Statement'!G17</f>
        <v>-0.21644612476370512</v>
      </c>
      <c r="H6" s="239">
        <f>'Income Statement'!H17</f>
        <v>-0.20377689942907334</v>
      </c>
      <c r="I6" s="241">
        <f>'Income Statement'!I17</f>
        <v>-0.22000000000000003</v>
      </c>
      <c r="J6" s="241">
        <f>'Income Statement'!J17</f>
        <v>-0.22</v>
      </c>
      <c r="K6" s="241">
        <f>'Income Statement'!K17</f>
        <v>-0.22</v>
      </c>
      <c r="L6" s="241">
        <f>'Income Statement'!L17</f>
        <v>-0.21999999999999997</v>
      </c>
      <c r="M6" s="241">
        <f>'Income Statement'!M17</f>
        <v>-0.22</v>
      </c>
    </row>
    <row r="7" spans="3:26" ht="17.149999999999999" customHeight="1" x14ac:dyDescent="0.35">
      <c r="C7" s="115" t="s">
        <v>196</v>
      </c>
      <c r="D7" s="116">
        <f t="shared" ref="D7:M7" si="1">SUM(D4:D5)</f>
        <v>1208.7507807620236</v>
      </c>
      <c r="E7" s="116">
        <f t="shared" si="1"/>
        <v>1255.2553069420539</v>
      </c>
      <c r="F7" s="116">
        <f t="shared" si="1"/>
        <v>1448.4956117707795</v>
      </c>
      <c r="G7" s="116">
        <f t="shared" si="1"/>
        <v>1536.5491493383743</v>
      </c>
      <c r="H7" s="116">
        <f t="shared" si="1"/>
        <v>1692.7703118137902</v>
      </c>
      <c r="I7" s="132">
        <f t="shared" si="1"/>
        <v>1920.7923009599999</v>
      </c>
      <c r="J7" s="132">
        <f t="shared" si="1"/>
        <v>2150.8024053984</v>
      </c>
      <c r="K7" s="132">
        <f t="shared" si="1"/>
        <v>2380.2599712777605</v>
      </c>
      <c r="L7" s="132">
        <f t="shared" si="1"/>
        <v>2591.8214810466261</v>
      </c>
      <c r="M7" s="132">
        <f t="shared" si="1"/>
        <v>2791.9510951370353</v>
      </c>
    </row>
    <row r="8" spans="3:26" ht="17.149999999999999" customHeight="1" x14ac:dyDescent="0.35">
      <c r="C8" t="s">
        <v>197</v>
      </c>
      <c r="D8" s="106">
        <f>-'Income Statement'!D11</f>
        <v>139</v>
      </c>
      <c r="E8" s="106">
        <f>-'Income Statement'!E11</f>
        <v>155</v>
      </c>
      <c r="F8" s="106">
        <f>-'Income Statement'!F11</f>
        <v>158</v>
      </c>
      <c r="G8" s="106">
        <f>-'Income Statement'!G11</f>
        <v>178</v>
      </c>
      <c r="H8" s="106">
        <f>-'Income Statement'!H11</f>
        <v>202</v>
      </c>
      <c r="I8" s="107">
        <f>-'Income Statement'!I11</f>
        <v>285.67</v>
      </c>
      <c r="J8" s="107">
        <f>-'Income Statement'!J11</f>
        <v>293.08991623999998</v>
      </c>
      <c r="K8" s="107">
        <f>-'Income Statement'!K11</f>
        <v>303.96643948000002</v>
      </c>
      <c r="L8" s="107">
        <f>-'Income Statement'!L11</f>
        <v>317.95818656623999</v>
      </c>
      <c r="M8" s="107">
        <f>-'Income Statement'!M11</f>
        <v>334.44222618446202</v>
      </c>
    </row>
    <row r="9" spans="3:26" s="1" customFormat="1" ht="17.149999999999999" customHeight="1" x14ac:dyDescent="0.35">
      <c r="C9" s="15" t="s">
        <v>198</v>
      </c>
      <c r="D9" s="117">
        <f t="shared" ref="D9:M9" si="2">SUM(D7:D8)</f>
        <v>1347.7507807620236</v>
      </c>
      <c r="E9" s="117">
        <f t="shared" si="2"/>
        <v>1410.2553069420539</v>
      </c>
      <c r="F9" s="117">
        <f t="shared" si="2"/>
        <v>1606.4956117707795</v>
      </c>
      <c r="G9" s="117">
        <f t="shared" si="2"/>
        <v>1714.5491493383743</v>
      </c>
      <c r="H9" s="117">
        <f t="shared" si="2"/>
        <v>1894.7703118137902</v>
      </c>
      <c r="I9" s="117">
        <f t="shared" si="2"/>
        <v>2206.46230096</v>
      </c>
      <c r="J9" s="117">
        <f t="shared" si="2"/>
        <v>2443.8923216384001</v>
      </c>
      <c r="K9" s="117">
        <f t="shared" si="2"/>
        <v>2684.2264107577607</v>
      </c>
      <c r="L9" s="117">
        <f t="shared" si="2"/>
        <v>2909.779667612866</v>
      </c>
      <c r="M9" s="117">
        <f t="shared" si="2"/>
        <v>3126.3933213214973</v>
      </c>
    </row>
    <row r="10" spans="3:26" ht="17.149999999999999" customHeight="1" x14ac:dyDescent="0.35">
      <c r="I10" s="95"/>
      <c r="J10" s="95"/>
      <c r="K10" s="95"/>
      <c r="L10" s="95"/>
      <c r="M10" s="95"/>
    </row>
    <row r="11" spans="3:26" ht="17.149999999999999" customHeight="1" x14ac:dyDescent="0.35">
      <c r="C11" t="s">
        <v>199</v>
      </c>
      <c r="D11" s="106">
        <f>-('Balance Sheet'!D7-'Balance Sheet'!C7)</f>
        <v>-264</v>
      </c>
      <c r="E11" s="106">
        <f>-('Balance Sheet'!E7-'Balance Sheet'!D7)</f>
        <v>-363</v>
      </c>
      <c r="F11" s="106">
        <f>-('Balance Sheet'!F7-'Balance Sheet'!E7)</f>
        <v>-54</v>
      </c>
      <c r="G11" s="106">
        <f>-('Balance Sheet'!G7-'Balance Sheet'!F7)</f>
        <v>-202</v>
      </c>
      <c r="H11" s="106">
        <f>-('Balance Sheet'!H7-'Balance Sheet'!G7)</f>
        <v>-33</v>
      </c>
      <c r="I11" s="107">
        <f>-('Balance Sheet'!I7-'Balance Sheet'!H7)</f>
        <v>-79.612633681245597</v>
      </c>
      <c r="J11" s="107">
        <f>-('Balance Sheet'!J7-'Balance Sheet'!I7)</f>
        <v>-152.19738970493722</v>
      </c>
      <c r="K11" s="107">
        <f>-('Balance Sheet'!K7-'Balance Sheet'!J7)</f>
        <v>-153.58100233861842</v>
      </c>
      <c r="L11" s="107">
        <f>-('Balance Sheet'!L7-'Balance Sheet'!K7)</f>
        <v>-143.598237186608</v>
      </c>
      <c r="M11" s="107">
        <f>-('Balance Sheet'!M7-'Balance Sheet'!L7)</f>
        <v>-137.47419471835542</v>
      </c>
    </row>
    <row r="12" spans="3:26" ht="17.149999999999999" customHeight="1" x14ac:dyDescent="0.35">
      <c r="C12" t="s">
        <v>152</v>
      </c>
      <c r="D12" s="106">
        <f>-('Balance Sheet'!D8-'Balance Sheet'!C8)</f>
        <v>-286</v>
      </c>
      <c r="E12" s="106">
        <f>-('Balance Sheet'!E8-'Balance Sheet'!D8)</f>
        <v>187</v>
      </c>
      <c r="F12" s="106">
        <f>-('Balance Sheet'!F8-'Balance Sheet'!E8)</f>
        <v>-111</v>
      </c>
      <c r="G12" s="106">
        <f>-('Balance Sheet'!G8-'Balance Sheet'!F8)</f>
        <v>101</v>
      </c>
      <c r="H12" s="106">
        <f>-('Balance Sheet'!H8-'Balance Sheet'!G8)</f>
        <v>-376</v>
      </c>
      <c r="I12" s="107">
        <f>-('Balance Sheet'!I8-'Balance Sheet'!H8)</f>
        <v>-317.93182687685908</v>
      </c>
      <c r="J12" s="107">
        <f>-('Balance Sheet'!J8-'Balance Sheet'!I8)</f>
        <v>-212.18250095645476</v>
      </c>
      <c r="K12" s="107">
        <f>-('Balance Sheet'!K8-'Balance Sheet'!J8)</f>
        <v>-214.11143278333157</v>
      </c>
      <c r="L12" s="107">
        <f>-('Balance Sheet'!L8-'Balance Sheet'!K8)</f>
        <v>-200.19418965241493</v>
      </c>
      <c r="M12" s="107">
        <f>-('Balance Sheet'!M8-'Balance Sheet'!L8)</f>
        <v>-191.6564962701791</v>
      </c>
    </row>
    <row r="13" spans="3:26" ht="17.149999999999999" customHeight="1" x14ac:dyDescent="0.35">
      <c r="C13" t="s">
        <v>200</v>
      </c>
      <c r="D13" s="106">
        <f>-('Balance Sheet'!D10-'Balance Sheet'!C10)</f>
        <v>11</v>
      </c>
      <c r="E13" s="106">
        <f>-('Balance Sheet'!E10-'Balance Sheet'!D10)</f>
        <v>-16</v>
      </c>
      <c r="F13" s="106">
        <f>-('Balance Sheet'!F10-'Balance Sheet'!E10)</f>
        <v>-149</v>
      </c>
      <c r="G13" s="106">
        <f>-('Balance Sheet'!G10-'Balance Sheet'!F10)</f>
        <v>-35</v>
      </c>
      <c r="H13" s="106">
        <f>-('Balance Sheet'!H10-'Balance Sheet'!G10)</f>
        <v>-75</v>
      </c>
      <c r="I13" s="107">
        <f>-('Balance Sheet'!I10-'Balance Sheet'!H10)</f>
        <v>-62.464000000000055</v>
      </c>
      <c r="J13" s="107">
        <f>-('Balance Sheet'!J10-'Balance Sheet'!I10)</f>
        <v>-60.551040000000171</v>
      </c>
      <c r="K13" s="107">
        <f>-('Balance Sheet'!K10-'Balance Sheet'!J10)</f>
        <v>-61.101504000000091</v>
      </c>
      <c r="L13" s="107">
        <f>-('Balance Sheet'!L10-'Balance Sheet'!K10)</f>
        <v>-57.129906239999968</v>
      </c>
      <c r="M13" s="107">
        <f>-('Balance Sheet'!M10-'Balance Sheet'!L10)</f>
        <v>-54.693483767999851</v>
      </c>
    </row>
    <row r="14" spans="3:26" ht="17.149999999999999" customHeight="1" x14ac:dyDescent="0.35">
      <c r="C14" t="s">
        <v>163</v>
      </c>
      <c r="D14" s="106">
        <f>'Balance Sheet'!D27-'Balance Sheet'!C27</f>
        <v>210</v>
      </c>
      <c r="E14" s="106">
        <f>'Balance Sheet'!E27-'Balance Sheet'!D27</f>
        <v>108</v>
      </c>
      <c r="F14" s="106">
        <f>'Balance Sheet'!F27-'Balance Sheet'!E27</f>
        <v>129</v>
      </c>
      <c r="G14" s="106">
        <f>'Balance Sheet'!G27-'Balance Sheet'!F27</f>
        <v>-218</v>
      </c>
      <c r="H14" s="106">
        <f>'Balance Sheet'!H27-'Balance Sheet'!G27</f>
        <v>271</v>
      </c>
      <c r="I14" s="107">
        <f>'Balance Sheet'!I27-'Balance Sheet'!H27</f>
        <v>464.8816346039639</v>
      </c>
      <c r="J14" s="107">
        <f>'Balance Sheet'!J27-'Balance Sheet'!I27</f>
        <v>230.87697980643634</v>
      </c>
      <c r="K14" s="107">
        <f>'Balance Sheet'!K27-'Balance Sheet'!J27</f>
        <v>232.97586144104025</v>
      </c>
      <c r="L14" s="107">
        <f>'Balance Sheet'!L27-'Balance Sheet'!K27</f>
        <v>217.83243044737219</v>
      </c>
      <c r="M14" s="107">
        <f>'Balance Sheet'!M27-'Balance Sheet'!L27</f>
        <v>208.54251797241068</v>
      </c>
    </row>
    <row r="15" spans="3:26" ht="17.149999999999999" customHeight="1" x14ac:dyDescent="0.35">
      <c r="C15" t="s">
        <v>201</v>
      </c>
      <c r="D15" s="106">
        <f>'Balance Sheet'!D29-'Balance Sheet'!C29</f>
        <v>-76</v>
      </c>
      <c r="E15" s="106">
        <f>'Balance Sheet'!E29-'Balance Sheet'!D29</f>
        <v>26</v>
      </c>
      <c r="F15" s="106">
        <f>'Balance Sheet'!F29-'Balance Sheet'!E29</f>
        <v>-38</v>
      </c>
      <c r="G15" s="106">
        <f>'Balance Sheet'!G29-'Balance Sheet'!F29</f>
        <v>48</v>
      </c>
      <c r="H15" s="106">
        <f>'Balance Sheet'!H29-'Balance Sheet'!G29</f>
        <v>31</v>
      </c>
      <c r="I15" s="107">
        <f>'Balance Sheet'!I29-'Balance Sheet'!H29</f>
        <v>122.97600000000006</v>
      </c>
      <c r="J15" s="107">
        <f>'Balance Sheet'!J29-'Balance Sheet'!I29</f>
        <v>45.537360000000092</v>
      </c>
      <c r="K15" s="107">
        <f>'Balance Sheet'!K29-'Balance Sheet'!J29</f>
        <v>45.951336000000083</v>
      </c>
      <c r="L15" s="107">
        <f>'Balance Sheet'!L29-'Balance Sheet'!K29</f>
        <v>42.964499159999946</v>
      </c>
      <c r="M15" s="107">
        <f>'Balance Sheet'!M29-'Balance Sheet'!L29</f>
        <v>41.132189636999897</v>
      </c>
    </row>
    <row r="16" spans="3:26" s="1" customFormat="1" ht="17.149999999999999" customHeight="1" x14ac:dyDescent="0.35">
      <c r="C16" s="15" t="s">
        <v>202</v>
      </c>
      <c r="D16" s="240">
        <f>'CFS Sch III'!D10</f>
        <v>-342</v>
      </c>
      <c r="E16" s="240">
        <f>'CFS Sch III'!E10</f>
        <v>-59</v>
      </c>
      <c r="F16" s="240">
        <f>'CFS Sch III'!F10</f>
        <v>-226</v>
      </c>
      <c r="G16" s="240">
        <f>'CFS Sch III'!G10</f>
        <v>-293</v>
      </c>
      <c r="H16" s="240">
        <f>'CFS Sch III'!H10</f>
        <v>253</v>
      </c>
      <c r="I16" s="140">
        <f>SUM(I11:I15)</f>
        <v>127.84917404585923</v>
      </c>
      <c r="J16" s="140">
        <f>SUM(J11:J15)</f>
        <v>-148.51659085495572</v>
      </c>
      <c r="K16" s="140">
        <f>SUM(K11:K15)</f>
        <v>-149.86674168090974</v>
      </c>
      <c r="L16" s="140">
        <f>SUM(L11:L15)</f>
        <v>-140.12540347165077</v>
      </c>
      <c r="M16" s="140">
        <f>SUM(M11:M15)</f>
        <v>-134.1494671471238</v>
      </c>
    </row>
    <row r="17" spans="3:13" ht="17.149999999999999" customHeight="1" x14ac:dyDescent="0.35">
      <c r="D17" s="4"/>
      <c r="E17" s="4"/>
      <c r="F17" s="4"/>
      <c r="G17" s="4"/>
      <c r="H17" s="4"/>
      <c r="I17" s="90"/>
      <c r="J17" s="90"/>
      <c r="K17" s="90"/>
      <c r="L17" s="90"/>
      <c r="M17" s="90"/>
    </row>
    <row r="18" spans="3:13" s="1" customFormat="1" ht="17.149999999999999" customHeight="1" x14ac:dyDescent="0.35">
      <c r="C18" s="15" t="s">
        <v>119</v>
      </c>
      <c r="D18" s="240">
        <f>-'PP&amp;E'!C20</f>
        <v>-132</v>
      </c>
      <c r="E18" s="240">
        <f>-'PP&amp;E'!D20</f>
        <v>-182</v>
      </c>
      <c r="F18" s="240">
        <f>-'PP&amp;E'!E20</f>
        <v>-153</v>
      </c>
      <c r="G18" s="240">
        <f>-'PP&amp;E'!F20</f>
        <v>-161</v>
      </c>
      <c r="H18" s="240">
        <f>-'PP&amp;E'!G20</f>
        <v>-319</v>
      </c>
      <c r="I18" s="240">
        <f>-'PP&amp;E'!H20</f>
        <v>-353.12378400000006</v>
      </c>
      <c r="J18" s="240">
        <f>-'PP&amp;E'!I20</f>
        <v>-391.96740024000007</v>
      </c>
      <c r="K18" s="240">
        <f>-'PP&amp;E'!J20</f>
        <v>-431.16414026400014</v>
      </c>
      <c r="L18" s="240">
        <f>-'PP&amp;E'!K20</f>
        <v>-467.81309218644014</v>
      </c>
      <c r="M18" s="240">
        <f>-'PP&amp;E'!L20</f>
        <v>-502.89907410042309</v>
      </c>
    </row>
    <row r="19" spans="3:13" ht="17.149999999999999" customHeight="1" x14ac:dyDescent="0.35">
      <c r="I19" s="95"/>
      <c r="J19" s="95"/>
      <c r="K19" s="95"/>
      <c r="L19" s="95"/>
      <c r="M19" s="95"/>
    </row>
    <row r="20" spans="3:13" ht="17.149999999999999" customHeight="1" thickBot="1" x14ac:dyDescent="0.4">
      <c r="C20" s="141" t="s">
        <v>203</v>
      </c>
      <c r="D20" s="142">
        <f t="shared" ref="D20:M20" si="3">SUM(D9,D16,D18)</f>
        <v>873.75078076202362</v>
      </c>
      <c r="E20" s="142">
        <f t="shared" si="3"/>
        <v>1169.2553069420539</v>
      </c>
      <c r="F20" s="142">
        <f t="shared" si="3"/>
        <v>1227.4956117707795</v>
      </c>
      <c r="G20" s="142">
        <f t="shared" si="3"/>
        <v>1260.5491493383743</v>
      </c>
      <c r="H20" s="142">
        <f t="shared" si="3"/>
        <v>1828.7703118137902</v>
      </c>
      <c r="I20" s="142">
        <f t="shared" si="3"/>
        <v>1981.1876910058593</v>
      </c>
      <c r="J20" s="142">
        <f t="shared" si="3"/>
        <v>1903.4083305434442</v>
      </c>
      <c r="K20" s="142">
        <f t="shared" si="3"/>
        <v>2103.1955288128506</v>
      </c>
      <c r="L20" s="142">
        <f t="shared" si="3"/>
        <v>2301.8411719547748</v>
      </c>
      <c r="M20" s="142">
        <f t="shared" si="3"/>
        <v>2489.3447800739505</v>
      </c>
    </row>
  </sheetData>
  <sheetProtection sheet="1" objects="1" scenarios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0BA58-3AB2-4F42-A32C-94AC59F8F150}">
  <sheetPr codeName="Sheet11"/>
  <dimension ref="A1:R22"/>
  <sheetViews>
    <sheetView showGridLines="0" workbookViewId="0">
      <selection activeCell="H26" sqref="H26"/>
    </sheetView>
  </sheetViews>
  <sheetFormatPr defaultRowHeight="14.5" x14ac:dyDescent="0.35"/>
  <cols>
    <col min="1" max="1" width="2.1796875" customWidth="1"/>
    <col min="2" max="2" width="2.26953125" customWidth="1"/>
    <col min="3" max="3" width="26.26953125" customWidth="1"/>
    <col min="4" max="8" width="11.81640625" bestFit="1" customWidth="1"/>
    <col min="9" max="13" width="10.54296875" customWidth="1"/>
  </cols>
  <sheetData>
    <row r="1" spans="1:18" ht="27" customHeight="1" x14ac:dyDescent="0.35">
      <c r="C1" s="127" t="s">
        <v>204</v>
      </c>
    </row>
    <row r="3" spans="1:18" x14ac:dyDescent="0.35">
      <c r="C3" s="156" t="s">
        <v>205</v>
      </c>
      <c r="D3" s="157">
        <f>'Assumptions and Drivers'!C10</f>
        <v>6.8000000000000005E-2</v>
      </c>
    </row>
    <row r="4" spans="1:18" x14ac:dyDescent="0.35">
      <c r="C4" s="156" t="s">
        <v>206</v>
      </c>
      <c r="D4" s="158">
        <f>'Assumptions and Drivers'!C5</f>
        <v>7.0000000000000007E-2</v>
      </c>
    </row>
    <row r="5" spans="1:18" x14ac:dyDescent="0.35">
      <c r="C5" s="156" t="s">
        <v>10</v>
      </c>
      <c r="D5" s="157">
        <f>'Assumptions and Drivers'!C9</f>
        <v>0.5</v>
      </c>
    </row>
    <row r="6" spans="1:18" x14ac:dyDescent="0.35">
      <c r="C6" s="156" t="s">
        <v>8</v>
      </c>
      <c r="D6" s="158">
        <f>'Assumptions and Drivers'!C7</f>
        <v>0.22</v>
      </c>
    </row>
    <row r="7" spans="1:18" x14ac:dyDescent="0.35">
      <c r="D7" s="128"/>
    </row>
    <row r="8" spans="1:18" x14ac:dyDescent="0.35">
      <c r="C8" s="156" t="s">
        <v>207</v>
      </c>
      <c r="D8" s="242">
        <f>D3+(D4*D5)</f>
        <v>0.10300000000000001</v>
      </c>
    </row>
    <row r="9" spans="1:18" x14ac:dyDescent="0.35">
      <c r="C9" s="156" t="s">
        <v>208</v>
      </c>
      <c r="D9" s="158">
        <f>'Finance Costs'!C4*(1-'Assumptions and Drivers'!C7)</f>
        <v>7.4099999999999999E-2</v>
      </c>
    </row>
    <row r="10" spans="1:18" ht="15" thickBot="1" x14ac:dyDescent="0.4"/>
    <row r="11" spans="1:18" s="213" customFormat="1" ht="37" customHeight="1" thickBot="1" x14ac:dyDescent="0.4">
      <c r="A11" s="213" t="s">
        <v>18</v>
      </c>
      <c r="C11" s="214" t="s">
        <v>49</v>
      </c>
      <c r="D11" s="215" t="s">
        <v>27</v>
      </c>
      <c r="E11" s="215" t="s">
        <v>28</v>
      </c>
      <c r="F11" s="215" t="s">
        <v>29</v>
      </c>
      <c r="G11" s="215" t="s">
        <v>30</v>
      </c>
      <c r="H11" s="215" t="s">
        <v>31</v>
      </c>
      <c r="I11" s="216" t="s">
        <v>32</v>
      </c>
      <c r="J11" s="216" t="s">
        <v>33</v>
      </c>
      <c r="K11" s="216" t="s">
        <v>34</v>
      </c>
      <c r="L11" s="216" t="s">
        <v>35</v>
      </c>
      <c r="M11" s="216" t="s">
        <v>36</v>
      </c>
      <c r="N11" s="68"/>
      <c r="O11" s="68"/>
      <c r="P11" s="68"/>
      <c r="Q11" s="68"/>
      <c r="R11" s="68"/>
    </row>
    <row r="12" spans="1:18" x14ac:dyDescent="0.35">
      <c r="C12" t="s">
        <v>209</v>
      </c>
      <c r="D12" s="7">
        <v>482.75</v>
      </c>
      <c r="E12" s="7">
        <v>459.84</v>
      </c>
      <c r="F12" s="7">
        <v>483.55</v>
      </c>
      <c r="G12" s="7">
        <v>645.22</v>
      </c>
      <c r="H12" s="13">
        <f>'Assumptions and Drivers'!$C$6</f>
        <v>810.65</v>
      </c>
      <c r="I12" s="129"/>
      <c r="J12" s="129"/>
      <c r="K12" s="129"/>
      <c r="L12" s="129"/>
      <c r="M12" s="129"/>
    </row>
    <row r="13" spans="1:18" x14ac:dyDescent="0.35">
      <c r="C13" t="s">
        <v>210</v>
      </c>
      <c r="D13" s="13">
        <f>'Equity Funds'!D7</f>
        <v>129</v>
      </c>
      <c r="E13" s="13">
        <f>'Equity Funds'!E7</f>
        <v>129</v>
      </c>
      <c r="F13" s="13">
        <f>'Equity Funds'!F7</f>
        <v>129</v>
      </c>
      <c r="G13" s="13">
        <f>'Equity Funds'!G7</f>
        <v>129</v>
      </c>
      <c r="H13" s="13">
        <f>'Equity Funds'!H7</f>
        <v>130</v>
      </c>
      <c r="I13" s="129"/>
      <c r="J13" s="129"/>
      <c r="K13" s="129"/>
      <c r="L13" s="129"/>
      <c r="M13" s="129"/>
    </row>
    <row r="14" spans="1:18" x14ac:dyDescent="0.35">
      <c r="C14" s="235" t="s">
        <v>211</v>
      </c>
      <c r="D14" s="236">
        <f>D12*D13</f>
        <v>62274.75</v>
      </c>
      <c r="E14" s="236">
        <f t="shared" ref="E14:H14" si="0">E12*E13</f>
        <v>59319.359999999993</v>
      </c>
      <c r="F14" s="236">
        <f t="shared" si="0"/>
        <v>62377.950000000004</v>
      </c>
      <c r="G14" s="236">
        <f t="shared" si="0"/>
        <v>83233.38</v>
      </c>
      <c r="H14" s="236">
        <f t="shared" si="0"/>
        <v>105384.5</v>
      </c>
      <c r="I14" s="129"/>
      <c r="J14" s="129"/>
      <c r="K14" s="129"/>
      <c r="L14" s="129"/>
      <c r="M14" s="129"/>
    </row>
    <row r="15" spans="1:18" x14ac:dyDescent="0.35">
      <c r="C15" t="s">
        <v>145</v>
      </c>
      <c r="D15" s="13">
        <f>'Balance Sheet Source'!D41</f>
        <v>57</v>
      </c>
      <c r="E15" s="13">
        <f>'Balance Sheet Source'!E41</f>
        <v>157</v>
      </c>
      <c r="F15" s="13">
        <f>'Balance Sheet Source'!F41</f>
        <v>337</v>
      </c>
      <c r="G15" s="13">
        <f>'Balance Sheet Source'!G41</f>
        <v>291</v>
      </c>
      <c r="H15" s="13">
        <f>'Balance Sheet Source'!H41</f>
        <v>284</v>
      </c>
      <c r="I15" s="129"/>
      <c r="J15" s="129"/>
      <c r="K15" s="129"/>
      <c r="L15" s="129"/>
      <c r="M15" s="129"/>
    </row>
    <row r="16" spans="1:18" x14ac:dyDescent="0.35">
      <c r="C16" t="s">
        <v>212</v>
      </c>
      <c r="D16" s="13">
        <f>SUM('Balance Sheet Source'!C25,'Balance Sheet Source'!C26,'Balance Sheet Source'!C34,'Balance Sheet Source'!C35)</f>
        <v>508</v>
      </c>
      <c r="E16" s="13">
        <f>SUM('Balance Sheet Source'!D25,'Balance Sheet Source'!D26,'Balance Sheet Source'!D34,'Balance Sheet Source'!D35)</f>
        <v>479</v>
      </c>
      <c r="F16" s="13">
        <f>SUM('Balance Sheet Source'!E25,'Balance Sheet Source'!E26,'Balance Sheet Source'!E34,'Balance Sheet Source'!E35)</f>
        <v>608</v>
      </c>
      <c r="G16" s="13">
        <f>SUM('Balance Sheet Source'!F25,'Balance Sheet Source'!F26,'Balance Sheet Source'!F34,'Balance Sheet Source'!F35)</f>
        <v>528</v>
      </c>
      <c r="H16" s="13">
        <f>SUM('Balance Sheet Source'!G25,'Balance Sheet Source'!G26,'Balance Sheet Source'!G34,'Balance Sheet Source'!G35)</f>
        <v>554</v>
      </c>
      <c r="I16" s="130"/>
      <c r="J16" s="130"/>
      <c r="K16" s="130"/>
      <c r="L16" s="130"/>
      <c r="M16" s="130"/>
    </row>
    <row r="17" spans="3:13" ht="5.5" customHeight="1" x14ac:dyDescent="0.35">
      <c r="I17" s="129"/>
      <c r="J17" s="129"/>
      <c r="K17" s="129"/>
      <c r="L17" s="129"/>
      <c r="M17" s="129"/>
    </row>
    <row r="18" spans="3:13" x14ac:dyDescent="0.35">
      <c r="C18" t="s">
        <v>213</v>
      </c>
      <c r="D18" s="8">
        <f>D14/(D$14+D$16+D$15)</f>
        <v>0.99100887575141527</v>
      </c>
      <c r="E18" s="8">
        <f>E14/(E$14+E$16+E$15)</f>
        <v>0.98939210772814978</v>
      </c>
      <c r="F18" s="8">
        <f>F14/(F$14+F$16+F$15)</f>
        <v>0.9850765006999832</v>
      </c>
      <c r="G18" s="8">
        <f>G14/(G$14+G$16+G$15)</f>
        <v>0.99025607603258825</v>
      </c>
      <c r="H18" s="8">
        <f>H14/(H$14+H$16+H$15)</f>
        <v>0.99211089929158136</v>
      </c>
      <c r="I18" s="129"/>
      <c r="J18" s="129"/>
      <c r="K18" s="129"/>
      <c r="L18" s="129"/>
      <c r="M18" s="129"/>
    </row>
    <row r="19" spans="3:13" x14ac:dyDescent="0.35">
      <c r="C19" t="s">
        <v>214</v>
      </c>
      <c r="D19" s="8">
        <f t="shared" ref="D19:H20" si="1">D15/(D$14+D$16+D$15)</f>
        <v>9.0706917198111071E-4</v>
      </c>
      <c r="E19" s="8">
        <f t="shared" si="1"/>
        <v>2.6186149161642933E-3</v>
      </c>
      <c r="F19" s="8">
        <f t="shared" si="1"/>
        <v>5.3219251472017646E-3</v>
      </c>
      <c r="G19" s="8">
        <f t="shared" si="1"/>
        <v>3.4621268309118669E-3</v>
      </c>
      <c r="H19" s="8">
        <f t="shared" si="1"/>
        <v>2.6736331756454612E-3</v>
      </c>
      <c r="I19" s="129"/>
      <c r="J19" s="129"/>
      <c r="K19" s="129"/>
      <c r="L19" s="129"/>
      <c r="M19" s="129"/>
    </row>
    <row r="20" spans="3:13" x14ac:dyDescent="0.35">
      <c r="C20" t="s">
        <v>215</v>
      </c>
      <c r="D20" s="8">
        <f t="shared" si="1"/>
        <v>8.0840550766035826E-3</v>
      </c>
      <c r="E20" s="8">
        <f t="shared" si="1"/>
        <v>7.9892773556859645E-3</v>
      </c>
      <c r="F20" s="8">
        <f t="shared" si="1"/>
        <v>9.6015741528150522E-3</v>
      </c>
      <c r="G20" s="8">
        <f t="shared" si="1"/>
        <v>6.2817971364998821E-3</v>
      </c>
      <c r="H20" s="8">
        <f t="shared" si="1"/>
        <v>5.2154675327731881E-3</v>
      </c>
      <c r="I20" s="129"/>
      <c r="J20" s="129"/>
      <c r="K20" s="129"/>
      <c r="L20" s="129"/>
      <c r="M20" s="129"/>
    </row>
    <row r="21" spans="3:13" ht="5.15" customHeight="1" x14ac:dyDescent="0.35">
      <c r="I21" s="129"/>
      <c r="J21" s="129"/>
      <c r="K21" s="129"/>
      <c r="L21" s="129"/>
      <c r="M21" s="129"/>
    </row>
    <row r="22" spans="3:13" s="1" customFormat="1" x14ac:dyDescent="0.35">
      <c r="C22" s="237" t="s">
        <v>204</v>
      </c>
      <c r="D22" s="238">
        <f>(D18*$D$8)+(D20*$D$9)+(D19*$D$8)</f>
        <v>0.10276637080828616</v>
      </c>
      <c r="E22" s="238">
        <f t="shared" ref="E22:H22" si="2">(E18*$D$8)+(E20*$D$9)+(E19*$D$8)</f>
        <v>0.10276910988442069</v>
      </c>
      <c r="F22" s="238">
        <f t="shared" si="2"/>
        <v>0.10272251450698365</v>
      </c>
      <c r="G22" s="238">
        <f t="shared" si="2"/>
        <v>0.10281845606275516</v>
      </c>
      <c r="H22" s="238">
        <f t="shared" si="2"/>
        <v>0.10284927298830286</v>
      </c>
      <c r="I22" s="131"/>
      <c r="J22" s="131"/>
      <c r="K22" s="131"/>
      <c r="L22" s="131"/>
      <c r="M22" s="131"/>
    </row>
  </sheetData>
  <sheetProtection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6518D-93C2-4293-9CDB-F5F29D80954B}">
  <sheetPr codeName="Sheet17">
    <tabColor rgb="FFFFFF00"/>
  </sheetPr>
  <dimension ref="C1:M25"/>
  <sheetViews>
    <sheetView showGridLines="0" topLeftCell="A9" zoomScale="94" zoomScaleNormal="91" workbookViewId="0">
      <selection activeCell="H25" sqref="H25"/>
    </sheetView>
  </sheetViews>
  <sheetFormatPr defaultRowHeight="14.5" x14ac:dyDescent="0.35"/>
  <cols>
    <col min="1" max="1" width="2.453125" customWidth="1"/>
    <col min="2" max="2" width="3.1796875" customWidth="1"/>
    <col min="3" max="3" width="41.81640625" customWidth="1"/>
    <col min="4" max="13" width="12.54296875" customWidth="1"/>
  </cols>
  <sheetData>
    <row r="1" spans="3:13" ht="21" x14ac:dyDescent="0.5">
      <c r="C1" s="149" t="s">
        <v>216</v>
      </c>
    </row>
    <row r="3" spans="3:13" x14ac:dyDescent="0.35">
      <c r="C3" s="156" t="s">
        <v>12</v>
      </c>
      <c r="D3" s="157">
        <f>'Assumptions and Drivers'!C11</f>
        <v>0.05</v>
      </c>
    </row>
    <row r="4" spans="3:13" x14ac:dyDescent="0.35">
      <c r="C4" s="156" t="s">
        <v>217</v>
      </c>
      <c r="D4" s="158">
        <f>WACC!H22</f>
        <v>0.10284927298830286</v>
      </c>
    </row>
    <row r="5" spans="3:13" ht="15" thickBot="1" x14ac:dyDescent="0.4">
      <c r="I5">
        <v>1</v>
      </c>
      <c r="J5">
        <v>2</v>
      </c>
      <c r="K5">
        <v>3</v>
      </c>
      <c r="L5">
        <v>4</v>
      </c>
      <c r="M5">
        <v>5</v>
      </c>
    </row>
    <row r="6" spans="3:13" ht="29.5" thickBot="1" x14ac:dyDescent="0.4">
      <c r="C6" s="217" t="s">
        <v>49</v>
      </c>
      <c r="D6" s="215" t="s">
        <v>27</v>
      </c>
      <c r="E6" s="215" t="s">
        <v>28</v>
      </c>
      <c r="F6" s="215" t="s">
        <v>29</v>
      </c>
      <c r="G6" s="215" t="s">
        <v>30</v>
      </c>
      <c r="H6" s="215" t="s">
        <v>31</v>
      </c>
      <c r="I6" s="216" t="s">
        <v>32</v>
      </c>
      <c r="J6" s="216" t="s">
        <v>33</v>
      </c>
      <c r="K6" s="216" t="s">
        <v>34</v>
      </c>
      <c r="L6" s="216" t="s">
        <v>35</v>
      </c>
      <c r="M6" s="216" t="s">
        <v>36</v>
      </c>
    </row>
    <row r="7" spans="3:13" x14ac:dyDescent="0.35">
      <c r="C7" t="s">
        <v>218</v>
      </c>
      <c r="I7" s="64">
        <f>UFCF!I20</f>
        <v>1981.1876910058593</v>
      </c>
      <c r="J7" s="64">
        <f>UFCF!J20</f>
        <v>1903.4083305434442</v>
      </c>
      <c r="K7" s="64">
        <f>UFCF!K20</f>
        <v>2103.1955288128506</v>
      </c>
      <c r="L7" s="64">
        <f>UFCF!L20</f>
        <v>2301.8411719547748</v>
      </c>
      <c r="M7" s="64">
        <f>UFCF!M20</f>
        <v>2489.3447800739505</v>
      </c>
    </row>
    <row r="8" spans="3:13" x14ac:dyDescent="0.35">
      <c r="C8" t="s">
        <v>219</v>
      </c>
      <c r="I8" s="95"/>
      <c r="J8" s="95"/>
      <c r="K8" s="95"/>
      <c r="L8" s="95"/>
      <c r="M8" s="180">
        <f>M7*(1+D3)/(D4-D3)</f>
        <v>49457.86141005504</v>
      </c>
    </row>
    <row r="9" spans="3:13" x14ac:dyDescent="0.35">
      <c r="I9" s="95"/>
      <c r="J9" s="95"/>
      <c r="K9" s="95"/>
      <c r="L9" s="95"/>
      <c r="M9" s="95"/>
    </row>
    <row r="10" spans="3:13" s="1" customFormat="1" x14ac:dyDescent="0.35">
      <c r="C10" s="212" t="s">
        <v>220</v>
      </c>
      <c r="D10" s="212"/>
      <c r="E10" s="212"/>
      <c r="F10" s="212"/>
      <c r="G10" s="212"/>
      <c r="H10" s="212"/>
      <c r="I10" s="104">
        <f>I7/(1+$D$4)^I5</f>
        <v>1796.4265285659505</v>
      </c>
      <c r="J10" s="104">
        <f t="shared" ref="J10:M10" si="0">J7/(1+$D$4)^J5</f>
        <v>1564.9470337688026</v>
      </c>
      <c r="K10" s="104">
        <f t="shared" si="0"/>
        <v>1567.9462332804264</v>
      </c>
      <c r="L10" s="104">
        <f t="shared" si="0"/>
        <v>1556.0039992825218</v>
      </c>
      <c r="M10" s="104">
        <f t="shared" si="0"/>
        <v>1525.8233103131463</v>
      </c>
    </row>
    <row r="11" spans="3:13" s="1" customFormat="1" x14ac:dyDescent="0.35">
      <c r="C11" s="212" t="s">
        <v>221</v>
      </c>
      <c r="D11" s="212"/>
      <c r="E11" s="212"/>
      <c r="F11" s="212"/>
      <c r="G11" s="212"/>
      <c r="H11" s="212"/>
      <c r="I11" s="212"/>
      <c r="J11" s="212"/>
      <c r="K11" s="212"/>
      <c r="L11" s="212"/>
      <c r="M11" s="104">
        <f>M8/(1+$D$4)^M5</f>
        <v>30314.78741785909</v>
      </c>
    </row>
    <row r="13" spans="3:13" ht="17.149999999999999" customHeight="1" x14ac:dyDescent="0.35">
      <c r="C13" t="s">
        <v>222</v>
      </c>
      <c r="D13" s="42">
        <f>SUM(I10:M10)</f>
        <v>8011.1471052108482</v>
      </c>
      <c r="F13" s="154" t="s">
        <v>223</v>
      </c>
    </row>
    <row r="14" spans="3:13" ht="17.149999999999999" customHeight="1" x14ac:dyDescent="0.35">
      <c r="C14" t="s">
        <v>221</v>
      </c>
      <c r="D14" s="42">
        <f>M11</f>
        <v>30314.78741785909</v>
      </c>
      <c r="F14" s="153">
        <f>D25</f>
        <v>296.30718863899955</v>
      </c>
      <c r="G14" s="155">
        <v>0.03</v>
      </c>
      <c r="H14" s="155">
        <f>G14+0.005</f>
        <v>3.4999999999999996E-2</v>
      </c>
      <c r="I14" s="155">
        <f t="shared" ref="I14:L14" si="1">H14+0.005</f>
        <v>3.9999999999999994E-2</v>
      </c>
      <c r="J14" s="155">
        <f t="shared" si="1"/>
        <v>4.4999999999999991E-2</v>
      </c>
      <c r="K14" s="155">
        <f t="shared" si="1"/>
        <v>4.9999999999999989E-2</v>
      </c>
      <c r="L14" s="155">
        <f t="shared" si="1"/>
        <v>5.4999999999999986E-2</v>
      </c>
    </row>
    <row r="15" spans="3:13" ht="17.149999999999999" customHeight="1" x14ac:dyDescent="0.35">
      <c r="C15" s="15" t="s">
        <v>224</v>
      </c>
      <c r="D15" s="117">
        <f>SUM(D13:D14)</f>
        <v>38325.93452306994</v>
      </c>
      <c r="F15" s="155">
        <v>0.08</v>
      </c>
      <c r="G15" s="168">
        <f t="dataTable" ref="G15:L20" dt2D="1" dtr="1" r1="D3" r2="D4"/>
        <v>335.5127680212284</v>
      </c>
      <c r="H15" s="168">
        <v>366.79042147861935</v>
      </c>
      <c r="I15" s="168">
        <v>405.88748830035814</v>
      </c>
      <c r="J15" s="168">
        <v>456.1551456425936</v>
      </c>
      <c r="K15" s="168">
        <v>523.17868876557441</v>
      </c>
      <c r="L15" s="168">
        <v>617.01164913774721</v>
      </c>
    </row>
    <row r="16" spans="3:13" ht="17.149999999999999" customHeight="1" x14ac:dyDescent="0.35">
      <c r="C16" t="s">
        <v>225</v>
      </c>
      <c r="D16" s="13">
        <f>'Balance Sheet Source'!H6</f>
        <v>2441</v>
      </c>
      <c r="F16" s="155">
        <f>F15+0.01</f>
        <v>0.09</v>
      </c>
      <c r="G16" s="168">
        <v>278.92545598830498</v>
      </c>
      <c r="H16" s="168">
        <v>299.47923921951627</v>
      </c>
      <c r="I16" s="168">
        <v>324.14377909696992</v>
      </c>
      <c r="J16" s="168">
        <v>354.28932783607979</v>
      </c>
      <c r="K16" s="168">
        <v>391.97126375996731</v>
      </c>
      <c r="L16" s="168">
        <v>440.41946709067963</v>
      </c>
    </row>
    <row r="17" spans="3:12" ht="17.149999999999999" customHeight="1" x14ac:dyDescent="0.35">
      <c r="C17" t="s">
        <v>226</v>
      </c>
      <c r="D17" s="13">
        <f>'Balance Sheet Source'!H9+'Balance Sheet Source'!H18</f>
        <v>179</v>
      </c>
      <c r="F17" s="155">
        <f t="shared" ref="F17:F20" si="2">F16+0.01</f>
        <v>9.9999999999999992E-2</v>
      </c>
      <c r="G17" s="168">
        <v>238.53743090849187</v>
      </c>
      <c r="H17" s="168">
        <v>252.90983986735327</v>
      </c>
      <c r="I17" s="168">
        <v>269.67765031935841</v>
      </c>
      <c r="J17" s="168">
        <v>289.49415358081887</v>
      </c>
      <c r="K17" s="168">
        <v>313.27395749457145</v>
      </c>
      <c r="L17" s="168">
        <v>342.33816227804681</v>
      </c>
    </row>
    <row r="18" spans="3:12" ht="17.149999999999999" customHeight="1" x14ac:dyDescent="0.35">
      <c r="C18" t="s">
        <v>227</v>
      </c>
      <c r="D18" s="13">
        <f>-SUM('Balance Sheet Source'!H25,'Balance Sheet Source'!H26,'Balance Sheet Source'!H34,'Balance Sheet Source'!H35)</f>
        <v>-557</v>
      </c>
      <c r="F18" s="155">
        <f t="shared" si="2"/>
        <v>0.10999999999999999</v>
      </c>
      <c r="G18" s="168">
        <v>208.27262767132461</v>
      </c>
      <c r="H18" s="168">
        <v>218.78422069671487</v>
      </c>
      <c r="I18" s="168">
        <v>230.79746986858947</v>
      </c>
      <c r="J18" s="168">
        <v>244.65891122075246</v>
      </c>
      <c r="K18" s="168">
        <v>260.83059279827603</v>
      </c>
      <c r="L18" s="168">
        <v>279.94258011716749</v>
      </c>
    </row>
    <row r="19" spans="3:12" ht="17.149999999999999" customHeight="1" x14ac:dyDescent="0.35">
      <c r="C19" t="s">
        <v>228</v>
      </c>
      <c r="D19" s="13">
        <f>-'Balance Sheet Source'!H28</f>
        <v>-1585</v>
      </c>
      <c r="F19" s="155">
        <f t="shared" si="2"/>
        <v>0.11999999999999998</v>
      </c>
      <c r="G19" s="168">
        <v>184.7555221960657</v>
      </c>
      <c r="H19" s="168">
        <v>192.70938650536533</v>
      </c>
      <c r="I19" s="168">
        <v>201.65748385332739</v>
      </c>
      <c r="J19" s="168">
        <v>211.79866084768443</v>
      </c>
      <c r="K19" s="168">
        <v>223.38857741266389</v>
      </c>
      <c r="L19" s="168">
        <v>236.76155806456322</v>
      </c>
    </row>
    <row r="20" spans="3:12" ht="17.149999999999999" customHeight="1" x14ac:dyDescent="0.35">
      <c r="C20" t="s">
        <v>229</v>
      </c>
      <c r="D20" s="13">
        <f>-'Balance Sheet Source'!H41</f>
        <v>-284</v>
      </c>
      <c r="F20" s="155">
        <f t="shared" si="2"/>
        <v>0.12999999999999998</v>
      </c>
      <c r="G20" s="168">
        <v>165.96085691300377</v>
      </c>
      <c r="H20" s="168">
        <v>172.14207866713431</v>
      </c>
      <c r="I20" s="168">
        <v>179.01010283839054</v>
      </c>
      <c r="J20" s="168">
        <v>186.68612985332391</v>
      </c>
      <c r="K20" s="168">
        <v>195.32166024512401</v>
      </c>
      <c r="L20" s="168">
        <v>205.10859468916411</v>
      </c>
    </row>
    <row r="21" spans="3:12" ht="6" customHeight="1" x14ac:dyDescent="0.35">
      <c r="D21" s="13"/>
      <c r="G21" s="4"/>
      <c r="H21" s="4"/>
      <c r="I21" s="4"/>
      <c r="J21" s="4"/>
      <c r="K21" s="4"/>
      <c r="L21" s="4"/>
    </row>
    <row r="22" spans="3:12" ht="17.149999999999999" customHeight="1" x14ac:dyDescent="0.35">
      <c r="C22" s="15" t="s">
        <v>230</v>
      </c>
      <c r="D22" s="117">
        <f>SUM(D15:D20)</f>
        <v>38519.93452306994</v>
      </c>
    </row>
    <row r="23" spans="3:12" ht="17.149999999999999" customHeight="1" x14ac:dyDescent="0.35">
      <c r="C23" t="s">
        <v>210</v>
      </c>
      <c r="D23" s="150">
        <f>'BS Sch III'!H36/'Assumptions and Drivers'!C8</f>
        <v>130</v>
      </c>
    </row>
    <row r="24" spans="3:12" ht="6" customHeight="1" x14ac:dyDescent="0.35">
      <c r="D24" s="150"/>
    </row>
    <row r="25" spans="3:12" ht="35.15" customHeight="1" x14ac:dyDescent="0.35">
      <c r="C25" s="169" t="s">
        <v>231</v>
      </c>
      <c r="D25" s="170">
        <f>D22/D23</f>
        <v>296.30718863899955</v>
      </c>
    </row>
  </sheetData>
  <sheetProtection sheet="1" objects="1" scenarios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5264-59B3-4634-8F3F-0C8D0E228B05}">
  <sheetPr codeName="Sheet18">
    <tabColor rgb="FFFF0000"/>
  </sheetPr>
  <dimension ref="B1:G29"/>
  <sheetViews>
    <sheetView showGridLines="0" zoomScale="91" zoomScaleNormal="91" workbookViewId="0">
      <selection activeCell="L24" sqref="L24"/>
    </sheetView>
  </sheetViews>
  <sheetFormatPr defaultColWidth="8.7265625" defaultRowHeight="14.5" x14ac:dyDescent="0.35"/>
  <cols>
    <col min="1" max="1" width="4.7265625" style="122" customWidth="1"/>
    <col min="2" max="2" width="8.7265625" style="122"/>
    <col min="3" max="7" width="10.54296875" style="122" customWidth="1"/>
    <col min="8" max="16384" width="8.7265625" style="122"/>
  </cols>
  <sheetData>
    <row r="1" spans="2:2" ht="18.5" x14ac:dyDescent="0.45">
      <c r="B1" s="124"/>
    </row>
    <row r="8" spans="2:2" ht="92" x14ac:dyDescent="2">
      <c r="B8" s="123" t="s">
        <v>232</v>
      </c>
    </row>
    <row r="29" spans="3:7" x14ac:dyDescent="0.35">
      <c r="C29" s="125"/>
      <c r="D29" s="125"/>
      <c r="E29" s="125"/>
      <c r="F29" s="125"/>
      <c r="G29" s="125"/>
    </row>
  </sheetData>
  <sheetProtection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2BD-079E-47DC-8658-CE86E53D02B9}">
  <sheetPr codeName="Sheet19"/>
  <dimension ref="B1:Q26"/>
  <sheetViews>
    <sheetView showGridLines="0" zoomScale="101" zoomScaleNormal="91" workbookViewId="0">
      <selection activeCell="B23" sqref="B23"/>
    </sheetView>
  </sheetViews>
  <sheetFormatPr defaultRowHeight="14.5" x14ac:dyDescent="0.35"/>
  <cols>
    <col min="1" max="1" width="3.453125" customWidth="1"/>
    <col min="2" max="2" width="44.54296875" customWidth="1"/>
    <col min="3" max="8" width="14.54296875" customWidth="1"/>
    <col min="9" max="9" width="7.54296875" customWidth="1"/>
  </cols>
  <sheetData>
    <row r="1" spans="2:17" ht="37" customHeight="1" x14ac:dyDescent="0.35">
      <c r="B1" s="40" t="s">
        <v>132</v>
      </c>
      <c r="C1" s="40"/>
    </row>
    <row r="3" spans="2:17" s="1" customFormat="1" x14ac:dyDescent="0.35">
      <c r="B3" s="186" t="s">
        <v>49</v>
      </c>
      <c r="C3" s="187" t="s">
        <v>233</v>
      </c>
      <c r="D3" s="187" t="s">
        <v>234</v>
      </c>
      <c r="E3" s="187" t="s">
        <v>235</v>
      </c>
      <c r="F3" s="187" t="s">
        <v>236</v>
      </c>
      <c r="G3" s="187" t="s">
        <v>237</v>
      </c>
      <c r="H3" s="187" t="s">
        <v>238</v>
      </c>
    </row>
    <row r="4" spans="2:17" ht="17.149999999999999" customHeight="1" x14ac:dyDescent="0.35">
      <c r="B4" t="s">
        <v>133</v>
      </c>
      <c r="C4" s="7">
        <v>8048</v>
      </c>
      <c r="D4" s="7">
        <v>9512</v>
      </c>
      <c r="E4" s="7">
        <v>9764</v>
      </c>
      <c r="F4" s="7">
        <v>9653</v>
      </c>
      <c r="G4" s="7">
        <v>10831</v>
      </c>
      <c r="H4" s="7">
        <v>13611</v>
      </c>
    </row>
    <row r="5" spans="2:17" s="1" customFormat="1" ht="17.149999999999999" customHeight="1" x14ac:dyDescent="0.35">
      <c r="B5" s="2" t="s">
        <v>42</v>
      </c>
      <c r="C5" s="7">
        <v>-4270</v>
      </c>
      <c r="D5" s="7">
        <v>-5436</v>
      </c>
      <c r="E5" s="7">
        <v>-5351</v>
      </c>
      <c r="F5" s="7">
        <v>-4748</v>
      </c>
      <c r="G5" s="7">
        <v>-5388</v>
      </c>
      <c r="H5" s="7">
        <v>-7559</v>
      </c>
    </row>
    <row r="6" spans="2:17" ht="17.149999999999999" customHeight="1" x14ac:dyDescent="0.35">
      <c r="B6" s="190" t="s">
        <v>134</v>
      </c>
      <c r="C6" s="191">
        <f t="shared" ref="C6:H6" si="0">SUM(C4:C5)</f>
        <v>3778</v>
      </c>
      <c r="D6" s="191">
        <f t="shared" si="0"/>
        <v>4076</v>
      </c>
      <c r="E6" s="191">
        <f t="shared" si="0"/>
        <v>4413</v>
      </c>
      <c r="F6" s="191">
        <f t="shared" si="0"/>
        <v>4905</v>
      </c>
      <c r="G6" s="191">
        <f t="shared" si="0"/>
        <v>5443</v>
      </c>
      <c r="H6" s="191">
        <f t="shared" si="0"/>
        <v>6052</v>
      </c>
    </row>
    <row r="7" spans="2:17" ht="17.149999999999999" customHeight="1" x14ac:dyDescent="0.35">
      <c r="B7" s="2" t="s">
        <v>44</v>
      </c>
      <c r="C7" s="7">
        <v>-570</v>
      </c>
      <c r="D7" s="7">
        <v>-586</v>
      </c>
      <c r="E7" s="7">
        <v>-653</v>
      </c>
      <c r="F7" s="7">
        <v>-743</v>
      </c>
      <c r="G7" s="7">
        <v>-831</v>
      </c>
      <c r="H7" s="7">
        <v>-916</v>
      </c>
    </row>
    <row r="8" spans="2:17" ht="17.149999999999999" customHeight="1" x14ac:dyDescent="0.35">
      <c r="B8" s="2" t="s">
        <v>135</v>
      </c>
      <c r="C8" s="7">
        <v>-698</v>
      </c>
      <c r="D8" s="7">
        <v>-796</v>
      </c>
      <c r="E8" s="7">
        <v>-842</v>
      </c>
      <c r="F8" s="7">
        <v>-952</v>
      </c>
      <c r="G8" s="7">
        <v>-1128</v>
      </c>
      <c r="H8" s="7">
        <v>-1300</v>
      </c>
    </row>
    <row r="9" spans="2:17" ht="17.149999999999999" customHeight="1" x14ac:dyDescent="0.35">
      <c r="B9" s="2" t="s">
        <v>16</v>
      </c>
      <c r="C9" s="7">
        <v>-919</v>
      </c>
      <c r="D9" s="7">
        <v>-1013</v>
      </c>
      <c r="E9" s="7">
        <v>-1108</v>
      </c>
      <c r="F9" s="7">
        <v>-1184</v>
      </c>
      <c r="G9" s="7">
        <v>-1345</v>
      </c>
      <c r="H9" s="7">
        <v>-1508</v>
      </c>
    </row>
    <row r="10" spans="2:17" s="1" customFormat="1" ht="17.149999999999999" customHeight="1" x14ac:dyDescent="0.35">
      <c r="B10" s="190" t="s">
        <v>136</v>
      </c>
      <c r="C10" s="191">
        <f t="shared" ref="C10:H10" si="1">SUM(C6:C9)</f>
        <v>1591</v>
      </c>
      <c r="D10" s="191">
        <f t="shared" si="1"/>
        <v>1681</v>
      </c>
      <c r="E10" s="191">
        <f t="shared" si="1"/>
        <v>1810</v>
      </c>
      <c r="F10" s="191">
        <f t="shared" si="1"/>
        <v>2026</v>
      </c>
      <c r="G10" s="191">
        <f t="shared" si="1"/>
        <v>2139</v>
      </c>
      <c r="H10" s="191">
        <f t="shared" si="1"/>
        <v>2328</v>
      </c>
      <c r="Q10" s="4"/>
    </row>
    <row r="11" spans="2:17" ht="17.149999999999999" customHeight="1" x14ac:dyDescent="0.35">
      <c r="B11" s="3" t="s">
        <v>137</v>
      </c>
      <c r="C11" s="7">
        <v>-139</v>
      </c>
      <c r="D11" s="7">
        <v>-139</v>
      </c>
      <c r="E11" s="7">
        <v>-155</v>
      </c>
      <c r="F11" s="7">
        <v>-158</v>
      </c>
      <c r="G11" s="7">
        <v>-178</v>
      </c>
      <c r="H11" s="7">
        <v>-202</v>
      </c>
      <c r="Q11" s="4"/>
    </row>
    <row r="12" spans="2:17" s="1" customFormat="1" ht="17.149999999999999" customHeight="1" x14ac:dyDescent="0.35">
      <c r="B12" s="190" t="s">
        <v>138</v>
      </c>
      <c r="C12" s="191">
        <f t="shared" ref="C12:H12" si="2">SUM(C10:C11)</f>
        <v>1452</v>
      </c>
      <c r="D12" s="191">
        <f t="shared" si="2"/>
        <v>1542</v>
      </c>
      <c r="E12" s="191">
        <f t="shared" si="2"/>
        <v>1655</v>
      </c>
      <c r="F12" s="191">
        <f t="shared" si="2"/>
        <v>1868</v>
      </c>
      <c r="G12" s="191">
        <f t="shared" si="2"/>
        <v>1961</v>
      </c>
      <c r="H12" s="191">
        <f t="shared" si="2"/>
        <v>2126</v>
      </c>
    </row>
    <row r="13" spans="2:17" s="1" customFormat="1" ht="17.149999999999999" customHeight="1" x14ac:dyDescent="0.35">
      <c r="B13" t="s">
        <v>113</v>
      </c>
      <c r="C13" s="7">
        <v>94</v>
      </c>
      <c r="D13" s="7">
        <v>98</v>
      </c>
      <c r="E13" s="7">
        <v>144</v>
      </c>
      <c r="F13" s="7">
        <v>142</v>
      </c>
      <c r="G13" s="7">
        <v>208</v>
      </c>
      <c r="H13" s="7">
        <v>204</v>
      </c>
    </row>
    <row r="14" spans="2:17" ht="17.149999999999999" customHeight="1" x14ac:dyDescent="0.35">
      <c r="B14" s="3" t="s">
        <v>139</v>
      </c>
      <c r="C14" s="7">
        <v>-34</v>
      </c>
      <c r="D14" s="7">
        <v>-39</v>
      </c>
      <c r="E14" s="7">
        <v>-56</v>
      </c>
      <c r="F14" s="7">
        <v>-73</v>
      </c>
      <c r="G14" s="7">
        <v>-53</v>
      </c>
      <c r="H14" s="7">
        <v>-53</v>
      </c>
    </row>
    <row r="15" spans="2:17" s="1" customFormat="1" ht="17.149999999999999" customHeight="1" x14ac:dyDescent="0.35">
      <c r="B15" s="190" t="s">
        <v>140</v>
      </c>
      <c r="C15" s="191">
        <f t="shared" ref="C15:H15" si="3">SUM(C12:C14)</f>
        <v>1512</v>
      </c>
      <c r="D15" s="191">
        <f t="shared" si="3"/>
        <v>1601</v>
      </c>
      <c r="E15" s="191">
        <f t="shared" si="3"/>
        <v>1743</v>
      </c>
      <c r="F15" s="191">
        <f t="shared" si="3"/>
        <v>1937</v>
      </c>
      <c r="G15" s="191">
        <f t="shared" si="3"/>
        <v>2116</v>
      </c>
      <c r="H15" s="191">
        <f t="shared" si="3"/>
        <v>2277</v>
      </c>
      <c r="L15" s="7"/>
      <c r="M15" s="7"/>
      <c r="N15" s="7"/>
      <c r="O15" s="7"/>
      <c r="P15" s="7"/>
    </row>
    <row r="16" spans="2:17" s="1" customFormat="1" ht="17.149999999999999" customHeight="1" x14ac:dyDescent="0.35">
      <c r="B16" s="3" t="s">
        <v>46</v>
      </c>
      <c r="C16" s="7">
        <v>-324</v>
      </c>
      <c r="D16" s="7">
        <v>-346</v>
      </c>
      <c r="E16" s="7">
        <v>-421</v>
      </c>
      <c r="F16" s="7">
        <v>-435</v>
      </c>
      <c r="G16" s="7">
        <v>-458</v>
      </c>
      <c r="H16" s="7">
        <v>-464</v>
      </c>
      <c r="L16" s="7"/>
      <c r="M16" s="7"/>
      <c r="N16" s="7"/>
      <c r="O16" s="7"/>
      <c r="P16" s="7"/>
    </row>
    <row r="17" spans="2:10" ht="17.149999999999999" customHeight="1" thickBot="1" x14ac:dyDescent="0.4">
      <c r="B17" s="229" t="s">
        <v>142</v>
      </c>
      <c r="C17" s="230">
        <f t="shared" ref="C17:H17" si="4">SUM(C15:C16)</f>
        <v>1188</v>
      </c>
      <c r="D17" s="230">
        <f t="shared" si="4"/>
        <v>1255</v>
      </c>
      <c r="E17" s="230">
        <f t="shared" si="4"/>
        <v>1322</v>
      </c>
      <c r="F17" s="230">
        <f t="shared" si="4"/>
        <v>1502</v>
      </c>
      <c r="G17" s="230">
        <f t="shared" si="4"/>
        <v>1658</v>
      </c>
      <c r="H17" s="230">
        <f t="shared" si="4"/>
        <v>1813</v>
      </c>
      <c r="J17" s="5"/>
    </row>
    <row r="18" spans="2:10" s="1" customFormat="1" x14ac:dyDescent="0.35">
      <c r="B18"/>
      <c r="C18"/>
      <c r="D18"/>
      <c r="E18"/>
      <c r="F18"/>
      <c r="G18"/>
      <c r="H18"/>
    </row>
    <row r="19" spans="2:10" x14ac:dyDescent="0.35">
      <c r="B19" t="s">
        <v>143</v>
      </c>
    </row>
    <row r="20" spans="2:10" s="1" customFormat="1" x14ac:dyDescent="0.35">
      <c r="B20" t="s">
        <v>144</v>
      </c>
      <c r="C20" s="42">
        <f t="shared" ref="C20:H20" si="5">C17-C21</f>
        <v>1161</v>
      </c>
      <c r="D20" s="42">
        <f t="shared" si="5"/>
        <v>1225</v>
      </c>
      <c r="E20" s="42">
        <f t="shared" si="5"/>
        <v>1302</v>
      </c>
      <c r="F20" s="42">
        <f t="shared" si="5"/>
        <v>1481</v>
      </c>
      <c r="G20" s="42">
        <f t="shared" si="5"/>
        <v>1629</v>
      </c>
      <c r="H20" s="42">
        <f t="shared" si="5"/>
        <v>1762</v>
      </c>
    </row>
    <row r="21" spans="2:10" x14ac:dyDescent="0.35">
      <c r="B21" t="s">
        <v>145</v>
      </c>
      <c r="C21" s="7">
        <v>27</v>
      </c>
      <c r="D21" s="7">
        <v>30</v>
      </c>
      <c r="E21" s="7">
        <v>20</v>
      </c>
      <c r="F21" s="7">
        <v>21</v>
      </c>
      <c r="G21" s="7">
        <v>29</v>
      </c>
      <c r="H21" s="7">
        <v>51</v>
      </c>
    </row>
    <row r="22" spans="2:10" s="110" customFormat="1" ht="12" x14ac:dyDescent="0.3">
      <c r="B22" s="192" t="s">
        <v>146</v>
      </c>
      <c r="C22" s="192">
        <f t="shared" ref="C22:H22" si="6">C21/C17</f>
        <v>2.2727272727272728E-2</v>
      </c>
      <c r="D22" s="192">
        <f t="shared" si="6"/>
        <v>2.3904382470119521E-2</v>
      </c>
      <c r="E22" s="192">
        <f t="shared" si="6"/>
        <v>1.5128593040847202E-2</v>
      </c>
      <c r="F22" s="192">
        <f t="shared" si="6"/>
        <v>1.3981358189081226E-2</v>
      </c>
      <c r="G22" s="192">
        <f t="shared" si="6"/>
        <v>1.7490952955367914E-2</v>
      </c>
      <c r="H22" s="192">
        <f t="shared" si="6"/>
        <v>2.8130170987313845E-2</v>
      </c>
    </row>
    <row r="26" spans="2:10" x14ac:dyDescent="0.35">
      <c r="D26" s="4"/>
      <c r="E26" s="4"/>
      <c r="F26" s="4"/>
      <c r="G26" s="4"/>
      <c r="H26" s="4"/>
    </row>
  </sheetData>
  <sheetProtection sheet="1" objects="1" scenarios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49F2-B68F-4916-86C3-C2F32A759587}">
  <sheetPr codeName="Sheet20"/>
  <dimension ref="B1:P45"/>
  <sheetViews>
    <sheetView showGridLines="0" zoomScale="86" zoomScaleNormal="86" workbookViewId="0">
      <pane ySplit="3" topLeftCell="A26" activePane="bottomLeft" state="frozen"/>
      <selection activeCell="B8" sqref="B8"/>
      <selection pane="bottomLeft" activeCell="B35" sqref="B35"/>
    </sheetView>
  </sheetViews>
  <sheetFormatPr defaultColWidth="8.7265625" defaultRowHeight="15" customHeight="1" x14ac:dyDescent="0.35"/>
  <cols>
    <col min="1" max="1" width="6.54296875" style="17" customWidth="1"/>
    <col min="2" max="2" width="74.7265625" style="17" customWidth="1"/>
    <col min="3" max="8" width="14.54296875" style="17" customWidth="1"/>
    <col min="9" max="9" width="4.7265625" style="17" customWidth="1"/>
    <col min="10" max="10" width="31.7265625" style="17" bestFit="1" customWidth="1"/>
    <col min="11" max="16" width="9.54296875" style="17" customWidth="1"/>
    <col min="17" max="16384" width="8.7265625" style="17"/>
  </cols>
  <sheetData>
    <row r="1" spans="2:16" ht="49.5" customHeight="1" x14ac:dyDescent="0.35">
      <c r="B1" s="41" t="s">
        <v>147</v>
      </c>
      <c r="C1" s="41"/>
    </row>
    <row r="2" spans="2:16" ht="7" customHeight="1" x14ac:dyDescent="0.35"/>
    <row r="3" spans="2:16" ht="22.5" customHeight="1" x14ac:dyDescent="0.35">
      <c r="B3" s="186" t="s">
        <v>49</v>
      </c>
      <c r="C3" s="187" t="s">
        <v>233</v>
      </c>
      <c r="D3" s="187" t="s">
        <v>234</v>
      </c>
      <c r="E3" s="187" t="s">
        <v>235</v>
      </c>
      <c r="F3" s="187" t="s">
        <v>236</v>
      </c>
      <c r="G3" s="187" t="s">
        <v>237</v>
      </c>
      <c r="H3" s="187" t="s">
        <v>238</v>
      </c>
      <c r="J3"/>
      <c r="K3"/>
      <c r="L3"/>
      <c r="M3"/>
      <c r="N3"/>
      <c r="O3"/>
      <c r="P3"/>
    </row>
    <row r="4" spans="2:16" ht="15" customHeight="1" x14ac:dyDescent="0.35">
      <c r="B4" s="36" t="s">
        <v>148</v>
      </c>
      <c r="C4" s="36"/>
      <c r="D4" s="27"/>
      <c r="E4" s="27"/>
      <c r="F4" s="27"/>
      <c r="G4" s="27"/>
      <c r="H4" s="27"/>
    </row>
    <row r="5" spans="2:16" ht="15" customHeight="1" x14ac:dyDescent="0.35">
      <c r="B5" s="36" t="s">
        <v>149</v>
      </c>
      <c r="C5" s="36"/>
      <c r="D5" s="27"/>
      <c r="E5" s="27"/>
      <c r="F5" s="27"/>
      <c r="G5" s="27"/>
      <c r="H5" s="27"/>
    </row>
    <row r="6" spans="2:16" ht="15" customHeight="1" x14ac:dyDescent="0.35">
      <c r="B6" s="27" t="s">
        <v>150</v>
      </c>
      <c r="C6" s="13">
        <f>SUM('BS Sch III'!C23:C25)</f>
        <v>1572</v>
      </c>
      <c r="D6" s="13">
        <f>SUM('BS Sch III'!D23:D25)</f>
        <v>1220</v>
      </c>
      <c r="E6" s="13">
        <f>SUM('BS Sch III'!E23:E25)</f>
        <v>1334</v>
      </c>
      <c r="F6" s="13">
        <f>SUM('BS Sch III'!F23:F25)</f>
        <v>1202</v>
      </c>
      <c r="G6" s="13">
        <f>SUM('BS Sch III'!G23:G25)</f>
        <v>2152</v>
      </c>
      <c r="H6" s="13">
        <f>SUM('BS Sch III'!H23:H25)</f>
        <v>2441</v>
      </c>
    </row>
    <row r="7" spans="2:16" ht="15" customHeight="1" x14ac:dyDescent="0.35">
      <c r="B7" s="27" t="s">
        <v>151</v>
      </c>
      <c r="C7" s="13">
        <f>'BS Sch III'!C22</f>
        <v>388</v>
      </c>
      <c r="D7" s="13">
        <f>'BS Sch III'!D22</f>
        <v>652</v>
      </c>
      <c r="E7" s="13">
        <f>'BS Sch III'!E22</f>
        <v>1015</v>
      </c>
      <c r="F7" s="13">
        <f>'BS Sch III'!F22</f>
        <v>1069</v>
      </c>
      <c r="G7" s="13">
        <f>'BS Sch III'!G22</f>
        <v>1271</v>
      </c>
      <c r="H7" s="13">
        <f>'BS Sch III'!H22</f>
        <v>1304</v>
      </c>
    </row>
    <row r="8" spans="2:16" ht="15" customHeight="1" x14ac:dyDescent="0.35">
      <c r="B8" s="27" t="s">
        <v>152</v>
      </c>
      <c r="C8" s="13">
        <f>'BS Sch III'!C21</f>
        <v>1126</v>
      </c>
      <c r="D8" s="13">
        <f>'BS Sch III'!D21</f>
        <v>1412</v>
      </c>
      <c r="E8" s="13">
        <f>'BS Sch III'!E21</f>
        <v>1225</v>
      </c>
      <c r="F8" s="13">
        <f>'BS Sch III'!F21</f>
        <v>1336</v>
      </c>
      <c r="G8" s="13">
        <f>'BS Sch III'!G21</f>
        <v>1235</v>
      </c>
      <c r="H8" s="13">
        <f>'BS Sch III'!H21</f>
        <v>1611</v>
      </c>
    </row>
    <row r="9" spans="2:16" ht="15" customHeight="1" x14ac:dyDescent="0.35">
      <c r="B9" s="27" t="s">
        <v>153</v>
      </c>
      <c r="C9" s="13">
        <f>SUM('BS Sch III'!C26:C27)</f>
        <v>11</v>
      </c>
      <c r="D9" s="13">
        <f>SUM('BS Sch III'!D26:D27)</f>
        <v>7</v>
      </c>
      <c r="E9" s="13">
        <f>SUM('BS Sch III'!E26:E27)</f>
        <v>8</v>
      </c>
      <c r="F9" s="13">
        <f>SUM('BS Sch III'!F26:F27)</f>
        <v>11</v>
      </c>
      <c r="G9" s="13">
        <f>SUM('BS Sch III'!G26:G27)</f>
        <v>10</v>
      </c>
      <c r="H9" s="13">
        <f>SUM('BS Sch III'!H26:H27)</f>
        <v>13</v>
      </c>
    </row>
    <row r="10" spans="2:16" ht="15" customHeight="1" x14ac:dyDescent="0.35">
      <c r="B10" s="27" t="s">
        <v>50</v>
      </c>
      <c r="C10" s="13">
        <f>'BS Sch III'!C29</f>
        <v>224</v>
      </c>
      <c r="D10" s="13">
        <f>'BS Sch III'!D29</f>
        <v>213</v>
      </c>
      <c r="E10" s="13">
        <f>'BS Sch III'!E29</f>
        <v>229</v>
      </c>
      <c r="F10" s="13">
        <f>'BS Sch III'!F29</f>
        <v>378</v>
      </c>
      <c r="G10" s="13">
        <f>'BS Sch III'!G29</f>
        <v>413</v>
      </c>
      <c r="H10" s="13">
        <f>'BS Sch III'!H29</f>
        <v>488</v>
      </c>
    </row>
    <row r="11" spans="2:16" ht="15" customHeight="1" x14ac:dyDescent="0.35">
      <c r="B11" s="27" t="s">
        <v>154</v>
      </c>
      <c r="C11" s="13">
        <f>SUM('BS Sch III'!C28,'BS Sch III'!C30)</f>
        <v>15</v>
      </c>
      <c r="D11" s="13">
        <f>SUM('BS Sch III'!D28,'BS Sch III'!D30)</f>
        <v>1</v>
      </c>
      <c r="E11" s="13">
        <f>SUM('BS Sch III'!E28,'BS Sch III'!E30)</f>
        <v>9</v>
      </c>
      <c r="F11" s="13">
        <f>SUM('BS Sch III'!F28,'BS Sch III'!F30)</f>
        <v>7</v>
      </c>
      <c r="G11" s="13">
        <f>SUM('BS Sch III'!G28,'BS Sch III'!G30)</f>
        <v>2</v>
      </c>
      <c r="H11" s="13">
        <f>SUM('BS Sch III'!H28,'BS Sch III'!H30)</f>
        <v>3</v>
      </c>
    </row>
    <row r="12" spans="2:16" ht="15" customHeight="1" x14ac:dyDescent="0.35">
      <c r="B12" s="196" t="s">
        <v>155</v>
      </c>
      <c r="C12" s="197">
        <f>SUM(C6:C11)</f>
        <v>3336</v>
      </c>
      <c r="D12" s="197">
        <f t="shared" ref="D12:H12" si="0">SUM(D6:D11)</f>
        <v>3505</v>
      </c>
      <c r="E12" s="197">
        <f t="shared" si="0"/>
        <v>3820</v>
      </c>
      <c r="F12" s="197">
        <f t="shared" si="0"/>
        <v>4003</v>
      </c>
      <c r="G12" s="197">
        <f t="shared" si="0"/>
        <v>5083</v>
      </c>
      <c r="H12" s="197">
        <f t="shared" si="0"/>
        <v>5860</v>
      </c>
    </row>
    <row r="13" spans="2:16" ht="15" customHeight="1" x14ac:dyDescent="0.35">
      <c r="B13" s="27"/>
      <c r="C13" s="27"/>
      <c r="D13" s="27"/>
      <c r="E13" s="27"/>
      <c r="F13" s="27"/>
      <c r="G13" s="27"/>
      <c r="H13" s="27"/>
    </row>
    <row r="14" spans="2:16" ht="15" customHeight="1" x14ac:dyDescent="0.35">
      <c r="B14" s="36" t="s">
        <v>156</v>
      </c>
      <c r="C14" s="36"/>
      <c r="D14" s="27"/>
      <c r="E14" s="27"/>
      <c r="F14" s="27"/>
      <c r="G14" s="27"/>
      <c r="H14" s="27"/>
    </row>
    <row r="15" spans="2:16" ht="15" customHeight="1" x14ac:dyDescent="0.35">
      <c r="B15" s="27" t="s">
        <v>157</v>
      </c>
      <c r="C15" s="13">
        <f>SUM('BS Sch III'!C6,'BS Sch III'!C10,'BS Sch III'!C11,'BS Sch III'!C8)</f>
        <v>999</v>
      </c>
      <c r="D15" s="13">
        <f>SUM('BS Sch III'!D6,'BS Sch III'!D10,'BS Sch III'!D11,'BS Sch III'!D8)</f>
        <v>1106</v>
      </c>
      <c r="E15" s="13">
        <f>SUM('BS Sch III'!E6,'BS Sch III'!E10,'BS Sch III'!E11,'BS Sch III'!E8)</f>
        <v>1384</v>
      </c>
      <c r="F15" s="13">
        <f>SUM('BS Sch III'!F6,'BS Sch III'!F10,'BS Sch III'!F11,'BS Sch III'!F8)</f>
        <v>1861</v>
      </c>
      <c r="G15" s="13">
        <f>SUM('BS Sch III'!G6,'BS Sch III'!G10,'BS Sch III'!G11,'BS Sch III'!G8)</f>
        <v>1901</v>
      </c>
      <c r="H15" s="13">
        <f>SUM('BS Sch III'!H6,'BS Sch III'!H10,'BS Sch III'!H11,'BS Sch III'!H8)</f>
        <v>2597</v>
      </c>
    </row>
    <row r="16" spans="2:16" ht="15" customHeight="1" x14ac:dyDescent="0.35">
      <c r="B16" s="27" t="s">
        <v>158</v>
      </c>
      <c r="C16" s="13">
        <f>'BS Sch III'!C7</f>
        <v>24</v>
      </c>
      <c r="D16" s="13">
        <f>'BS Sch III'!D7</f>
        <v>39</v>
      </c>
      <c r="E16" s="13">
        <f>'BS Sch III'!E7</f>
        <v>67</v>
      </c>
      <c r="F16" s="13">
        <f>'BS Sch III'!F7</f>
        <v>44</v>
      </c>
      <c r="G16" s="13">
        <f>'BS Sch III'!G7</f>
        <v>40</v>
      </c>
      <c r="H16" s="13">
        <f>'BS Sch III'!H7</f>
        <v>85</v>
      </c>
    </row>
    <row r="17" spans="2:8" ht="15" customHeight="1" x14ac:dyDescent="0.35">
      <c r="B17" s="27" t="s">
        <v>55</v>
      </c>
      <c r="C17" s="13">
        <f>'BS Sch III'!C9</f>
        <v>613</v>
      </c>
      <c r="D17" s="13">
        <f>'BS Sch III'!D9</f>
        <v>654</v>
      </c>
      <c r="E17" s="13">
        <f>'BS Sch III'!E9</f>
        <v>862</v>
      </c>
      <c r="F17" s="13">
        <f>'BS Sch III'!F9</f>
        <v>863</v>
      </c>
      <c r="G17" s="13">
        <f>'BS Sch III'!G9</f>
        <v>857</v>
      </c>
      <c r="H17" s="13">
        <f>'BS Sch III'!H9</f>
        <v>1036</v>
      </c>
    </row>
    <row r="18" spans="2:8" ht="15" customHeight="1" x14ac:dyDescent="0.35">
      <c r="B18" s="27" t="s">
        <v>153</v>
      </c>
      <c r="C18" s="13">
        <f>SUM('BS Sch III'!C12:C14)</f>
        <v>271</v>
      </c>
      <c r="D18" s="13">
        <f>SUM('BS Sch III'!D12:D14)</f>
        <v>208</v>
      </c>
      <c r="E18" s="13">
        <f>SUM('BS Sch III'!E12:E14)</f>
        <v>554</v>
      </c>
      <c r="F18" s="13">
        <f>SUM('BS Sch III'!F12:F14)</f>
        <v>447</v>
      </c>
      <c r="G18" s="13">
        <f>SUM('BS Sch III'!G12:G14)</f>
        <v>243</v>
      </c>
      <c r="H18" s="13">
        <f>SUM('BS Sch III'!H12:H14)</f>
        <v>166</v>
      </c>
    </row>
    <row r="19" spans="2:8" ht="15" customHeight="1" x14ac:dyDescent="0.35">
      <c r="B19" s="27" t="s">
        <v>57</v>
      </c>
      <c r="C19" s="13">
        <f>SUM('BS Sch III'!C15:C17)</f>
        <v>267</v>
      </c>
      <c r="D19" s="13">
        <f>SUM('BS Sch III'!D15:D17)</f>
        <v>274</v>
      </c>
      <c r="E19" s="13">
        <f>SUM('BS Sch III'!E15:E17)</f>
        <v>259</v>
      </c>
      <c r="F19" s="13">
        <f>SUM('BS Sch III'!F15:F17)</f>
        <v>203</v>
      </c>
      <c r="G19" s="13">
        <f>SUM('BS Sch III'!G15:G17)</f>
        <v>214</v>
      </c>
      <c r="H19" s="13">
        <f>SUM('BS Sch III'!H15:H17)</f>
        <v>331</v>
      </c>
    </row>
    <row r="20" spans="2:8" ht="15" customHeight="1" x14ac:dyDescent="0.35">
      <c r="B20" s="196" t="s">
        <v>159</v>
      </c>
      <c r="C20" s="197">
        <f t="shared" ref="C20:H20" si="1">SUM(C15:C19)</f>
        <v>2174</v>
      </c>
      <c r="D20" s="197">
        <f t="shared" si="1"/>
        <v>2281</v>
      </c>
      <c r="E20" s="197">
        <f t="shared" si="1"/>
        <v>3126</v>
      </c>
      <c r="F20" s="197">
        <f t="shared" si="1"/>
        <v>3418</v>
      </c>
      <c r="G20" s="197">
        <f t="shared" si="1"/>
        <v>3255</v>
      </c>
      <c r="H20" s="197">
        <f t="shared" si="1"/>
        <v>4215</v>
      </c>
    </row>
    <row r="21" spans="2:8" ht="15" customHeight="1" thickBot="1" x14ac:dyDescent="0.4">
      <c r="B21" s="198" t="s">
        <v>160</v>
      </c>
      <c r="C21" s="199">
        <f t="shared" ref="C21:H21" si="2">SUM(C12,C20)</f>
        <v>5510</v>
      </c>
      <c r="D21" s="199">
        <f t="shared" si="2"/>
        <v>5786</v>
      </c>
      <c r="E21" s="199">
        <f t="shared" si="2"/>
        <v>6946</v>
      </c>
      <c r="F21" s="199">
        <f t="shared" si="2"/>
        <v>7421</v>
      </c>
      <c r="G21" s="199">
        <f t="shared" si="2"/>
        <v>8338</v>
      </c>
      <c r="H21" s="199">
        <f t="shared" si="2"/>
        <v>10075</v>
      </c>
    </row>
    <row r="22" spans="2:8" ht="15" customHeight="1" x14ac:dyDescent="0.35">
      <c r="B22" s="27"/>
      <c r="C22" s="27"/>
      <c r="D22" s="27"/>
      <c r="E22" s="27"/>
      <c r="F22" s="27"/>
      <c r="G22" s="27"/>
      <c r="H22" s="27"/>
    </row>
    <row r="23" spans="2:8" ht="15" customHeight="1" x14ac:dyDescent="0.35">
      <c r="B23" s="36" t="s">
        <v>161</v>
      </c>
      <c r="C23" s="36"/>
      <c r="D23" s="27"/>
      <c r="E23" s="27"/>
      <c r="F23" s="27"/>
      <c r="G23" s="27"/>
      <c r="H23" s="27"/>
    </row>
    <row r="24" spans="2:8" ht="15" customHeight="1" x14ac:dyDescent="0.35">
      <c r="B24" s="36" t="s">
        <v>162</v>
      </c>
      <c r="C24" s="36"/>
      <c r="D24" s="27"/>
      <c r="E24" s="27"/>
      <c r="F24" s="27"/>
      <c r="G24" s="27"/>
      <c r="H24" s="27"/>
    </row>
    <row r="25" spans="2:8" ht="15" customHeight="1" x14ac:dyDescent="0.35">
      <c r="B25" s="27" t="s">
        <v>58</v>
      </c>
      <c r="C25" s="13">
        <f>'BS Sch III'!C52</f>
        <v>340</v>
      </c>
      <c r="D25" s="13">
        <f>'BS Sch III'!D52</f>
        <v>345</v>
      </c>
      <c r="E25" s="13">
        <f>'BS Sch III'!E52</f>
        <v>473</v>
      </c>
      <c r="F25" s="13">
        <f>'BS Sch III'!F52</f>
        <v>383</v>
      </c>
      <c r="G25" s="13">
        <f>'BS Sch III'!G52</f>
        <v>379</v>
      </c>
      <c r="H25" s="13">
        <f>'BS Sch III'!H52</f>
        <v>355</v>
      </c>
    </row>
    <row r="26" spans="2:8" ht="15" customHeight="1" x14ac:dyDescent="0.35">
      <c r="B26" s="17" t="s">
        <v>59</v>
      </c>
      <c r="C26" s="13">
        <f>'BS Sch III'!C53</f>
        <v>38</v>
      </c>
      <c r="D26" s="13">
        <f>'BS Sch III'!D53</f>
        <v>43</v>
      </c>
      <c r="E26" s="13">
        <f>'BS Sch III'!E53</f>
        <v>42</v>
      </c>
      <c r="F26" s="13">
        <f>'BS Sch III'!F53</f>
        <v>41</v>
      </c>
      <c r="G26" s="13">
        <f>'BS Sch III'!G53</f>
        <v>51</v>
      </c>
      <c r="H26" s="13">
        <f>'BS Sch III'!H53</f>
        <v>75</v>
      </c>
    </row>
    <row r="27" spans="2:8" ht="15" customHeight="1" x14ac:dyDescent="0.35">
      <c r="B27" s="27" t="s">
        <v>163</v>
      </c>
      <c r="C27" s="13">
        <f>SUM('BS Sch III'!C54:C55)</f>
        <v>1134</v>
      </c>
      <c r="D27" s="13">
        <f>SUM('BS Sch III'!D54:D55)</f>
        <v>1344</v>
      </c>
      <c r="E27" s="13">
        <f>SUM('BS Sch III'!E54:E55)</f>
        <v>1452</v>
      </c>
      <c r="F27" s="13">
        <f>SUM('BS Sch III'!F54:F55)</f>
        <v>1581</v>
      </c>
      <c r="G27" s="13">
        <f>SUM('BS Sch III'!G54:G55)</f>
        <v>1363</v>
      </c>
      <c r="H27" s="13">
        <f>SUM('BS Sch III'!H54:H55)</f>
        <v>1634</v>
      </c>
    </row>
    <row r="28" spans="2:8" ht="15" customHeight="1" x14ac:dyDescent="0.35">
      <c r="B28" s="27" t="s">
        <v>60</v>
      </c>
      <c r="C28" s="13">
        <f>'BS Sch III'!C56</f>
        <v>44</v>
      </c>
      <c r="D28" s="13">
        <f>'BS Sch III'!D56</f>
        <v>45</v>
      </c>
      <c r="E28" s="13">
        <f>'BS Sch III'!E56</f>
        <v>40</v>
      </c>
      <c r="F28" s="13">
        <f>'BS Sch III'!F56</f>
        <v>59</v>
      </c>
      <c r="G28" s="13">
        <f>'BS Sch III'!G56</f>
        <v>231</v>
      </c>
      <c r="H28" s="13">
        <f>'BS Sch III'!H56</f>
        <v>1585</v>
      </c>
    </row>
    <row r="29" spans="2:8" ht="15" customHeight="1" x14ac:dyDescent="0.35">
      <c r="B29" s="17" t="s">
        <v>164</v>
      </c>
      <c r="C29" s="13">
        <f>SUM('BS Sch III'!C57:C59)</f>
        <v>385</v>
      </c>
      <c r="D29" s="13">
        <f>SUM('BS Sch III'!D57:D59)</f>
        <v>309</v>
      </c>
      <c r="E29" s="13">
        <f>SUM('BS Sch III'!E57:E59)</f>
        <v>335</v>
      </c>
      <c r="F29" s="13">
        <f>SUM('BS Sch III'!F57:F59)</f>
        <v>297</v>
      </c>
      <c r="G29" s="13">
        <f>SUM('BS Sch III'!G57:G59)</f>
        <v>345</v>
      </c>
      <c r="H29" s="13">
        <f>SUM('BS Sch III'!H57:H59)</f>
        <v>376</v>
      </c>
    </row>
    <row r="30" spans="2:8" ht="15" customHeight="1" x14ac:dyDescent="0.35">
      <c r="B30" s="27" t="s">
        <v>165</v>
      </c>
      <c r="C30" s="13">
        <f>'BS Sch III'!C60</f>
        <v>72</v>
      </c>
      <c r="D30" s="13">
        <f>'BS Sch III'!D60</f>
        <v>67</v>
      </c>
      <c r="E30" s="13">
        <f>'BS Sch III'!E60</f>
        <v>87</v>
      </c>
      <c r="F30" s="13">
        <f>'BS Sch III'!F60</f>
        <v>83</v>
      </c>
      <c r="G30" s="13">
        <f>'BS Sch III'!G60</f>
        <v>92</v>
      </c>
      <c r="H30" s="13">
        <f>'BS Sch III'!H60</f>
        <v>76</v>
      </c>
    </row>
    <row r="31" spans="2:8" ht="15" customHeight="1" x14ac:dyDescent="0.35">
      <c r="B31" s="183" t="s">
        <v>166</v>
      </c>
      <c r="C31" s="184">
        <f t="shared" ref="C31:H31" si="3">SUM(C25:C30)</f>
        <v>2013</v>
      </c>
      <c r="D31" s="184">
        <f t="shared" si="3"/>
        <v>2153</v>
      </c>
      <c r="E31" s="184">
        <f t="shared" si="3"/>
        <v>2429</v>
      </c>
      <c r="F31" s="184">
        <f t="shared" si="3"/>
        <v>2444</v>
      </c>
      <c r="G31" s="184">
        <f t="shared" si="3"/>
        <v>2461</v>
      </c>
      <c r="H31" s="184">
        <f t="shared" si="3"/>
        <v>4101</v>
      </c>
    </row>
    <row r="32" spans="2:8" ht="15" customHeight="1" x14ac:dyDescent="0.35">
      <c r="B32" s="27"/>
      <c r="C32" s="27"/>
      <c r="D32" s="27"/>
      <c r="E32" s="27"/>
      <c r="F32" s="27"/>
      <c r="G32" s="27"/>
      <c r="H32" s="27"/>
    </row>
    <row r="33" spans="2:8" ht="15" customHeight="1" x14ac:dyDescent="0.35">
      <c r="B33" s="36" t="s">
        <v>167</v>
      </c>
      <c r="C33" s="36"/>
      <c r="D33" s="27"/>
      <c r="E33" s="27"/>
      <c r="F33" s="27"/>
      <c r="G33" s="27"/>
      <c r="H33" s="27"/>
    </row>
    <row r="34" spans="2:8" ht="15" customHeight="1" x14ac:dyDescent="0.35">
      <c r="B34" s="27" t="s">
        <v>168</v>
      </c>
      <c r="C34" s="13">
        <f>'BS Sch III'!C43</f>
        <v>8</v>
      </c>
      <c r="D34" s="13">
        <f>'BS Sch III'!D43</f>
        <v>0</v>
      </c>
      <c r="E34" s="13">
        <f>'BS Sch III'!E43</f>
        <v>2</v>
      </c>
      <c r="F34" s="13" t="str">
        <f>'BS Sch III'!F43</f>
        <v>-</v>
      </c>
      <c r="G34" s="13" t="str">
        <f>'BS Sch III'!G43</f>
        <v>-</v>
      </c>
      <c r="H34" s="13" t="str">
        <f>'BS Sch III'!H43</f>
        <v>-</v>
      </c>
    </row>
    <row r="35" spans="2:8" ht="15" customHeight="1" x14ac:dyDescent="0.35">
      <c r="B35" s="27" t="s">
        <v>65</v>
      </c>
      <c r="C35" s="13">
        <f>'BS Sch III'!C44</f>
        <v>122</v>
      </c>
      <c r="D35" s="13">
        <f>'BS Sch III'!D44</f>
        <v>91</v>
      </c>
      <c r="E35" s="13">
        <f>'BS Sch III'!E44</f>
        <v>91</v>
      </c>
      <c r="F35" s="13">
        <f>'BS Sch III'!F44</f>
        <v>104</v>
      </c>
      <c r="G35" s="13">
        <f>'BS Sch III'!G44</f>
        <v>124</v>
      </c>
      <c r="H35" s="13">
        <f>'BS Sch III'!H44</f>
        <v>127</v>
      </c>
    </row>
    <row r="36" spans="2:8" ht="15" customHeight="1" x14ac:dyDescent="0.35">
      <c r="B36" s="27" t="s">
        <v>66</v>
      </c>
      <c r="C36" s="13">
        <f>SUM('BS Sch III'!C45:C48)</f>
        <v>109</v>
      </c>
      <c r="D36" s="13">
        <f>SUM('BS Sch III'!D45:D48)</f>
        <v>137</v>
      </c>
      <c r="E36" s="13">
        <f>SUM('BS Sch III'!E45:E48)</f>
        <v>468</v>
      </c>
      <c r="F36" s="13">
        <f>SUM('BS Sch III'!F45:F48)</f>
        <v>704</v>
      </c>
      <c r="G36" s="13">
        <f>SUM('BS Sch III'!G45:G48)</f>
        <v>1487</v>
      </c>
      <c r="H36" s="13">
        <f>SUM('BS Sch III'!H45:H48)</f>
        <v>1353</v>
      </c>
    </row>
    <row r="37" spans="2:8" ht="15" customHeight="1" x14ac:dyDescent="0.35">
      <c r="B37" s="183" t="s">
        <v>169</v>
      </c>
      <c r="C37" s="183">
        <f t="shared" ref="C37:H37" si="4">SUM(C34:C36)</f>
        <v>239</v>
      </c>
      <c r="D37" s="183">
        <f t="shared" si="4"/>
        <v>228</v>
      </c>
      <c r="E37" s="183">
        <f t="shared" si="4"/>
        <v>561</v>
      </c>
      <c r="F37" s="183">
        <f t="shared" si="4"/>
        <v>808</v>
      </c>
      <c r="G37" s="183">
        <f t="shared" si="4"/>
        <v>1611</v>
      </c>
      <c r="H37" s="183">
        <f t="shared" si="4"/>
        <v>1480</v>
      </c>
    </row>
    <row r="38" spans="2:8" ht="15" customHeight="1" x14ac:dyDescent="0.35">
      <c r="B38" s="27"/>
      <c r="C38" s="27"/>
      <c r="D38" s="27"/>
      <c r="E38" s="27"/>
      <c r="F38" s="27"/>
      <c r="G38" s="27"/>
      <c r="H38" s="27"/>
    </row>
    <row r="39" spans="2:8" ht="15" customHeight="1" x14ac:dyDescent="0.35">
      <c r="B39" s="36" t="s">
        <v>170</v>
      </c>
      <c r="C39" s="36"/>
      <c r="D39" s="27"/>
      <c r="E39" s="27"/>
      <c r="F39" s="27"/>
      <c r="G39" s="27"/>
      <c r="H39" s="27"/>
    </row>
    <row r="40" spans="2:8" ht="15" customHeight="1" x14ac:dyDescent="0.35">
      <c r="B40" s="27" t="s">
        <v>171</v>
      </c>
      <c r="C40" s="13">
        <f>SUM('BS Sch III'!C36:C38)</f>
        <v>3240</v>
      </c>
      <c r="D40" s="13">
        <f>SUM('BS Sch III'!D36:D38)</f>
        <v>3348</v>
      </c>
      <c r="E40" s="13">
        <f>SUM('BS Sch III'!E36:E38)</f>
        <v>3799</v>
      </c>
      <c r="F40" s="13">
        <f>SUM('BS Sch III'!F36:F38)</f>
        <v>3832</v>
      </c>
      <c r="G40" s="13">
        <f>SUM('BS Sch III'!G36:G38)</f>
        <v>3975</v>
      </c>
      <c r="H40" s="13">
        <f>SUM('BS Sch III'!H36:H38)</f>
        <v>4210</v>
      </c>
    </row>
    <row r="41" spans="2:8" ht="15" customHeight="1" x14ac:dyDescent="0.35">
      <c r="B41" s="27" t="s">
        <v>172</v>
      </c>
      <c r="C41" s="13">
        <f>'BS Sch III'!C39</f>
        <v>18</v>
      </c>
      <c r="D41" s="13">
        <f>'BS Sch III'!D39</f>
        <v>57</v>
      </c>
      <c r="E41" s="13">
        <f>'BS Sch III'!E39</f>
        <v>157</v>
      </c>
      <c r="F41" s="13">
        <f>'BS Sch III'!F39</f>
        <v>337</v>
      </c>
      <c r="G41" s="13">
        <f>'BS Sch III'!G39</f>
        <v>291</v>
      </c>
      <c r="H41" s="13">
        <f>'BS Sch III'!H39</f>
        <v>284</v>
      </c>
    </row>
    <row r="42" spans="2:8" ht="15" customHeight="1" x14ac:dyDescent="0.35">
      <c r="B42" s="183" t="s">
        <v>107</v>
      </c>
      <c r="C42" s="183">
        <f t="shared" ref="C42:H42" si="5">SUM(C40:C41)</f>
        <v>3258</v>
      </c>
      <c r="D42" s="185">
        <f t="shared" si="5"/>
        <v>3405</v>
      </c>
      <c r="E42" s="185">
        <f t="shared" si="5"/>
        <v>3956</v>
      </c>
      <c r="F42" s="185">
        <f t="shared" si="5"/>
        <v>4169</v>
      </c>
      <c r="G42" s="185">
        <f t="shared" si="5"/>
        <v>4266</v>
      </c>
      <c r="H42" s="185">
        <f t="shared" si="5"/>
        <v>4494</v>
      </c>
    </row>
    <row r="43" spans="2:8" ht="15" customHeight="1" thickBot="1" x14ac:dyDescent="0.4">
      <c r="B43" s="198" t="s">
        <v>173</v>
      </c>
      <c r="C43" s="198">
        <f t="shared" ref="C43:H43" si="6">C31+C37+C42</f>
        <v>5510</v>
      </c>
      <c r="D43" s="200">
        <f t="shared" si="6"/>
        <v>5786</v>
      </c>
      <c r="E43" s="200">
        <f t="shared" si="6"/>
        <v>6946</v>
      </c>
      <c r="F43" s="200">
        <f t="shared" si="6"/>
        <v>7421</v>
      </c>
      <c r="G43" s="200">
        <f t="shared" si="6"/>
        <v>8338</v>
      </c>
      <c r="H43" s="200">
        <f t="shared" si="6"/>
        <v>10075</v>
      </c>
    </row>
    <row r="45" spans="2:8" ht="15" customHeight="1" x14ac:dyDescent="0.35">
      <c r="B45" s="118" t="s">
        <v>174</v>
      </c>
      <c r="C45" s="119">
        <f t="shared" ref="C45:H45" si="7">C21-C43</f>
        <v>0</v>
      </c>
      <c r="D45" s="119">
        <f t="shared" si="7"/>
        <v>0</v>
      </c>
      <c r="E45" s="119">
        <f t="shared" si="7"/>
        <v>0</v>
      </c>
      <c r="F45" s="119">
        <f t="shared" si="7"/>
        <v>0</v>
      </c>
      <c r="G45" s="119">
        <f t="shared" si="7"/>
        <v>0</v>
      </c>
      <c r="H45" s="119">
        <f t="shared" si="7"/>
        <v>0</v>
      </c>
    </row>
  </sheetData>
  <sheetProtection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031A-64EC-4F2B-8DFF-18B7B02CB11C}">
  <sheetPr codeName="Sheet21"/>
  <dimension ref="B1:X64"/>
  <sheetViews>
    <sheetView showGridLines="0" zoomScale="83" zoomScaleNormal="83" workbookViewId="0">
      <pane ySplit="3" topLeftCell="A4" activePane="bottomLeft" state="frozen"/>
      <selection activeCell="L18" sqref="L18"/>
      <selection pane="bottomLeft" activeCell="I68" sqref="I68"/>
    </sheetView>
  </sheetViews>
  <sheetFormatPr defaultColWidth="8.7265625" defaultRowHeight="14.5" x14ac:dyDescent="0.35"/>
  <cols>
    <col min="1" max="1" width="3.453125" style="17" customWidth="1"/>
    <col min="2" max="2" width="71.81640625" style="17" customWidth="1"/>
    <col min="3" max="8" width="15.54296875" style="17" customWidth="1"/>
    <col min="9" max="9" width="8.1796875" style="17" customWidth="1"/>
    <col min="10" max="10" width="29.26953125" style="17" bestFit="1" customWidth="1"/>
    <col min="11" max="16" width="12.1796875" style="17" customWidth="1"/>
    <col min="17" max="18" width="8.7265625" style="17"/>
    <col min="19" max="19" width="35.81640625" style="17" bestFit="1" customWidth="1"/>
    <col min="20" max="16384" width="8.7265625" style="17"/>
  </cols>
  <sheetData>
    <row r="1" spans="2:24" ht="28" customHeight="1" x14ac:dyDescent="0.35">
      <c r="B1" s="121" t="s">
        <v>239</v>
      </c>
    </row>
    <row r="2" spans="2:24" ht="16.5" customHeight="1" x14ac:dyDescent="0.35"/>
    <row r="3" spans="2:24" s="68" customFormat="1" ht="30" customHeight="1" x14ac:dyDescent="0.35">
      <c r="B3" s="186" t="s">
        <v>49</v>
      </c>
      <c r="C3" s="187" t="s">
        <v>233</v>
      </c>
      <c r="D3" s="187" t="s">
        <v>234</v>
      </c>
      <c r="E3" s="187" t="s">
        <v>235</v>
      </c>
      <c r="F3" s="187" t="s">
        <v>236</v>
      </c>
      <c r="G3" s="187" t="s">
        <v>237</v>
      </c>
      <c r="H3" s="187" t="s">
        <v>238</v>
      </c>
      <c r="J3"/>
      <c r="K3"/>
      <c r="L3"/>
      <c r="M3"/>
      <c r="N3"/>
      <c r="O3"/>
      <c r="P3"/>
    </row>
    <row r="4" spans="2:24" ht="30" customHeight="1" x14ac:dyDescent="0.35">
      <c r="B4" s="36" t="s">
        <v>148</v>
      </c>
      <c r="C4" s="27"/>
      <c r="D4" s="27"/>
      <c r="E4" s="27"/>
      <c r="F4" s="27"/>
      <c r="G4" s="27"/>
      <c r="H4" s="27"/>
    </row>
    <row r="5" spans="2:24" ht="15" customHeight="1" x14ac:dyDescent="0.35">
      <c r="B5" s="36" t="s">
        <v>156</v>
      </c>
      <c r="C5" s="27"/>
      <c r="D5" s="27"/>
      <c r="E5" s="27"/>
      <c r="F5" s="27"/>
      <c r="G5" s="27"/>
      <c r="H5" s="27"/>
    </row>
    <row r="6" spans="2:24" ht="15" customHeight="1" x14ac:dyDescent="0.35">
      <c r="B6" s="27" t="s">
        <v>240</v>
      </c>
      <c r="C6" s="7">
        <v>572</v>
      </c>
      <c r="D6" s="7">
        <v>600</v>
      </c>
      <c r="E6" s="7">
        <v>633</v>
      </c>
      <c r="F6" s="7">
        <v>700</v>
      </c>
      <c r="G6" s="7">
        <v>710</v>
      </c>
      <c r="H6" s="7">
        <v>832</v>
      </c>
    </row>
    <row r="7" spans="2:24" ht="15" customHeight="1" x14ac:dyDescent="0.35">
      <c r="B7" s="27" t="s">
        <v>158</v>
      </c>
      <c r="C7" s="7">
        <v>24</v>
      </c>
      <c r="D7" s="7">
        <v>39</v>
      </c>
      <c r="E7" s="7">
        <v>67</v>
      </c>
      <c r="F7" s="7">
        <v>44</v>
      </c>
      <c r="G7" s="7">
        <v>40</v>
      </c>
      <c r="H7" s="7">
        <v>85</v>
      </c>
      <c r="S7"/>
      <c r="T7"/>
      <c r="U7"/>
      <c r="V7"/>
      <c r="W7"/>
      <c r="X7"/>
    </row>
    <row r="8" spans="2:24" ht="15" customHeight="1" x14ac:dyDescent="0.35">
      <c r="B8" s="27" t="s">
        <v>241</v>
      </c>
      <c r="C8" s="7">
        <v>180</v>
      </c>
      <c r="D8" s="7">
        <v>178</v>
      </c>
      <c r="E8" s="7">
        <v>175</v>
      </c>
      <c r="F8" s="7">
        <v>209</v>
      </c>
      <c r="G8" s="7">
        <v>230</v>
      </c>
      <c r="H8" s="7">
        <v>258</v>
      </c>
      <c r="S8"/>
      <c r="T8"/>
      <c r="U8"/>
      <c r="V8"/>
      <c r="W8"/>
      <c r="X8"/>
    </row>
    <row r="9" spans="2:24" ht="15" customHeight="1" x14ac:dyDescent="0.35">
      <c r="B9" s="27" t="s">
        <v>55</v>
      </c>
      <c r="C9" s="7">
        <v>613</v>
      </c>
      <c r="D9" s="7">
        <v>654</v>
      </c>
      <c r="E9" s="7">
        <v>862</v>
      </c>
      <c r="F9" s="7">
        <v>863</v>
      </c>
      <c r="G9" s="7">
        <v>857</v>
      </c>
      <c r="H9" s="7">
        <v>1036</v>
      </c>
      <c r="S9"/>
      <c r="T9"/>
      <c r="U9"/>
      <c r="V9"/>
      <c r="W9"/>
      <c r="X9"/>
    </row>
    <row r="10" spans="2:24" ht="15" customHeight="1" x14ac:dyDescent="0.35">
      <c r="B10" s="27" t="s">
        <v>242</v>
      </c>
      <c r="C10" s="7">
        <v>230</v>
      </c>
      <c r="D10" s="7">
        <v>306</v>
      </c>
      <c r="E10" s="7">
        <v>560</v>
      </c>
      <c r="F10" s="7">
        <v>937</v>
      </c>
      <c r="G10" s="7">
        <v>946</v>
      </c>
      <c r="H10" s="7">
        <v>1498</v>
      </c>
      <c r="S10"/>
      <c r="T10"/>
      <c r="U10"/>
      <c r="V10"/>
      <c r="W10"/>
      <c r="X10"/>
    </row>
    <row r="11" spans="2:24" ht="15" customHeight="1" x14ac:dyDescent="0.35">
      <c r="B11" s="27" t="s">
        <v>243</v>
      </c>
      <c r="C11" s="7">
        <v>17</v>
      </c>
      <c r="D11" s="7">
        <v>22</v>
      </c>
      <c r="E11" s="7">
        <v>16</v>
      </c>
      <c r="F11" s="7">
        <v>15</v>
      </c>
      <c r="G11" s="7">
        <v>15</v>
      </c>
      <c r="H11" s="7">
        <v>9</v>
      </c>
      <c r="S11"/>
      <c r="T11"/>
      <c r="U11"/>
      <c r="V11"/>
      <c r="W11"/>
      <c r="X11"/>
    </row>
    <row r="12" spans="2:24" ht="15" customHeight="1" x14ac:dyDescent="0.35">
      <c r="B12" s="27" t="s">
        <v>244</v>
      </c>
      <c r="C12" s="7">
        <v>226</v>
      </c>
      <c r="D12" s="7">
        <v>187</v>
      </c>
      <c r="E12" s="7">
        <v>518</v>
      </c>
      <c r="F12" s="7">
        <v>343</v>
      </c>
      <c r="G12" s="7">
        <v>215</v>
      </c>
      <c r="H12" s="7">
        <v>135</v>
      </c>
      <c r="S12"/>
      <c r="T12"/>
      <c r="U12"/>
      <c r="V12"/>
      <c r="W12"/>
      <c r="X12"/>
    </row>
    <row r="13" spans="2:24" ht="15" customHeight="1" x14ac:dyDescent="0.35">
      <c r="B13" s="27" t="s">
        <v>245</v>
      </c>
      <c r="C13" s="7">
        <v>4</v>
      </c>
      <c r="D13" s="7">
        <v>4</v>
      </c>
      <c r="E13" s="7">
        <v>4</v>
      </c>
      <c r="F13" s="7">
        <v>4</v>
      </c>
      <c r="G13" s="7">
        <v>6</v>
      </c>
      <c r="H13" s="7">
        <v>4</v>
      </c>
      <c r="S13"/>
      <c r="T13"/>
      <c r="U13"/>
      <c r="V13"/>
      <c r="W13"/>
      <c r="X13"/>
    </row>
    <row r="14" spans="2:24" ht="15" customHeight="1" x14ac:dyDescent="0.35">
      <c r="B14" s="27" t="s">
        <v>246</v>
      </c>
      <c r="C14" s="7">
        <v>41</v>
      </c>
      <c r="D14" s="7">
        <v>17</v>
      </c>
      <c r="E14" s="7">
        <v>32</v>
      </c>
      <c r="F14" s="7">
        <v>100</v>
      </c>
      <c r="G14" s="7">
        <v>22</v>
      </c>
      <c r="H14" s="7">
        <v>27</v>
      </c>
      <c r="S14"/>
      <c r="T14"/>
      <c r="U14"/>
      <c r="V14"/>
      <c r="W14"/>
      <c r="X14"/>
    </row>
    <row r="15" spans="2:24" ht="15" customHeight="1" x14ac:dyDescent="0.35">
      <c r="B15" s="27" t="s">
        <v>247</v>
      </c>
      <c r="C15" s="7">
        <v>186</v>
      </c>
      <c r="D15" s="7">
        <v>187</v>
      </c>
      <c r="E15" s="7">
        <v>146</v>
      </c>
      <c r="F15" s="7">
        <v>68</v>
      </c>
      <c r="G15" s="7">
        <v>57</v>
      </c>
      <c r="H15" s="7">
        <v>125</v>
      </c>
      <c r="S15"/>
      <c r="T15"/>
      <c r="U15"/>
      <c r="V15"/>
      <c r="W15"/>
      <c r="X15"/>
    </row>
    <row r="16" spans="2:24" ht="15" customHeight="1" x14ac:dyDescent="0.35">
      <c r="B16" s="27" t="s">
        <v>248</v>
      </c>
      <c r="C16" s="7">
        <v>55</v>
      </c>
      <c r="D16" s="7">
        <v>57</v>
      </c>
      <c r="E16" s="7">
        <v>67</v>
      </c>
      <c r="F16" s="7">
        <v>95</v>
      </c>
      <c r="G16" s="7">
        <v>108</v>
      </c>
      <c r="H16" s="7">
        <v>114</v>
      </c>
      <c r="I16" s="17" t="s">
        <v>18</v>
      </c>
      <c r="S16"/>
      <c r="T16"/>
      <c r="U16"/>
      <c r="V16"/>
      <c r="W16"/>
      <c r="X16"/>
    </row>
    <row r="17" spans="2:24" ht="15" customHeight="1" x14ac:dyDescent="0.35">
      <c r="B17" s="27" t="s">
        <v>249</v>
      </c>
      <c r="C17" s="7">
        <v>26</v>
      </c>
      <c r="D17" s="7">
        <v>30</v>
      </c>
      <c r="E17" s="7">
        <v>46</v>
      </c>
      <c r="F17" s="7">
        <v>40</v>
      </c>
      <c r="G17" s="7">
        <v>49</v>
      </c>
      <c r="H17" s="7">
        <v>92</v>
      </c>
      <c r="S17"/>
      <c r="T17"/>
      <c r="U17"/>
      <c r="V17"/>
      <c r="W17"/>
      <c r="X17"/>
    </row>
    <row r="18" spans="2:24" ht="15" customHeight="1" thickBot="1" x14ac:dyDescent="0.4">
      <c r="B18" s="195" t="s">
        <v>159</v>
      </c>
      <c r="C18" s="195">
        <f t="shared" ref="C18:H18" si="0">SUM(C6:C17)</f>
        <v>2174</v>
      </c>
      <c r="D18" s="195">
        <f t="shared" si="0"/>
        <v>2281</v>
      </c>
      <c r="E18" s="195">
        <f t="shared" si="0"/>
        <v>3126</v>
      </c>
      <c r="F18" s="195">
        <f t="shared" si="0"/>
        <v>3418</v>
      </c>
      <c r="G18" s="195">
        <f t="shared" si="0"/>
        <v>3255</v>
      </c>
      <c r="H18" s="195">
        <f t="shared" si="0"/>
        <v>4215</v>
      </c>
      <c r="S18"/>
      <c r="T18"/>
      <c r="U18"/>
      <c r="V18"/>
      <c r="W18"/>
      <c r="X18"/>
    </row>
    <row r="19" spans="2:24" ht="15" customHeight="1" x14ac:dyDescent="0.35">
      <c r="B19" s="27"/>
      <c r="C19" s="37"/>
      <c r="D19" s="37"/>
      <c r="E19" s="27"/>
      <c r="F19" s="27"/>
      <c r="G19" s="37"/>
      <c r="H19" s="27"/>
      <c r="S19"/>
      <c r="T19"/>
      <c r="U19"/>
      <c r="V19"/>
      <c r="W19"/>
      <c r="X19"/>
    </row>
    <row r="20" spans="2:24" ht="15" customHeight="1" x14ac:dyDescent="0.35">
      <c r="B20" s="36" t="s">
        <v>149</v>
      </c>
      <c r="C20" s="27"/>
      <c r="D20" s="27"/>
      <c r="E20" s="27"/>
      <c r="F20" s="27"/>
      <c r="G20" s="27"/>
      <c r="H20" s="27"/>
      <c r="J20"/>
      <c r="S20"/>
      <c r="T20"/>
      <c r="U20"/>
      <c r="V20"/>
      <c r="W20"/>
      <c r="X20"/>
    </row>
    <row r="21" spans="2:24" ht="15" customHeight="1" x14ac:dyDescent="0.35">
      <c r="B21" s="27" t="s">
        <v>152</v>
      </c>
      <c r="C21" s="7">
        <v>1126</v>
      </c>
      <c r="D21" s="7">
        <v>1412</v>
      </c>
      <c r="E21" s="7">
        <v>1225</v>
      </c>
      <c r="F21" s="7">
        <v>1336</v>
      </c>
      <c r="G21" s="7">
        <v>1235</v>
      </c>
      <c r="H21" s="7">
        <v>1611</v>
      </c>
    </row>
    <row r="22" spans="2:24" ht="15" customHeight="1" x14ac:dyDescent="0.35">
      <c r="B22" s="27" t="s">
        <v>151</v>
      </c>
      <c r="C22" s="7">
        <v>388</v>
      </c>
      <c r="D22" s="7">
        <v>652</v>
      </c>
      <c r="E22" s="7">
        <v>1015</v>
      </c>
      <c r="F22" s="7">
        <v>1069</v>
      </c>
      <c r="G22" s="7">
        <v>1271</v>
      </c>
      <c r="H22" s="7">
        <v>1304</v>
      </c>
    </row>
    <row r="23" spans="2:24" ht="15" customHeight="1" x14ac:dyDescent="0.35">
      <c r="B23" s="27" t="s">
        <v>244</v>
      </c>
      <c r="C23" s="7">
        <v>628</v>
      </c>
      <c r="D23" s="7">
        <v>641</v>
      </c>
      <c r="E23" s="7">
        <v>578</v>
      </c>
      <c r="F23" s="7">
        <v>259</v>
      </c>
      <c r="G23" s="7">
        <v>1375</v>
      </c>
      <c r="H23" s="7">
        <v>1948</v>
      </c>
    </row>
    <row r="24" spans="2:24" ht="15" customHeight="1" x14ac:dyDescent="0.35">
      <c r="B24" s="27" t="s">
        <v>250</v>
      </c>
      <c r="C24" s="7">
        <v>109</v>
      </c>
      <c r="D24" s="7">
        <v>276</v>
      </c>
      <c r="E24" s="7">
        <v>207</v>
      </c>
      <c r="F24" s="7">
        <v>228</v>
      </c>
      <c r="G24" s="7">
        <v>321</v>
      </c>
      <c r="H24" s="7">
        <v>404</v>
      </c>
    </row>
    <row r="25" spans="2:24" ht="15" customHeight="1" x14ac:dyDescent="0.35">
      <c r="B25" s="27" t="s">
        <v>251</v>
      </c>
      <c r="C25" s="7">
        <v>835</v>
      </c>
      <c r="D25" s="7">
        <v>303</v>
      </c>
      <c r="E25" s="7">
        <v>549</v>
      </c>
      <c r="F25" s="7">
        <v>715</v>
      </c>
      <c r="G25" s="7">
        <v>456</v>
      </c>
      <c r="H25" s="7">
        <v>89</v>
      </c>
    </row>
    <row r="26" spans="2:24" ht="15" customHeight="1" x14ac:dyDescent="0.35">
      <c r="B26" s="27" t="s">
        <v>245</v>
      </c>
      <c r="C26" s="7">
        <v>6</v>
      </c>
      <c r="D26" s="7">
        <v>5</v>
      </c>
      <c r="E26" s="7">
        <v>4</v>
      </c>
      <c r="F26" s="7">
        <v>6</v>
      </c>
      <c r="G26" s="7">
        <v>7</v>
      </c>
      <c r="H26" s="7">
        <v>7</v>
      </c>
    </row>
    <row r="27" spans="2:24" ht="15" customHeight="1" x14ac:dyDescent="0.35">
      <c r="B27" s="27" t="s">
        <v>246</v>
      </c>
      <c r="C27" s="7">
        <v>5</v>
      </c>
      <c r="D27" s="7">
        <v>2</v>
      </c>
      <c r="E27" s="7">
        <v>4</v>
      </c>
      <c r="F27" s="7">
        <v>5</v>
      </c>
      <c r="G27" s="7">
        <v>3</v>
      </c>
      <c r="H27" s="7">
        <v>6</v>
      </c>
    </row>
    <row r="28" spans="2:24" ht="15" customHeight="1" x14ac:dyDescent="0.35">
      <c r="B28" s="27" t="s">
        <v>252</v>
      </c>
      <c r="C28" s="7">
        <v>1</v>
      </c>
      <c r="D28" s="7">
        <v>1</v>
      </c>
      <c r="E28" s="7">
        <v>2</v>
      </c>
      <c r="F28" s="7">
        <v>2</v>
      </c>
      <c r="G28" s="7">
        <v>2</v>
      </c>
      <c r="H28" s="7">
        <v>3</v>
      </c>
      <c r="I28" s="7"/>
    </row>
    <row r="29" spans="2:24" ht="15" customHeight="1" x14ac:dyDescent="0.35">
      <c r="B29" s="27" t="s">
        <v>253</v>
      </c>
      <c r="C29" s="7">
        <v>224</v>
      </c>
      <c r="D29" s="7">
        <v>213</v>
      </c>
      <c r="E29" s="7">
        <v>229</v>
      </c>
      <c r="F29" s="7">
        <v>378</v>
      </c>
      <c r="G29" s="7">
        <v>413</v>
      </c>
      <c r="H29" s="7">
        <v>488</v>
      </c>
    </row>
    <row r="30" spans="2:24" ht="15" customHeight="1" x14ac:dyDescent="0.35">
      <c r="B30" s="27" t="s">
        <v>254</v>
      </c>
      <c r="C30" s="7">
        <v>14</v>
      </c>
      <c r="D30" s="7" t="s">
        <v>255</v>
      </c>
      <c r="E30" s="7">
        <v>7</v>
      </c>
      <c r="F30" s="7">
        <v>5</v>
      </c>
      <c r="G30" s="7" t="s">
        <v>255</v>
      </c>
      <c r="H30" s="7" t="s">
        <v>255</v>
      </c>
    </row>
    <row r="31" spans="2:24" ht="15" customHeight="1" x14ac:dyDescent="0.35">
      <c r="B31" s="193" t="s">
        <v>155</v>
      </c>
      <c r="C31" s="194">
        <f t="shared" ref="C31:H31" si="1">SUM(C21:C30)</f>
        <v>3336</v>
      </c>
      <c r="D31" s="194">
        <f t="shared" si="1"/>
        <v>3505</v>
      </c>
      <c r="E31" s="194">
        <f t="shared" si="1"/>
        <v>3820</v>
      </c>
      <c r="F31" s="194">
        <f t="shared" si="1"/>
        <v>4003</v>
      </c>
      <c r="G31" s="194">
        <f t="shared" si="1"/>
        <v>5083</v>
      </c>
      <c r="H31" s="194">
        <f t="shared" si="1"/>
        <v>5860</v>
      </c>
    </row>
    <row r="32" spans="2:24" ht="15" customHeight="1" thickBot="1" x14ac:dyDescent="0.4">
      <c r="B32" s="227" t="s">
        <v>160</v>
      </c>
      <c r="C32" s="228">
        <f t="shared" ref="C32:H32" si="2">C18+C31</f>
        <v>5510</v>
      </c>
      <c r="D32" s="228">
        <f t="shared" si="2"/>
        <v>5786</v>
      </c>
      <c r="E32" s="228">
        <f t="shared" si="2"/>
        <v>6946</v>
      </c>
      <c r="F32" s="228">
        <f t="shared" si="2"/>
        <v>7421</v>
      </c>
      <c r="G32" s="228">
        <f t="shared" si="2"/>
        <v>8338</v>
      </c>
      <c r="H32" s="228">
        <f t="shared" si="2"/>
        <v>10075</v>
      </c>
    </row>
    <row r="33" spans="2:8" ht="15" customHeight="1" thickTop="1" x14ac:dyDescent="0.35">
      <c r="B33" s="27"/>
      <c r="C33" s="27"/>
      <c r="D33" s="27"/>
      <c r="E33" s="27"/>
      <c r="F33" s="27"/>
      <c r="G33" s="27"/>
      <c r="H33" s="27"/>
    </row>
    <row r="34" spans="2:8" x14ac:dyDescent="0.35">
      <c r="B34" s="36" t="s">
        <v>256</v>
      </c>
      <c r="C34" s="27"/>
      <c r="D34" s="27"/>
      <c r="E34" s="27"/>
      <c r="F34" s="27"/>
      <c r="G34" s="27"/>
      <c r="H34" s="27"/>
    </row>
    <row r="35" spans="2:8" ht="15" customHeight="1" x14ac:dyDescent="0.35">
      <c r="B35" s="36" t="s">
        <v>257</v>
      </c>
      <c r="C35" s="27"/>
      <c r="D35" s="27"/>
      <c r="E35" s="27"/>
      <c r="F35" s="27"/>
      <c r="G35" s="27"/>
      <c r="H35" s="27"/>
    </row>
    <row r="36" spans="2:8" ht="15" customHeight="1" x14ac:dyDescent="0.35">
      <c r="B36" s="27" t="s">
        <v>258</v>
      </c>
      <c r="C36" s="7">
        <v>129</v>
      </c>
      <c r="D36" s="7">
        <v>129</v>
      </c>
      <c r="E36" s="7">
        <v>129</v>
      </c>
      <c r="F36" s="7">
        <v>129</v>
      </c>
      <c r="G36" s="7">
        <v>129</v>
      </c>
      <c r="H36" s="7">
        <v>130</v>
      </c>
    </row>
    <row r="37" spans="2:8" ht="15" customHeight="1" x14ac:dyDescent="0.35">
      <c r="B37" s="27" t="s">
        <v>259</v>
      </c>
      <c r="C37" s="7">
        <v>3111</v>
      </c>
      <c r="D37" s="7">
        <v>3219</v>
      </c>
      <c r="E37" s="7">
        <v>3670</v>
      </c>
      <c r="F37" s="7">
        <v>3703</v>
      </c>
      <c r="G37" s="7">
        <v>3845</v>
      </c>
      <c r="H37" s="7">
        <v>4080</v>
      </c>
    </row>
    <row r="38" spans="2:8" ht="15" customHeight="1" x14ac:dyDescent="0.35">
      <c r="B38" s="27" t="s">
        <v>260</v>
      </c>
      <c r="C38" s="7"/>
      <c r="D38" s="7" t="s">
        <v>255</v>
      </c>
      <c r="E38" s="7">
        <v>0</v>
      </c>
      <c r="F38" s="7">
        <v>0</v>
      </c>
      <c r="G38" s="7">
        <v>1</v>
      </c>
      <c r="H38" s="7">
        <v>0</v>
      </c>
    </row>
    <row r="39" spans="2:8" ht="15" customHeight="1" x14ac:dyDescent="0.35">
      <c r="B39" s="27" t="s">
        <v>261</v>
      </c>
      <c r="C39" s="7">
        <v>18</v>
      </c>
      <c r="D39" s="7">
        <v>57</v>
      </c>
      <c r="E39" s="7">
        <v>157</v>
      </c>
      <c r="F39" s="7">
        <v>337</v>
      </c>
      <c r="G39" s="7">
        <v>291</v>
      </c>
      <c r="H39" s="7">
        <v>284</v>
      </c>
    </row>
    <row r="40" spans="2:8" ht="15" customHeight="1" x14ac:dyDescent="0.35">
      <c r="B40" s="193" t="s">
        <v>107</v>
      </c>
      <c r="C40" s="194">
        <f>SUM(C36:C39)</f>
        <v>3258</v>
      </c>
      <c r="D40" s="194">
        <f t="shared" ref="D40:H40" si="3">SUM(D36:D39)</f>
        <v>3405</v>
      </c>
      <c r="E40" s="194">
        <f t="shared" si="3"/>
        <v>3956</v>
      </c>
      <c r="F40" s="194">
        <f t="shared" si="3"/>
        <v>4169</v>
      </c>
      <c r="G40" s="194">
        <f t="shared" si="3"/>
        <v>4266</v>
      </c>
      <c r="H40" s="194">
        <f t="shared" si="3"/>
        <v>4494</v>
      </c>
    </row>
    <row r="41" spans="2:8" ht="15" customHeight="1" x14ac:dyDescent="0.35">
      <c r="B41" s="27"/>
      <c r="C41" s="27"/>
      <c r="D41" s="27"/>
      <c r="E41" s="27"/>
      <c r="F41" s="27"/>
      <c r="G41" s="27"/>
      <c r="H41" s="27"/>
    </row>
    <row r="42" spans="2:8" ht="15" customHeight="1" x14ac:dyDescent="0.35">
      <c r="B42" s="36" t="s">
        <v>167</v>
      </c>
      <c r="C42" s="27"/>
      <c r="D42" s="27"/>
      <c r="E42" s="27"/>
      <c r="F42" s="27"/>
      <c r="G42" s="27"/>
      <c r="H42" s="27"/>
    </row>
    <row r="43" spans="2:8" ht="15" customHeight="1" x14ac:dyDescent="0.35">
      <c r="B43" s="27" t="s">
        <v>262</v>
      </c>
      <c r="C43" s="7">
        <v>8</v>
      </c>
      <c r="D43" s="7"/>
      <c r="E43" s="7">
        <v>2</v>
      </c>
      <c r="F43" s="7" t="s">
        <v>255</v>
      </c>
      <c r="G43" s="7" t="s">
        <v>255</v>
      </c>
      <c r="H43" s="7" t="s">
        <v>255</v>
      </c>
    </row>
    <row r="44" spans="2:8" ht="15" customHeight="1" x14ac:dyDescent="0.35">
      <c r="B44" s="27" t="s">
        <v>263</v>
      </c>
      <c r="C44" s="7">
        <v>122</v>
      </c>
      <c r="D44" s="7">
        <v>91</v>
      </c>
      <c r="E44" s="7">
        <v>91</v>
      </c>
      <c r="F44" s="7">
        <v>104</v>
      </c>
      <c r="G44" s="7">
        <v>124</v>
      </c>
      <c r="H44" s="7">
        <v>127</v>
      </c>
    </row>
    <row r="45" spans="2:8" ht="15" customHeight="1" x14ac:dyDescent="0.35">
      <c r="B45" s="27" t="s">
        <v>264</v>
      </c>
      <c r="C45" s="7"/>
      <c r="D45" s="7" t="s">
        <v>255</v>
      </c>
      <c r="E45" s="7">
        <v>266</v>
      </c>
      <c r="F45" s="7">
        <v>405</v>
      </c>
      <c r="G45" s="7">
        <v>1211</v>
      </c>
      <c r="H45" s="7">
        <v>947</v>
      </c>
    </row>
    <row r="46" spans="2:8" ht="15" customHeight="1" x14ac:dyDescent="0.35">
      <c r="B46" s="27" t="s">
        <v>265</v>
      </c>
      <c r="C46" s="7">
        <v>1</v>
      </c>
      <c r="D46" s="7">
        <v>1</v>
      </c>
      <c r="E46" s="7">
        <v>4</v>
      </c>
      <c r="F46" s="7">
        <v>1</v>
      </c>
      <c r="G46" s="7">
        <v>1</v>
      </c>
      <c r="H46" s="7">
        <v>1</v>
      </c>
    </row>
    <row r="47" spans="2:8" ht="15" customHeight="1" x14ac:dyDescent="0.35">
      <c r="B47" s="27" t="s">
        <v>62</v>
      </c>
      <c r="C47" s="7">
        <v>24</v>
      </c>
      <c r="D47" s="7">
        <v>27</v>
      </c>
      <c r="E47" s="7">
        <v>20</v>
      </c>
      <c r="F47" s="7">
        <v>19</v>
      </c>
      <c r="G47" s="7">
        <v>27</v>
      </c>
      <c r="H47" s="7">
        <v>31</v>
      </c>
    </row>
    <row r="48" spans="2:8" ht="15" customHeight="1" x14ac:dyDescent="0.35">
      <c r="B48" s="27" t="s">
        <v>266</v>
      </c>
      <c r="C48" s="7">
        <v>84</v>
      </c>
      <c r="D48" s="7">
        <v>109</v>
      </c>
      <c r="E48" s="7">
        <v>178</v>
      </c>
      <c r="F48" s="7">
        <v>279</v>
      </c>
      <c r="G48" s="7">
        <v>248</v>
      </c>
      <c r="H48" s="7">
        <v>374</v>
      </c>
    </row>
    <row r="49" spans="2:8" ht="15" customHeight="1" x14ac:dyDescent="0.35">
      <c r="B49" s="193" t="s">
        <v>169</v>
      </c>
      <c r="C49" s="193">
        <f t="shared" ref="C49:H49" si="4">SUM(C43:C48)</f>
        <v>239</v>
      </c>
      <c r="D49" s="193">
        <f t="shared" si="4"/>
        <v>228</v>
      </c>
      <c r="E49" s="193">
        <f t="shared" si="4"/>
        <v>561</v>
      </c>
      <c r="F49" s="193">
        <f t="shared" si="4"/>
        <v>808</v>
      </c>
      <c r="G49" s="193">
        <f t="shared" si="4"/>
        <v>1611</v>
      </c>
      <c r="H49" s="193">
        <f t="shared" si="4"/>
        <v>1480</v>
      </c>
    </row>
    <row r="50" spans="2:8" ht="15" customHeight="1" x14ac:dyDescent="0.35">
      <c r="B50" s="27"/>
      <c r="C50" s="27"/>
      <c r="D50" s="27"/>
      <c r="E50" s="27"/>
      <c r="F50" s="27"/>
      <c r="G50" s="27"/>
      <c r="H50" s="27"/>
    </row>
    <row r="51" spans="2:8" ht="15" customHeight="1" x14ac:dyDescent="0.35">
      <c r="B51" s="36" t="s">
        <v>162</v>
      </c>
      <c r="C51" s="27"/>
      <c r="D51" s="27"/>
      <c r="E51" s="27"/>
      <c r="F51" s="27"/>
      <c r="G51" s="27"/>
      <c r="H51" s="27"/>
    </row>
    <row r="52" spans="2:8" ht="15" customHeight="1" x14ac:dyDescent="0.35">
      <c r="B52" s="27" t="s">
        <v>262</v>
      </c>
      <c r="C52" s="7">
        <v>340</v>
      </c>
      <c r="D52" s="7">
        <v>345</v>
      </c>
      <c r="E52" s="7">
        <v>473</v>
      </c>
      <c r="F52" s="7">
        <v>383</v>
      </c>
      <c r="G52" s="7">
        <v>379</v>
      </c>
      <c r="H52" s="7">
        <v>355</v>
      </c>
    </row>
    <row r="53" spans="2:8" ht="15" customHeight="1" x14ac:dyDescent="0.35">
      <c r="B53" s="27" t="s">
        <v>263</v>
      </c>
      <c r="C53" s="7">
        <v>38</v>
      </c>
      <c r="D53" s="7">
        <v>43</v>
      </c>
      <c r="E53" s="7">
        <v>42</v>
      </c>
      <c r="F53" s="7">
        <v>41</v>
      </c>
      <c r="G53" s="7">
        <v>51</v>
      </c>
      <c r="H53" s="7">
        <v>75</v>
      </c>
    </row>
    <row r="54" spans="2:8" ht="15" customHeight="1" x14ac:dyDescent="0.35">
      <c r="B54" s="27" t="s">
        <v>267</v>
      </c>
      <c r="C54" s="7">
        <v>50</v>
      </c>
      <c r="D54" s="7">
        <v>76</v>
      </c>
      <c r="E54" s="7">
        <v>68</v>
      </c>
      <c r="F54" s="7">
        <v>71</v>
      </c>
      <c r="G54" s="7">
        <v>89</v>
      </c>
      <c r="H54" s="7">
        <v>146</v>
      </c>
    </row>
    <row r="55" spans="2:8" ht="15" customHeight="1" x14ac:dyDescent="0.35">
      <c r="B55" s="27" t="s">
        <v>268</v>
      </c>
      <c r="C55" s="7">
        <v>1084</v>
      </c>
      <c r="D55" s="7">
        <v>1268</v>
      </c>
      <c r="E55" s="7">
        <v>1384</v>
      </c>
      <c r="F55" s="7">
        <v>1510</v>
      </c>
      <c r="G55" s="7">
        <v>1274</v>
      </c>
      <c r="H55" s="7">
        <v>1488</v>
      </c>
    </row>
    <row r="56" spans="2:8" ht="15" customHeight="1" x14ac:dyDescent="0.35">
      <c r="B56" s="27" t="s">
        <v>264</v>
      </c>
      <c r="C56" s="7">
        <v>44</v>
      </c>
      <c r="D56" s="7">
        <v>45</v>
      </c>
      <c r="E56" s="7">
        <v>40</v>
      </c>
      <c r="F56" s="7">
        <v>59</v>
      </c>
      <c r="G56" s="7">
        <v>231</v>
      </c>
      <c r="H56" s="7">
        <v>1585</v>
      </c>
    </row>
    <row r="57" spans="2:8" ht="15" customHeight="1" x14ac:dyDescent="0.35">
      <c r="B57" s="27" t="s">
        <v>61</v>
      </c>
      <c r="C57" s="7">
        <v>287</v>
      </c>
      <c r="D57" s="7">
        <v>224</v>
      </c>
      <c r="E57" s="7">
        <v>217</v>
      </c>
      <c r="F57" s="7">
        <v>211</v>
      </c>
      <c r="G57" s="7">
        <v>232</v>
      </c>
      <c r="H57" s="7">
        <v>221</v>
      </c>
    </row>
    <row r="58" spans="2:8" ht="15" customHeight="1" x14ac:dyDescent="0.35">
      <c r="B58" s="27" t="s">
        <v>265</v>
      </c>
      <c r="C58" s="7">
        <v>20</v>
      </c>
      <c r="D58" s="7">
        <v>21</v>
      </c>
      <c r="E58" s="7">
        <v>44</v>
      </c>
      <c r="F58" s="7">
        <v>7</v>
      </c>
      <c r="G58" s="7">
        <v>21</v>
      </c>
      <c r="H58" s="7">
        <v>9</v>
      </c>
    </row>
    <row r="59" spans="2:8" ht="15" customHeight="1" x14ac:dyDescent="0.35">
      <c r="B59" s="27" t="s">
        <v>62</v>
      </c>
      <c r="C59" s="7">
        <v>78</v>
      </c>
      <c r="D59" s="7">
        <v>64</v>
      </c>
      <c r="E59" s="7">
        <v>74</v>
      </c>
      <c r="F59" s="7">
        <v>79</v>
      </c>
      <c r="G59" s="7">
        <v>92</v>
      </c>
      <c r="H59" s="7">
        <v>146</v>
      </c>
    </row>
    <row r="60" spans="2:8" ht="15" customHeight="1" x14ac:dyDescent="0.35">
      <c r="B60" s="27" t="s">
        <v>269</v>
      </c>
      <c r="C60" s="7">
        <v>72</v>
      </c>
      <c r="D60" s="7">
        <v>67</v>
      </c>
      <c r="E60" s="7">
        <v>87</v>
      </c>
      <c r="F60" s="7">
        <v>83</v>
      </c>
      <c r="G60" s="7">
        <v>92</v>
      </c>
      <c r="H60" s="7">
        <v>76</v>
      </c>
    </row>
    <row r="61" spans="2:8" ht="15" customHeight="1" x14ac:dyDescent="0.35">
      <c r="B61" s="193" t="s">
        <v>166</v>
      </c>
      <c r="C61" s="194">
        <f>SUM(C52:C60)</f>
        <v>2013</v>
      </c>
      <c r="D61" s="194">
        <f t="shared" ref="D61:H61" si="5">SUM(D52:D60)</f>
        <v>2153</v>
      </c>
      <c r="E61" s="194">
        <f t="shared" si="5"/>
        <v>2429</v>
      </c>
      <c r="F61" s="194">
        <f t="shared" si="5"/>
        <v>2444</v>
      </c>
      <c r="G61" s="194">
        <f t="shared" si="5"/>
        <v>2461</v>
      </c>
      <c r="H61" s="194">
        <f t="shared" si="5"/>
        <v>4101</v>
      </c>
    </row>
    <row r="62" spans="2:8" ht="15" customHeight="1" thickBot="1" x14ac:dyDescent="0.4">
      <c r="B62" s="227" t="s">
        <v>270</v>
      </c>
      <c r="C62" s="228">
        <f t="shared" ref="C62:H62" si="6">C40+C49+C61</f>
        <v>5510</v>
      </c>
      <c r="D62" s="228">
        <f t="shared" si="6"/>
        <v>5786</v>
      </c>
      <c r="E62" s="228">
        <f t="shared" si="6"/>
        <v>6946</v>
      </c>
      <c r="F62" s="228">
        <f t="shared" si="6"/>
        <v>7421</v>
      </c>
      <c r="G62" s="228">
        <f t="shared" si="6"/>
        <v>8338</v>
      </c>
      <c r="H62" s="228">
        <f t="shared" si="6"/>
        <v>10075</v>
      </c>
    </row>
    <row r="63" spans="2:8" ht="15" customHeight="1" thickTop="1" x14ac:dyDescent="0.35"/>
    <row r="64" spans="2:8" x14ac:dyDescent="0.35">
      <c r="B64" s="120" t="s">
        <v>174</v>
      </c>
      <c r="C64" s="167">
        <f t="shared" ref="C64:H64" si="7">C32-C62</f>
        <v>0</v>
      </c>
      <c r="D64" s="167">
        <f t="shared" si="7"/>
        <v>0</v>
      </c>
      <c r="E64" s="167">
        <f t="shared" si="7"/>
        <v>0</v>
      </c>
      <c r="F64" s="167">
        <f t="shared" si="7"/>
        <v>0</v>
      </c>
      <c r="G64" s="167">
        <f t="shared" si="7"/>
        <v>0</v>
      </c>
      <c r="H64" s="167">
        <f t="shared" si="7"/>
        <v>0</v>
      </c>
    </row>
  </sheetData>
  <sheetProtection sheet="1" objects="1" scenarios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2874F-3E17-4180-81F1-FD96C3344543}">
  <sheetPr codeName="Sheet22"/>
  <dimension ref="B1:AB1004"/>
  <sheetViews>
    <sheetView showGridLines="0" zoomScale="94" workbookViewId="0">
      <pane xSplit="2" ySplit="3" topLeftCell="C4" activePane="bottomRight" state="frozen"/>
      <selection pane="topRight" activeCell="H37" sqref="H37"/>
      <selection pane="bottomLeft" activeCell="H37" sqref="H37"/>
      <selection pane="bottomRight" activeCell="J17" sqref="J17"/>
    </sheetView>
  </sheetViews>
  <sheetFormatPr defaultColWidth="8.7265625" defaultRowHeight="15" customHeight="1" x14ac:dyDescent="0.35"/>
  <cols>
    <col min="1" max="1" width="3.453125" style="17" customWidth="1"/>
    <col min="2" max="2" width="67.81640625" style="17" customWidth="1"/>
    <col min="3" max="8" width="14.54296875" style="17" customWidth="1"/>
    <col min="9" max="16384" width="8.7265625" style="17"/>
  </cols>
  <sheetData>
    <row r="1" spans="2:28" ht="30" customHeight="1" x14ac:dyDescent="0.35">
      <c r="B1" s="39" t="s">
        <v>175</v>
      </c>
    </row>
    <row r="3" spans="2:28" ht="15" customHeight="1" x14ac:dyDescent="0.35">
      <c r="B3" s="186" t="s">
        <v>49</v>
      </c>
      <c r="C3" s="187" t="s">
        <v>233</v>
      </c>
      <c r="D3" s="187" t="s">
        <v>234</v>
      </c>
      <c r="E3" s="187" t="s">
        <v>235</v>
      </c>
      <c r="F3" s="187" t="s">
        <v>236</v>
      </c>
      <c r="G3" s="187" t="s">
        <v>237</v>
      </c>
      <c r="H3" s="187" t="s">
        <v>238</v>
      </c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2:28" ht="15" customHeight="1" x14ac:dyDescent="0.35">
      <c r="B4" s="33" t="s">
        <v>271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2:28" ht="15" customHeight="1" x14ac:dyDescent="0.35">
      <c r="B5" s="30" t="s">
        <v>272</v>
      </c>
      <c r="C5" s="7">
        <v>1512</v>
      </c>
      <c r="D5" s="7">
        <v>1601</v>
      </c>
      <c r="E5" s="7">
        <v>1743</v>
      </c>
      <c r="F5" s="7">
        <v>1937</v>
      </c>
      <c r="G5" s="7">
        <v>2116</v>
      </c>
      <c r="H5" s="7">
        <v>2277</v>
      </c>
      <c r="I5" s="30"/>
      <c r="J5" s="30"/>
      <c r="K5" s="30"/>
      <c r="L5" s="38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</row>
    <row r="6" spans="2:28" ht="15" customHeight="1" x14ac:dyDescent="0.35">
      <c r="B6" s="30" t="s">
        <v>273</v>
      </c>
      <c r="C6" s="7">
        <v>139</v>
      </c>
      <c r="D6" s="7">
        <v>139</v>
      </c>
      <c r="E6" s="7">
        <v>155</v>
      </c>
      <c r="F6" s="7">
        <v>158</v>
      </c>
      <c r="G6" s="7">
        <v>178</v>
      </c>
      <c r="H6" s="7">
        <v>202</v>
      </c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</row>
    <row r="7" spans="2:28" ht="15" customHeight="1" x14ac:dyDescent="0.35">
      <c r="B7" s="30" t="s">
        <v>274</v>
      </c>
      <c r="C7" s="7">
        <v>34</v>
      </c>
      <c r="D7" s="7">
        <v>39</v>
      </c>
      <c r="E7" s="7">
        <v>56</v>
      </c>
      <c r="F7" s="7">
        <v>73</v>
      </c>
      <c r="G7" s="7">
        <v>53</v>
      </c>
      <c r="H7" s="7">
        <v>53</v>
      </c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</row>
    <row r="8" spans="2:28" ht="15" customHeight="1" x14ac:dyDescent="0.35">
      <c r="B8" s="30" t="s">
        <v>275</v>
      </c>
      <c r="C8" s="7">
        <v>-79</v>
      </c>
      <c r="D8" s="7">
        <v>-70</v>
      </c>
      <c r="E8" s="7">
        <v>-107</v>
      </c>
      <c r="F8" s="7">
        <v>-128</v>
      </c>
      <c r="G8" s="7">
        <v>-128</v>
      </c>
      <c r="H8" s="7">
        <v>-135</v>
      </c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</row>
    <row r="9" spans="2:28" ht="15" customHeight="1" x14ac:dyDescent="0.35">
      <c r="B9" s="103" t="s">
        <v>276</v>
      </c>
      <c r="C9" s="189">
        <f t="shared" ref="C9:H9" si="0">SUM(C5:C8)</f>
        <v>1606</v>
      </c>
      <c r="D9" s="189">
        <f t="shared" si="0"/>
        <v>1709</v>
      </c>
      <c r="E9" s="189">
        <f t="shared" si="0"/>
        <v>1847</v>
      </c>
      <c r="F9" s="189">
        <f t="shared" si="0"/>
        <v>2040</v>
      </c>
      <c r="G9" s="189">
        <f t="shared" si="0"/>
        <v>2219</v>
      </c>
      <c r="H9" s="189">
        <f t="shared" si="0"/>
        <v>2397</v>
      </c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</row>
    <row r="10" spans="2:28" ht="15" customHeight="1" x14ac:dyDescent="0.35">
      <c r="B10" s="30" t="s">
        <v>277</v>
      </c>
      <c r="C10" s="7">
        <v>675</v>
      </c>
      <c r="D10" s="7">
        <v>-342</v>
      </c>
      <c r="E10" s="7">
        <v>-59</v>
      </c>
      <c r="F10" s="7">
        <v>-226</v>
      </c>
      <c r="G10" s="7">
        <v>-293</v>
      </c>
      <c r="H10" s="7">
        <v>253</v>
      </c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spans="2:28" ht="15" customHeight="1" x14ac:dyDescent="0.35">
      <c r="B11" s="30" t="s">
        <v>278</v>
      </c>
      <c r="C11" s="7">
        <v>-285</v>
      </c>
      <c r="D11" s="7">
        <v>-351</v>
      </c>
      <c r="E11" s="7">
        <v>-369</v>
      </c>
      <c r="F11" s="7">
        <v>-378</v>
      </c>
      <c r="G11" s="7">
        <v>-484</v>
      </c>
      <c r="H11" s="7">
        <v>-565</v>
      </c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</row>
    <row r="12" spans="2:28" ht="15" customHeight="1" x14ac:dyDescent="0.35">
      <c r="B12" s="30" t="s">
        <v>279</v>
      </c>
      <c r="C12" s="7">
        <v>0</v>
      </c>
      <c r="D12" s="7">
        <v>0</v>
      </c>
      <c r="E12" s="7">
        <v>0</v>
      </c>
      <c r="F12" s="7">
        <v>0</v>
      </c>
      <c r="G12" s="7">
        <v>-79</v>
      </c>
      <c r="H12" s="7">
        <v>-1</v>
      </c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</row>
    <row r="13" spans="2:28" ht="15" customHeight="1" x14ac:dyDescent="0.35">
      <c r="B13" s="231" t="s">
        <v>280</v>
      </c>
      <c r="C13" s="232">
        <f t="shared" ref="C13:H13" si="1">SUM(C9:C12)</f>
        <v>1996</v>
      </c>
      <c r="D13" s="232">
        <f t="shared" si="1"/>
        <v>1016</v>
      </c>
      <c r="E13" s="232">
        <f t="shared" si="1"/>
        <v>1419</v>
      </c>
      <c r="F13" s="232">
        <f t="shared" si="1"/>
        <v>1436</v>
      </c>
      <c r="G13" s="232">
        <f t="shared" si="1"/>
        <v>1363</v>
      </c>
      <c r="H13" s="232">
        <f t="shared" si="1"/>
        <v>2084</v>
      </c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</row>
    <row r="14" spans="2:28" ht="15" customHeight="1" x14ac:dyDescent="0.35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spans="2:28" ht="15" customHeight="1" x14ac:dyDescent="0.35">
      <c r="B15" s="33" t="s">
        <v>281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</row>
    <row r="16" spans="2:28" ht="15" customHeight="1" x14ac:dyDescent="0.35">
      <c r="B16" s="30" t="s">
        <v>282</v>
      </c>
      <c r="C16" s="7">
        <v>-142</v>
      </c>
      <c r="D16" s="7">
        <v>-132</v>
      </c>
      <c r="E16" s="7">
        <v>-182</v>
      </c>
      <c r="F16" s="7">
        <v>-153</v>
      </c>
      <c r="G16" s="7">
        <v>-161</v>
      </c>
      <c r="H16" s="7">
        <v>-319</v>
      </c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spans="2:28" ht="15" customHeight="1" x14ac:dyDescent="0.35">
      <c r="B17" s="30" t="s">
        <v>283</v>
      </c>
      <c r="C17" s="7">
        <v>-132</v>
      </c>
      <c r="D17" s="7">
        <v>-55</v>
      </c>
      <c r="E17" s="7">
        <v>-277</v>
      </c>
      <c r="F17" s="7">
        <v>-103</v>
      </c>
      <c r="G17" s="7">
        <v>0</v>
      </c>
      <c r="H17" s="7">
        <v>-452</v>
      </c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spans="2:28" ht="15" customHeight="1" x14ac:dyDescent="0.35">
      <c r="B18" s="30" t="s">
        <v>284</v>
      </c>
      <c r="C18" s="7">
        <v>5</v>
      </c>
      <c r="D18" s="7">
        <v>3</v>
      </c>
      <c r="E18" s="7">
        <v>25</v>
      </c>
      <c r="F18" s="7">
        <v>18</v>
      </c>
      <c r="G18" s="7">
        <v>39</v>
      </c>
      <c r="H18" s="7">
        <v>7</v>
      </c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</row>
    <row r="19" spans="2:28" ht="15" customHeight="1" x14ac:dyDescent="0.35">
      <c r="B19" s="30" t="s">
        <v>285</v>
      </c>
      <c r="C19" s="7">
        <v>-669</v>
      </c>
      <c r="D19" s="7">
        <v>612</v>
      </c>
      <c r="E19" s="7">
        <v>-431</v>
      </c>
      <c r="F19" s="7">
        <v>414</v>
      </c>
      <c r="G19" s="7">
        <v>-499</v>
      </c>
      <c r="H19" s="7">
        <v>42</v>
      </c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</row>
    <row r="20" spans="2:28" s="34" customFormat="1" ht="15" customHeight="1" x14ac:dyDescent="0.35">
      <c r="B20" s="231" t="s">
        <v>286</v>
      </c>
      <c r="C20" s="233">
        <f t="shared" ref="C20:H20" si="2">SUM(C16:C19)</f>
        <v>-938</v>
      </c>
      <c r="D20" s="233">
        <f t="shared" si="2"/>
        <v>428</v>
      </c>
      <c r="E20" s="233">
        <f t="shared" si="2"/>
        <v>-865</v>
      </c>
      <c r="F20" s="233">
        <f t="shared" si="2"/>
        <v>176</v>
      </c>
      <c r="G20" s="233">
        <f t="shared" si="2"/>
        <v>-621</v>
      </c>
      <c r="H20" s="233">
        <f t="shared" si="2"/>
        <v>-722</v>
      </c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</row>
    <row r="21" spans="2:28" ht="15" customHeight="1" x14ac:dyDescent="0.35"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</row>
    <row r="22" spans="2:28" ht="15" customHeight="1" x14ac:dyDescent="0.35">
      <c r="B22" s="33" t="s">
        <v>287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</row>
    <row r="23" spans="2:28" ht="15" customHeight="1" x14ac:dyDescent="0.35">
      <c r="B23" s="30" t="s">
        <v>288</v>
      </c>
      <c r="C23" s="7">
        <v>13</v>
      </c>
      <c r="D23" s="7">
        <v>-3</v>
      </c>
      <c r="E23" s="7">
        <v>-3</v>
      </c>
      <c r="F23" s="7">
        <v>-91</v>
      </c>
      <c r="G23" s="7">
        <v>-5</v>
      </c>
      <c r="H23" s="7">
        <v>-24</v>
      </c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</row>
    <row r="24" spans="2:28" ht="15" customHeight="1" x14ac:dyDescent="0.35">
      <c r="B24" s="30" t="s">
        <v>289</v>
      </c>
      <c r="C24" s="7">
        <v>-57</v>
      </c>
      <c r="D24" s="7">
        <v>-75</v>
      </c>
      <c r="E24" s="7">
        <v>-52</v>
      </c>
      <c r="F24" s="7">
        <v>-63</v>
      </c>
      <c r="G24" s="7">
        <v>-57</v>
      </c>
      <c r="H24" s="7">
        <v>-97</v>
      </c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</row>
    <row r="25" spans="2:28" ht="15" customHeight="1" x14ac:dyDescent="0.35">
      <c r="B25" s="30" t="s">
        <v>290</v>
      </c>
      <c r="C25" s="7">
        <v>-21</v>
      </c>
      <c r="D25" s="7">
        <v>-28</v>
      </c>
      <c r="E25" s="7">
        <v>-42</v>
      </c>
      <c r="F25" s="7">
        <v>-54</v>
      </c>
      <c r="G25" s="7">
        <v>-51</v>
      </c>
      <c r="H25" s="7">
        <v>-37</v>
      </c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spans="2:28" ht="15" customHeight="1" x14ac:dyDescent="0.35">
      <c r="B26" s="30" t="s">
        <v>291</v>
      </c>
      <c r="C26" s="7">
        <v>-968</v>
      </c>
      <c r="D26" s="7">
        <v>-1195</v>
      </c>
      <c r="E26" s="7">
        <v>-582</v>
      </c>
      <c r="F26" s="7">
        <v>-1229</v>
      </c>
      <c r="G26" s="7">
        <v>-453</v>
      </c>
      <c r="H26" s="7">
        <v>-908</v>
      </c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</row>
    <row r="27" spans="2:28" ht="15" customHeight="1" x14ac:dyDescent="0.35">
      <c r="B27" s="30" t="s">
        <v>104</v>
      </c>
      <c r="C27" s="7">
        <v>-26</v>
      </c>
      <c r="D27" s="7">
        <v>-25</v>
      </c>
      <c r="E27" s="7">
        <v>-46</v>
      </c>
      <c r="F27" s="7">
        <v>-42</v>
      </c>
      <c r="G27" s="7">
        <v>-51</v>
      </c>
      <c r="H27" s="7">
        <v>-37</v>
      </c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</row>
    <row r="28" spans="2:28" ht="15" customHeight="1" x14ac:dyDescent="0.35">
      <c r="B28" s="30" t="s">
        <v>292</v>
      </c>
      <c r="C28" s="7">
        <v>1</v>
      </c>
      <c r="D28" s="7">
        <v>36</v>
      </c>
      <c r="E28" s="7">
        <v>165</v>
      </c>
      <c r="F28" s="7">
        <v>-63</v>
      </c>
      <c r="G28" s="7">
        <v>-32</v>
      </c>
      <c r="H28" s="7">
        <v>-176</v>
      </c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spans="2:28" s="34" customFormat="1" ht="15" customHeight="1" x14ac:dyDescent="0.35">
      <c r="B29" s="231" t="s">
        <v>293</v>
      </c>
      <c r="C29" s="234">
        <f t="shared" ref="C29:H29" si="3">SUM(C23:C28)</f>
        <v>-1058</v>
      </c>
      <c r="D29" s="234">
        <f t="shared" si="3"/>
        <v>-1290</v>
      </c>
      <c r="E29" s="234">
        <f t="shared" si="3"/>
        <v>-560</v>
      </c>
      <c r="F29" s="234">
        <f t="shared" si="3"/>
        <v>-1542</v>
      </c>
      <c r="G29" s="234">
        <f t="shared" si="3"/>
        <v>-649</v>
      </c>
      <c r="H29" s="234">
        <f t="shared" si="3"/>
        <v>-1279</v>
      </c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</row>
    <row r="30" spans="2:28" s="34" customFormat="1" ht="15" customHeight="1" x14ac:dyDescent="0.35">
      <c r="B30" s="32" t="s">
        <v>193</v>
      </c>
      <c r="C30" s="62">
        <v>5</v>
      </c>
      <c r="D30" s="62">
        <v>2</v>
      </c>
      <c r="E30" s="62">
        <v>-63</v>
      </c>
      <c r="F30" s="62">
        <v>-49</v>
      </c>
      <c r="G30" s="62">
        <v>0</v>
      </c>
      <c r="H30" s="62">
        <v>0</v>
      </c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</row>
    <row r="31" spans="2:28" ht="15" customHeight="1" x14ac:dyDescent="0.35">
      <c r="B31" s="188" t="s">
        <v>294</v>
      </c>
      <c r="C31" s="188">
        <f>C13+C20+C29+C30</f>
        <v>5</v>
      </c>
      <c r="D31" s="188">
        <f>SUM(D13,D20,D29,D30)</f>
        <v>156</v>
      </c>
      <c r="E31" s="188">
        <f>SUM(E13,E20,E29,E30)</f>
        <v>-69</v>
      </c>
      <c r="F31" s="188">
        <f>SUM(F13,F20,F29,F30)</f>
        <v>21</v>
      </c>
      <c r="G31" s="188">
        <f>SUM(G13,G20,G29,G30)</f>
        <v>93</v>
      </c>
      <c r="H31" s="188">
        <f>SUM(H13,H20,H29,H30)</f>
        <v>83</v>
      </c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spans="2:28" ht="15" customHeight="1" x14ac:dyDescent="0.35">
      <c r="B32" s="31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spans="2:28" ht="15" customHeight="1" x14ac:dyDescent="0.35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spans="2:28" ht="15" customHeight="1" x14ac:dyDescent="0.35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spans="2:28" ht="15" customHeight="1" x14ac:dyDescent="0.35"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spans="2:28" ht="15" customHeight="1" x14ac:dyDescent="0.35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spans="2:28" ht="15" customHeight="1" x14ac:dyDescent="0.35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spans="2:28" ht="15" customHeight="1" x14ac:dyDescent="0.35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spans="2:28" ht="15" customHeight="1" x14ac:dyDescent="0.35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spans="2:28" ht="15" customHeight="1" x14ac:dyDescent="0.35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spans="2:28" ht="15" customHeight="1" x14ac:dyDescent="0.35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spans="2:28" ht="15" customHeight="1" x14ac:dyDescent="0.35"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spans="2:28" ht="15" customHeight="1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spans="2:28" ht="15" customHeight="1" x14ac:dyDescent="0.35"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spans="2:28" ht="15" customHeight="1" x14ac:dyDescent="0.35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spans="2:28" ht="15" customHeight="1" x14ac:dyDescent="0.35"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spans="2:28" ht="15" customHeight="1" x14ac:dyDescent="0.35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spans="2:28" ht="15" customHeight="1" x14ac:dyDescent="0.35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spans="2:28" ht="15" customHeight="1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spans="2:28" ht="15" customHeight="1" x14ac:dyDescent="0.35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spans="2:28" ht="15" customHeight="1" x14ac:dyDescent="0.35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spans="2:28" ht="15" customHeight="1" x14ac:dyDescent="0.35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spans="2:28" ht="15" customHeight="1" x14ac:dyDescent="0.35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spans="2:28" ht="15" customHeight="1" x14ac:dyDescent="0.35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spans="2:28" ht="15" customHeight="1" x14ac:dyDescent="0.35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2:28" ht="15" customHeight="1" x14ac:dyDescent="0.35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spans="2:28" ht="15" customHeight="1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2:28" ht="15" customHeight="1" x14ac:dyDescent="0.35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spans="2:28" ht="15" customHeight="1" x14ac:dyDescent="0.35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spans="2:28" ht="15" customHeight="1" x14ac:dyDescent="0.35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</row>
    <row r="61" spans="2:28" ht="15" customHeight="1" x14ac:dyDescent="0.35"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</row>
    <row r="62" spans="2:28" ht="15" customHeight="1" x14ac:dyDescent="0.35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</row>
    <row r="63" spans="2:28" ht="15" customHeight="1" x14ac:dyDescent="0.35"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spans="2:28" ht="15" customHeight="1" x14ac:dyDescent="0.35"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spans="2:28" ht="15" customHeight="1" x14ac:dyDescent="0.35"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spans="2:28" ht="15" customHeight="1" x14ac:dyDescent="0.35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</row>
    <row r="67" spans="2:28" ht="15" customHeight="1" x14ac:dyDescent="0.35"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</row>
    <row r="68" spans="2:28" ht="15" customHeight="1" x14ac:dyDescent="0.35"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</row>
    <row r="69" spans="2:28" ht="15" customHeight="1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</row>
    <row r="70" spans="2:28" ht="15" customHeight="1" x14ac:dyDescent="0.35"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</row>
    <row r="71" spans="2:28" ht="15" customHeight="1" x14ac:dyDescent="0.35"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</row>
    <row r="72" spans="2:28" ht="15" customHeight="1" x14ac:dyDescent="0.35"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</row>
    <row r="73" spans="2:28" ht="15" customHeight="1" x14ac:dyDescent="0.35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</row>
    <row r="74" spans="2:28" ht="15" customHeight="1" x14ac:dyDescent="0.35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</row>
    <row r="75" spans="2:28" ht="15" customHeight="1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</row>
    <row r="76" spans="2:28" ht="15" customHeight="1" x14ac:dyDescent="0.35"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</row>
    <row r="77" spans="2:28" ht="15" customHeight="1" x14ac:dyDescent="0.35"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</row>
    <row r="78" spans="2:28" ht="15" customHeight="1" x14ac:dyDescent="0.35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</row>
    <row r="79" spans="2:28" ht="15" customHeight="1" x14ac:dyDescent="0.35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</row>
    <row r="80" spans="2:28" ht="15" customHeight="1" x14ac:dyDescent="0.35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</row>
    <row r="81" spans="2:28" ht="15" customHeight="1" x14ac:dyDescent="0.35"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</row>
    <row r="82" spans="2:28" ht="15" customHeight="1" x14ac:dyDescent="0.35"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</row>
    <row r="83" spans="2:28" ht="15" customHeight="1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</row>
    <row r="84" spans="2:28" ht="15" customHeight="1" x14ac:dyDescent="0.35"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</row>
    <row r="85" spans="2:28" ht="15" customHeight="1" x14ac:dyDescent="0.35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</row>
    <row r="86" spans="2:28" ht="15" customHeight="1" x14ac:dyDescent="0.35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</row>
    <row r="87" spans="2:28" ht="15" customHeight="1" x14ac:dyDescent="0.35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</row>
    <row r="88" spans="2:28" ht="15" customHeight="1" x14ac:dyDescent="0.35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</row>
    <row r="89" spans="2:28" ht="15" customHeight="1" x14ac:dyDescent="0.35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</row>
    <row r="90" spans="2:28" ht="15" customHeight="1" x14ac:dyDescent="0.35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</row>
    <row r="91" spans="2:28" ht="15" customHeight="1" x14ac:dyDescent="0.35"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</row>
    <row r="92" spans="2:28" ht="15" customHeight="1" x14ac:dyDescent="0.35"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</row>
    <row r="93" spans="2:28" ht="15" customHeight="1" x14ac:dyDescent="0.35"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</row>
    <row r="94" spans="2:28" ht="15" customHeight="1" x14ac:dyDescent="0.35"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</row>
    <row r="95" spans="2:28" ht="15" customHeight="1" x14ac:dyDescent="0.35"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</row>
    <row r="96" spans="2:28" ht="15" customHeight="1" x14ac:dyDescent="0.35"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</row>
    <row r="97" spans="2:28" ht="15" customHeight="1" x14ac:dyDescent="0.35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</row>
    <row r="98" spans="2:28" ht="15" customHeight="1" x14ac:dyDescent="0.35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</row>
    <row r="99" spans="2:28" ht="15" customHeight="1" x14ac:dyDescent="0.35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</row>
    <row r="100" spans="2:28" ht="15" customHeight="1" x14ac:dyDescent="0.35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</row>
    <row r="101" spans="2:28" ht="15" customHeight="1" x14ac:dyDescent="0.35"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</row>
    <row r="102" spans="2:28" ht="15" customHeight="1" x14ac:dyDescent="0.35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</row>
    <row r="103" spans="2:28" ht="15" customHeight="1" x14ac:dyDescent="0.35"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</row>
    <row r="104" spans="2:28" ht="15" customHeight="1" x14ac:dyDescent="0.35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</row>
    <row r="105" spans="2:28" ht="15" customHeight="1" x14ac:dyDescent="0.35"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</row>
    <row r="106" spans="2:28" ht="15" customHeight="1" x14ac:dyDescent="0.35"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</row>
    <row r="107" spans="2:28" ht="15" customHeight="1" x14ac:dyDescent="0.35"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spans="2:28" ht="15" customHeight="1" x14ac:dyDescent="0.35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</row>
    <row r="109" spans="2:28" ht="15" customHeight="1" x14ac:dyDescent="0.35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</row>
    <row r="110" spans="2:28" ht="15" customHeight="1" x14ac:dyDescent="0.35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</row>
    <row r="111" spans="2:28" ht="15" customHeight="1" x14ac:dyDescent="0.35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</row>
    <row r="112" spans="2:28" ht="15" customHeight="1" x14ac:dyDescent="0.35"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</row>
    <row r="113" spans="2:28" ht="15" customHeight="1" x14ac:dyDescent="0.35"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</row>
    <row r="114" spans="2:28" ht="15" customHeight="1" x14ac:dyDescent="0.35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</row>
    <row r="115" spans="2:28" ht="15" customHeight="1" x14ac:dyDescent="0.35"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</row>
    <row r="116" spans="2:28" ht="15" customHeight="1" x14ac:dyDescent="0.35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spans="2:28" ht="15" customHeight="1" x14ac:dyDescent="0.35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</row>
    <row r="118" spans="2:28" ht="15" customHeight="1" x14ac:dyDescent="0.35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spans="2:28" ht="15" customHeight="1" x14ac:dyDescent="0.35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</row>
    <row r="120" spans="2:28" ht="15" customHeight="1" x14ac:dyDescent="0.35"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</row>
    <row r="121" spans="2:28" ht="15" customHeight="1" x14ac:dyDescent="0.35"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</row>
    <row r="122" spans="2:28" ht="15" customHeight="1" x14ac:dyDescent="0.35"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</row>
    <row r="123" spans="2:28" ht="15" customHeight="1" x14ac:dyDescent="0.35"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</row>
    <row r="124" spans="2:28" ht="15" customHeight="1" x14ac:dyDescent="0.35"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</row>
    <row r="125" spans="2:28" ht="15" customHeight="1" x14ac:dyDescent="0.35"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spans="2:28" ht="15" customHeight="1" x14ac:dyDescent="0.35"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</row>
    <row r="127" spans="2:28" ht="15" customHeight="1" x14ac:dyDescent="0.35"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</row>
    <row r="128" spans="2:28" ht="15" customHeight="1" x14ac:dyDescent="0.35"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</row>
    <row r="129" spans="2:28" ht="15" customHeight="1" x14ac:dyDescent="0.35"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</row>
    <row r="130" spans="2:28" ht="15" customHeight="1" x14ac:dyDescent="0.35"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</row>
    <row r="131" spans="2:28" ht="15" customHeight="1" x14ac:dyDescent="0.35"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</row>
    <row r="132" spans="2:28" ht="15" customHeight="1" x14ac:dyDescent="0.35"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</row>
    <row r="133" spans="2:28" ht="15" customHeight="1" x14ac:dyDescent="0.35"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</row>
    <row r="134" spans="2:28" ht="15" customHeight="1" x14ac:dyDescent="0.35"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spans="2:28" ht="15" customHeight="1" x14ac:dyDescent="0.35"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</row>
    <row r="136" spans="2:28" ht="15" customHeight="1" x14ac:dyDescent="0.35"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</row>
    <row r="137" spans="2:28" ht="15" customHeight="1" x14ac:dyDescent="0.35"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</row>
    <row r="138" spans="2:28" ht="15" customHeight="1" x14ac:dyDescent="0.35"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</row>
    <row r="139" spans="2:28" ht="15" customHeight="1" x14ac:dyDescent="0.35"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</row>
    <row r="140" spans="2:28" ht="15" customHeight="1" x14ac:dyDescent="0.35"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</row>
    <row r="141" spans="2:28" ht="15" customHeight="1" x14ac:dyDescent="0.35"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</row>
    <row r="142" spans="2:28" ht="15" customHeight="1" x14ac:dyDescent="0.35"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</row>
    <row r="143" spans="2:28" ht="15" customHeight="1" x14ac:dyDescent="0.35"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spans="2:28" ht="15" customHeight="1" x14ac:dyDescent="0.35"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</row>
    <row r="145" spans="2:28" ht="15" customHeight="1" x14ac:dyDescent="0.35"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</row>
    <row r="146" spans="2:28" ht="15" customHeight="1" x14ac:dyDescent="0.35"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</row>
    <row r="147" spans="2:28" ht="15" customHeight="1" x14ac:dyDescent="0.35"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</row>
    <row r="148" spans="2:28" ht="15" customHeight="1" x14ac:dyDescent="0.35"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spans="2:28" ht="15" customHeight="1" x14ac:dyDescent="0.35"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spans="2:28" ht="15" customHeight="1" x14ac:dyDescent="0.35"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spans="2:28" ht="15" customHeight="1" x14ac:dyDescent="0.35"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</row>
    <row r="152" spans="2:28" ht="15" customHeight="1" x14ac:dyDescent="0.35"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</row>
    <row r="153" spans="2:28" ht="15" customHeight="1" x14ac:dyDescent="0.35"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</row>
    <row r="154" spans="2:28" ht="15" customHeight="1" x14ac:dyDescent="0.35"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</row>
    <row r="155" spans="2:28" ht="15" customHeight="1" x14ac:dyDescent="0.35"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</row>
    <row r="156" spans="2:28" ht="15" customHeight="1" x14ac:dyDescent="0.35"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</row>
    <row r="157" spans="2:28" ht="15" customHeight="1" x14ac:dyDescent="0.35"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</row>
    <row r="158" spans="2:28" ht="15" customHeight="1" x14ac:dyDescent="0.35"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</row>
    <row r="159" spans="2:28" ht="15" customHeight="1" x14ac:dyDescent="0.35"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</row>
    <row r="160" spans="2:28" ht="15" customHeight="1" x14ac:dyDescent="0.35"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</row>
    <row r="161" spans="2:28" ht="15" customHeight="1" x14ac:dyDescent="0.35"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</row>
    <row r="162" spans="2:28" ht="15" customHeight="1" x14ac:dyDescent="0.35"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</row>
    <row r="163" spans="2:28" ht="15" customHeight="1" x14ac:dyDescent="0.35"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</row>
    <row r="164" spans="2:28" ht="15" customHeight="1" x14ac:dyDescent="0.35"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</row>
    <row r="165" spans="2:28" ht="15" customHeight="1" x14ac:dyDescent="0.35"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</row>
    <row r="166" spans="2:28" ht="15" customHeight="1" x14ac:dyDescent="0.35"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</row>
    <row r="167" spans="2:28" ht="15" customHeight="1" x14ac:dyDescent="0.35"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</row>
    <row r="168" spans="2:28" ht="15" customHeight="1" x14ac:dyDescent="0.35"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</row>
    <row r="169" spans="2:28" ht="15" customHeight="1" x14ac:dyDescent="0.35"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</row>
    <row r="170" spans="2:28" ht="15" customHeight="1" x14ac:dyDescent="0.35"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</row>
    <row r="171" spans="2:28" ht="15" customHeight="1" x14ac:dyDescent="0.35"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</row>
    <row r="172" spans="2:28" ht="15" customHeight="1" x14ac:dyDescent="0.35"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</row>
    <row r="173" spans="2:28" ht="15" customHeight="1" x14ac:dyDescent="0.35"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</row>
    <row r="174" spans="2:28" ht="15" customHeight="1" x14ac:dyDescent="0.35"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</row>
    <row r="175" spans="2:28" ht="15" customHeight="1" x14ac:dyDescent="0.35"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</row>
    <row r="176" spans="2:28" ht="15" customHeight="1" x14ac:dyDescent="0.35"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</row>
    <row r="177" spans="2:28" ht="15" customHeight="1" x14ac:dyDescent="0.35"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</row>
    <row r="178" spans="2:28" ht="15" customHeight="1" x14ac:dyDescent="0.35"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</row>
    <row r="179" spans="2:28" ht="15" customHeight="1" x14ac:dyDescent="0.35"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</row>
    <row r="180" spans="2:28" ht="15" customHeight="1" x14ac:dyDescent="0.35"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</row>
    <row r="181" spans="2:28" ht="15" customHeight="1" x14ac:dyDescent="0.35"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</row>
    <row r="182" spans="2:28" ht="15" customHeight="1" x14ac:dyDescent="0.35"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</row>
    <row r="183" spans="2:28" ht="15" customHeight="1" x14ac:dyDescent="0.35"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</row>
    <row r="184" spans="2:28" ht="15" customHeight="1" x14ac:dyDescent="0.35"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</row>
    <row r="185" spans="2:28" ht="15" customHeight="1" x14ac:dyDescent="0.35"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</row>
    <row r="186" spans="2:28" ht="15" customHeight="1" x14ac:dyDescent="0.35"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</row>
    <row r="187" spans="2:28" ht="15" customHeight="1" x14ac:dyDescent="0.35"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</row>
    <row r="188" spans="2:28" ht="15" customHeight="1" x14ac:dyDescent="0.35"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</row>
    <row r="189" spans="2:28" ht="15" customHeight="1" x14ac:dyDescent="0.35"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</row>
    <row r="190" spans="2:28" ht="15" customHeight="1" x14ac:dyDescent="0.35"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</row>
    <row r="191" spans="2:28" ht="15" customHeight="1" x14ac:dyDescent="0.35"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</row>
    <row r="192" spans="2:28" ht="15" customHeight="1" x14ac:dyDescent="0.35"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</row>
    <row r="193" spans="2:28" ht="15" customHeight="1" x14ac:dyDescent="0.35"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</row>
    <row r="194" spans="2:28" ht="15" customHeight="1" x14ac:dyDescent="0.35"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</row>
    <row r="195" spans="2:28" ht="15" customHeight="1" x14ac:dyDescent="0.35"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</row>
    <row r="196" spans="2:28" ht="15" customHeight="1" x14ac:dyDescent="0.35"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</row>
    <row r="197" spans="2:28" ht="15" customHeight="1" x14ac:dyDescent="0.35"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</row>
    <row r="198" spans="2:28" ht="15" customHeight="1" x14ac:dyDescent="0.35"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</row>
    <row r="199" spans="2:28" ht="15" customHeight="1" x14ac:dyDescent="0.35"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</row>
    <row r="200" spans="2:28" ht="15" customHeight="1" x14ac:dyDescent="0.35"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</row>
    <row r="201" spans="2:28" ht="15" customHeight="1" x14ac:dyDescent="0.35"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</row>
    <row r="202" spans="2:28" ht="15" customHeight="1" x14ac:dyDescent="0.35"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</row>
    <row r="203" spans="2:28" ht="15" customHeight="1" x14ac:dyDescent="0.35"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</row>
    <row r="204" spans="2:28" ht="15" customHeight="1" x14ac:dyDescent="0.35"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</row>
    <row r="205" spans="2:28" ht="15" customHeight="1" x14ac:dyDescent="0.35"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</row>
    <row r="206" spans="2:28" ht="15" customHeight="1" x14ac:dyDescent="0.35"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</row>
    <row r="207" spans="2:28" ht="15" customHeight="1" x14ac:dyDescent="0.35"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</row>
    <row r="208" spans="2:28" ht="15" customHeight="1" x14ac:dyDescent="0.35"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</row>
    <row r="209" spans="2:28" ht="15" customHeight="1" x14ac:dyDescent="0.35"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</row>
    <row r="210" spans="2:28" ht="15" customHeight="1" x14ac:dyDescent="0.35"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</row>
    <row r="211" spans="2:28" ht="15" customHeight="1" x14ac:dyDescent="0.35"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</row>
    <row r="212" spans="2:28" ht="15" customHeight="1" x14ac:dyDescent="0.35"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</row>
    <row r="213" spans="2:28" ht="15" customHeight="1" x14ac:dyDescent="0.35"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</row>
    <row r="214" spans="2:28" ht="15" customHeight="1" x14ac:dyDescent="0.35"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</row>
    <row r="215" spans="2:28" ht="15" customHeight="1" x14ac:dyDescent="0.35"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</row>
    <row r="216" spans="2:28" ht="15" customHeight="1" x14ac:dyDescent="0.35"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</row>
    <row r="217" spans="2:28" ht="15" customHeight="1" x14ac:dyDescent="0.35"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</row>
    <row r="218" spans="2:28" ht="15" customHeight="1" x14ac:dyDescent="0.35"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</row>
    <row r="219" spans="2:28" ht="15" customHeight="1" x14ac:dyDescent="0.35"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</row>
    <row r="220" spans="2:28" ht="15" customHeight="1" x14ac:dyDescent="0.35"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</row>
    <row r="221" spans="2:28" ht="15" customHeight="1" x14ac:dyDescent="0.35"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</row>
    <row r="222" spans="2:28" ht="15" customHeight="1" x14ac:dyDescent="0.35"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</row>
    <row r="223" spans="2:28" ht="15" customHeight="1" x14ac:dyDescent="0.35"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</row>
    <row r="224" spans="2:28" ht="15" customHeight="1" x14ac:dyDescent="0.35"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</row>
    <row r="225" spans="2:28" ht="15" customHeight="1" x14ac:dyDescent="0.35"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</row>
    <row r="226" spans="2:28" ht="15" customHeight="1" x14ac:dyDescent="0.35"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</row>
    <row r="227" spans="2:28" ht="15" customHeight="1" x14ac:dyDescent="0.35"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</row>
    <row r="228" spans="2:28" ht="15" customHeight="1" x14ac:dyDescent="0.35"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</row>
    <row r="229" spans="2:28" ht="15" customHeight="1" x14ac:dyDescent="0.35"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</row>
    <row r="230" spans="2:28" ht="15" customHeight="1" x14ac:dyDescent="0.35"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</row>
    <row r="231" spans="2:28" ht="15" customHeight="1" x14ac:dyDescent="0.35"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</row>
    <row r="232" spans="2:28" ht="15" customHeight="1" x14ac:dyDescent="0.35"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</row>
    <row r="233" spans="2:28" ht="15" customHeight="1" x14ac:dyDescent="0.35"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</row>
    <row r="234" spans="2:28" ht="15" customHeight="1" x14ac:dyDescent="0.35"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</row>
    <row r="235" spans="2:28" ht="15" customHeight="1" x14ac:dyDescent="0.35"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</row>
    <row r="236" spans="2:28" ht="15" customHeight="1" x14ac:dyDescent="0.35"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</row>
    <row r="237" spans="2:28" ht="15" customHeight="1" x14ac:dyDescent="0.35"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</row>
    <row r="238" spans="2:28" ht="15" customHeight="1" x14ac:dyDescent="0.35"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</row>
    <row r="239" spans="2:28" ht="15" customHeight="1" x14ac:dyDescent="0.35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</row>
    <row r="240" spans="2:28" ht="15" customHeight="1" x14ac:dyDescent="0.35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</row>
    <row r="241" spans="2:28" ht="15" customHeight="1" x14ac:dyDescent="0.35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</row>
    <row r="242" spans="2:28" ht="15" customHeight="1" x14ac:dyDescent="0.35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</row>
    <row r="243" spans="2:28" ht="15" customHeight="1" x14ac:dyDescent="0.35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</row>
    <row r="244" spans="2:28" ht="15" customHeight="1" x14ac:dyDescent="0.35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</row>
    <row r="245" spans="2:28" ht="15" customHeight="1" x14ac:dyDescent="0.35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</row>
    <row r="246" spans="2:28" ht="15" customHeight="1" x14ac:dyDescent="0.35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</row>
    <row r="247" spans="2:28" ht="15" customHeight="1" x14ac:dyDescent="0.35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</row>
    <row r="248" spans="2:28" ht="15" customHeight="1" x14ac:dyDescent="0.35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</row>
    <row r="249" spans="2:28" ht="15" customHeight="1" x14ac:dyDescent="0.35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</row>
    <row r="250" spans="2:28" ht="15" customHeight="1" x14ac:dyDescent="0.35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</row>
    <row r="251" spans="2:28" ht="15" customHeight="1" x14ac:dyDescent="0.35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</row>
    <row r="252" spans="2:28" ht="15" customHeight="1" x14ac:dyDescent="0.35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</row>
    <row r="253" spans="2:28" ht="15" customHeight="1" x14ac:dyDescent="0.35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</row>
    <row r="254" spans="2:28" ht="15" customHeight="1" x14ac:dyDescent="0.35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</row>
    <row r="255" spans="2:28" ht="15" customHeight="1" x14ac:dyDescent="0.35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</row>
    <row r="256" spans="2:28" ht="15" customHeight="1" x14ac:dyDescent="0.35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</row>
    <row r="257" spans="2:28" ht="15" customHeight="1" x14ac:dyDescent="0.35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</row>
    <row r="258" spans="2:28" ht="15" customHeight="1" x14ac:dyDescent="0.35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</row>
    <row r="259" spans="2:28" ht="15" customHeight="1" x14ac:dyDescent="0.35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</row>
    <row r="260" spans="2:28" ht="15" customHeight="1" x14ac:dyDescent="0.35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</row>
    <row r="261" spans="2:28" ht="15" customHeight="1" x14ac:dyDescent="0.35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</row>
    <row r="262" spans="2:28" ht="15" customHeight="1" x14ac:dyDescent="0.35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</row>
    <row r="263" spans="2:28" ht="15" customHeight="1" x14ac:dyDescent="0.35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</row>
    <row r="264" spans="2:28" ht="15" customHeight="1" x14ac:dyDescent="0.35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</row>
    <row r="265" spans="2:28" ht="15" customHeight="1" x14ac:dyDescent="0.35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</row>
    <row r="266" spans="2:28" ht="15" customHeight="1" x14ac:dyDescent="0.35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</row>
    <row r="267" spans="2:28" ht="15" customHeight="1" x14ac:dyDescent="0.35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</row>
    <row r="268" spans="2:28" ht="15" customHeight="1" x14ac:dyDescent="0.35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</row>
    <row r="269" spans="2:28" ht="15" customHeight="1" x14ac:dyDescent="0.35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</row>
    <row r="270" spans="2:28" ht="15" customHeight="1" x14ac:dyDescent="0.35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</row>
    <row r="271" spans="2:28" ht="15" customHeight="1" x14ac:dyDescent="0.35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</row>
    <row r="272" spans="2:28" ht="15" customHeight="1" x14ac:dyDescent="0.35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</row>
    <row r="273" spans="2:28" ht="15" customHeight="1" x14ac:dyDescent="0.35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</row>
    <row r="274" spans="2:28" ht="15" customHeight="1" x14ac:dyDescent="0.35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</row>
    <row r="275" spans="2:28" ht="15" customHeight="1" x14ac:dyDescent="0.35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</row>
    <row r="276" spans="2:28" ht="15" customHeight="1" x14ac:dyDescent="0.35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</row>
    <row r="277" spans="2:28" ht="15" customHeight="1" x14ac:dyDescent="0.35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</row>
    <row r="278" spans="2:28" ht="15" customHeight="1" x14ac:dyDescent="0.35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</row>
    <row r="279" spans="2:28" ht="15" customHeight="1" x14ac:dyDescent="0.35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</row>
    <row r="280" spans="2:28" ht="15" customHeight="1" x14ac:dyDescent="0.35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</row>
    <row r="281" spans="2:28" ht="15" customHeight="1" x14ac:dyDescent="0.35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</row>
    <row r="282" spans="2:28" ht="15" customHeight="1" x14ac:dyDescent="0.35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</row>
    <row r="283" spans="2:28" ht="15" customHeight="1" x14ac:dyDescent="0.35"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</row>
    <row r="284" spans="2:28" ht="15" customHeight="1" x14ac:dyDescent="0.35"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</row>
    <row r="285" spans="2:28" ht="15" customHeight="1" x14ac:dyDescent="0.35"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</row>
    <row r="286" spans="2:28" ht="15" customHeight="1" x14ac:dyDescent="0.35"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</row>
    <row r="287" spans="2:28" ht="15" customHeight="1" x14ac:dyDescent="0.35"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</row>
    <row r="288" spans="2:28" ht="15" customHeight="1" x14ac:dyDescent="0.35"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</row>
    <row r="289" spans="2:28" ht="15" customHeight="1" x14ac:dyDescent="0.35"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</row>
    <row r="290" spans="2:28" ht="15" customHeight="1" x14ac:dyDescent="0.35"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</row>
    <row r="291" spans="2:28" ht="15" customHeight="1" x14ac:dyDescent="0.35"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</row>
    <row r="292" spans="2:28" ht="15" customHeight="1" x14ac:dyDescent="0.35"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</row>
    <row r="293" spans="2:28" ht="15" customHeight="1" x14ac:dyDescent="0.35"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</row>
    <row r="294" spans="2:28" ht="15" customHeight="1" x14ac:dyDescent="0.35"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</row>
    <row r="295" spans="2:28" ht="15" customHeight="1" x14ac:dyDescent="0.35"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</row>
    <row r="296" spans="2:28" ht="15" customHeight="1" x14ac:dyDescent="0.35"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</row>
    <row r="297" spans="2:28" ht="15" customHeight="1" x14ac:dyDescent="0.35"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</row>
    <row r="298" spans="2:28" ht="15" customHeight="1" x14ac:dyDescent="0.35"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</row>
    <row r="299" spans="2:28" ht="15" customHeight="1" x14ac:dyDescent="0.35"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</row>
    <row r="300" spans="2:28" ht="15" customHeight="1" x14ac:dyDescent="0.35"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</row>
    <row r="301" spans="2:28" ht="15" customHeight="1" x14ac:dyDescent="0.35"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</row>
    <row r="302" spans="2:28" ht="15" customHeight="1" x14ac:dyDescent="0.35"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</row>
    <row r="303" spans="2:28" ht="15" customHeight="1" x14ac:dyDescent="0.35"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</row>
    <row r="304" spans="2:28" ht="15" customHeight="1" x14ac:dyDescent="0.35"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</row>
    <row r="305" spans="2:28" ht="15" customHeight="1" x14ac:dyDescent="0.35"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</row>
    <row r="306" spans="2:28" ht="15" customHeight="1" x14ac:dyDescent="0.35"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</row>
    <row r="307" spans="2:28" ht="15" customHeight="1" x14ac:dyDescent="0.35"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</row>
    <row r="308" spans="2:28" ht="15" customHeight="1" x14ac:dyDescent="0.35"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</row>
    <row r="309" spans="2:28" ht="15" customHeight="1" x14ac:dyDescent="0.35"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</row>
    <row r="310" spans="2:28" ht="15" customHeight="1" x14ac:dyDescent="0.35"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</row>
    <row r="311" spans="2:28" ht="15" customHeight="1" x14ac:dyDescent="0.35"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</row>
    <row r="312" spans="2:28" ht="15" customHeight="1" x14ac:dyDescent="0.35"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</row>
    <row r="313" spans="2:28" ht="15" customHeight="1" x14ac:dyDescent="0.35"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</row>
    <row r="314" spans="2:28" ht="15" customHeight="1" x14ac:dyDescent="0.35"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</row>
    <row r="315" spans="2:28" ht="15" customHeight="1" x14ac:dyDescent="0.35"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</row>
    <row r="316" spans="2:28" ht="15" customHeight="1" x14ac:dyDescent="0.35"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</row>
    <row r="317" spans="2:28" ht="15" customHeight="1" x14ac:dyDescent="0.35"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</row>
    <row r="318" spans="2:28" ht="15" customHeight="1" x14ac:dyDescent="0.35"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</row>
    <row r="319" spans="2:28" ht="15" customHeight="1" x14ac:dyDescent="0.35"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</row>
    <row r="320" spans="2:28" ht="15" customHeight="1" x14ac:dyDescent="0.35"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</row>
    <row r="321" spans="2:28" ht="15" customHeight="1" x14ac:dyDescent="0.35"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</row>
    <row r="322" spans="2:28" ht="15" customHeight="1" x14ac:dyDescent="0.35"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</row>
    <row r="323" spans="2:28" ht="15" customHeight="1" x14ac:dyDescent="0.35"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</row>
    <row r="324" spans="2:28" ht="15" customHeight="1" x14ac:dyDescent="0.35"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</row>
    <row r="325" spans="2:28" ht="15" customHeight="1" x14ac:dyDescent="0.35"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</row>
    <row r="326" spans="2:28" ht="15" customHeight="1" x14ac:dyDescent="0.35"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</row>
    <row r="327" spans="2:28" ht="15" customHeight="1" x14ac:dyDescent="0.35"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</row>
    <row r="328" spans="2:28" ht="15" customHeight="1" x14ac:dyDescent="0.35"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</row>
    <row r="329" spans="2:28" ht="15" customHeight="1" x14ac:dyDescent="0.35"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</row>
    <row r="330" spans="2:28" ht="15" customHeight="1" x14ac:dyDescent="0.35"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</row>
    <row r="331" spans="2:28" ht="15" customHeight="1" x14ac:dyDescent="0.35"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</row>
    <row r="332" spans="2:28" ht="15" customHeight="1" x14ac:dyDescent="0.35"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</row>
    <row r="333" spans="2:28" ht="15" customHeight="1" x14ac:dyDescent="0.35"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</row>
    <row r="334" spans="2:28" ht="15" customHeight="1" x14ac:dyDescent="0.35"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</row>
    <row r="335" spans="2:28" ht="15" customHeight="1" x14ac:dyDescent="0.35"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</row>
    <row r="336" spans="2:28" ht="15" customHeight="1" x14ac:dyDescent="0.35"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</row>
    <row r="337" spans="2:28" ht="15" customHeight="1" x14ac:dyDescent="0.35"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</row>
    <row r="338" spans="2:28" ht="15" customHeight="1" x14ac:dyDescent="0.35"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</row>
    <row r="339" spans="2:28" ht="15" customHeight="1" x14ac:dyDescent="0.35"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</row>
    <row r="340" spans="2:28" ht="15" customHeight="1" x14ac:dyDescent="0.35"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</row>
    <row r="341" spans="2:28" ht="15" customHeight="1" x14ac:dyDescent="0.35"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</row>
    <row r="342" spans="2:28" ht="15" customHeight="1" x14ac:dyDescent="0.35"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</row>
    <row r="343" spans="2:28" ht="15" customHeight="1" x14ac:dyDescent="0.35"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</row>
    <row r="344" spans="2:28" ht="15" customHeight="1" x14ac:dyDescent="0.35"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</row>
    <row r="345" spans="2:28" ht="15" customHeight="1" x14ac:dyDescent="0.35"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</row>
    <row r="346" spans="2:28" ht="15" customHeight="1" x14ac:dyDescent="0.35"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</row>
    <row r="347" spans="2:28" ht="15" customHeight="1" x14ac:dyDescent="0.35"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</row>
    <row r="348" spans="2:28" ht="15" customHeight="1" x14ac:dyDescent="0.35"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</row>
    <row r="349" spans="2:28" ht="15" customHeight="1" x14ac:dyDescent="0.35"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</row>
    <row r="350" spans="2:28" ht="15" customHeight="1" x14ac:dyDescent="0.35"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</row>
    <row r="351" spans="2:28" ht="15" customHeight="1" x14ac:dyDescent="0.35"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</row>
    <row r="352" spans="2:28" ht="15" customHeight="1" x14ac:dyDescent="0.35"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</row>
    <row r="353" spans="2:28" ht="15" customHeight="1" x14ac:dyDescent="0.35"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</row>
    <row r="354" spans="2:28" ht="15" customHeight="1" x14ac:dyDescent="0.35"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</row>
    <row r="355" spans="2:28" ht="15" customHeight="1" x14ac:dyDescent="0.35"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</row>
    <row r="356" spans="2:28" ht="15" customHeight="1" x14ac:dyDescent="0.35"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</row>
    <row r="357" spans="2:28" ht="15" customHeight="1" x14ac:dyDescent="0.35"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</row>
    <row r="358" spans="2:28" ht="15" customHeight="1" x14ac:dyDescent="0.35"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</row>
    <row r="359" spans="2:28" ht="15" customHeight="1" x14ac:dyDescent="0.35"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</row>
    <row r="360" spans="2:28" ht="15" customHeight="1" x14ac:dyDescent="0.35"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</row>
    <row r="361" spans="2:28" ht="15" customHeight="1" x14ac:dyDescent="0.35"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</row>
    <row r="362" spans="2:28" ht="15" customHeight="1" x14ac:dyDescent="0.35"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</row>
    <row r="363" spans="2:28" ht="15" customHeight="1" x14ac:dyDescent="0.35"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</row>
    <row r="364" spans="2:28" ht="15" customHeight="1" x14ac:dyDescent="0.35"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</row>
    <row r="365" spans="2:28" ht="15" customHeight="1" x14ac:dyDescent="0.35"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</row>
    <row r="366" spans="2:28" ht="15" customHeight="1" x14ac:dyDescent="0.35"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</row>
    <row r="367" spans="2:28" ht="15" customHeight="1" x14ac:dyDescent="0.35"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</row>
    <row r="368" spans="2:28" ht="15" customHeight="1" x14ac:dyDescent="0.35"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</row>
    <row r="369" spans="2:28" ht="15" customHeight="1" x14ac:dyDescent="0.35"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</row>
    <row r="370" spans="2:28" ht="15" customHeight="1" x14ac:dyDescent="0.35"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</row>
    <row r="371" spans="2:28" ht="15" customHeight="1" x14ac:dyDescent="0.35"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</row>
    <row r="372" spans="2:28" ht="15" customHeight="1" x14ac:dyDescent="0.35"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</row>
    <row r="373" spans="2:28" ht="15" customHeight="1" x14ac:dyDescent="0.35"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</row>
    <row r="374" spans="2:28" ht="15" customHeight="1" x14ac:dyDescent="0.35"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</row>
    <row r="375" spans="2:28" ht="15" customHeight="1" x14ac:dyDescent="0.35"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</row>
    <row r="376" spans="2:28" ht="15" customHeight="1" x14ac:dyDescent="0.35"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</row>
    <row r="377" spans="2:28" ht="15" customHeight="1" x14ac:dyDescent="0.35"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</row>
    <row r="378" spans="2:28" ht="15" customHeight="1" x14ac:dyDescent="0.35"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</row>
    <row r="379" spans="2:28" ht="15" customHeight="1" x14ac:dyDescent="0.35"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</row>
    <row r="380" spans="2:28" ht="15" customHeight="1" x14ac:dyDescent="0.35"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</row>
    <row r="381" spans="2:28" ht="15" customHeight="1" x14ac:dyDescent="0.35"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</row>
    <row r="382" spans="2:28" ht="15" customHeight="1" x14ac:dyDescent="0.35"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</row>
    <row r="383" spans="2:28" ht="15" customHeight="1" x14ac:dyDescent="0.35"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</row>
    <row r="384" spans="2:28" ht="15" customHeight="1" x14ac:dyDescent="0.35"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</row>
    <row r="385" spans="2:28" ht="15" customHeight="1" x14ac:dyDescent="0.35"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</row>
    <row r="386" spans="2:28" ht="15" customHeight="1" x14ac:dyDescent="0.35"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</row>
    <row r="387" spans="2:28" ht="15" customHeight="1" x14ac:dyDescent="0.35"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</row>
    <row r="388" spans="2:28" ht="15" customHeight="1" x14ac:dyDescent="0.35"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</row>
    <row r="389" spans="2:28" ht="15" customHeight="1" x14ac:dyDescent="0.35"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</row>
    <row r="390" spans="2:28" ht="15" customHeight="1" x14ac:dyDescent="0.35"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</row>
    <row r="391" spans="2:28" ht="15" customHeight="1" x14ac:dyDescent="0.35"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</row>
    <row r="392" spans="2:28" ht="15" customHeight="1" x14ac:dyDescent="0.35"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</row>
    <row r="393" spans="2:28" ht="15" customHeight="1" x14ac:dyDescent="0.35"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</row>
    <row r="394" spans="2:28" ht="15" customHeight="1" x14ac:dyDescent="0.35"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</row>
    <row r="395" spans="2:28" ht="15" customHeight="1" x14ac:dyDescent="0.35"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</row>
    <row r="396" spans="2:28" ht="15" customHeight="1" x14ac:dyDescent="0.35"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</row>
    <row r="397" spans="2:28" ht="15" customHeight="1" x14ac:dyDescent="0.35"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</row>
    <row r="398" spans="2:28" ht="15" customHeight="1" x14ac:dyDescent="0.35"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</row>
    <row r="399" spans="2:28" ht="15" customHeight="1" x14ac:dyDescent="0.35"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</row>
    <row r="400" spans="2:28" ht="15" customHeight="1" x14ac:dyDescent="0.35"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</row>
    <row r="401" spans="2:28" ht="15" customHeight="1" x14ac:dyDescent="0.35"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</row>
    <row r="402" spans="2:28" ht="15" customHeight="1" x14ac:dyDescent="0.35"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</row>
    <row r="403" spans="2:28" ht="15" customHeight="1" x14ac:dyDescent="0.35"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</row>
    <row r="404" spans="2:28" ht="15" customHeight="1" x14ac:dyDescent="0.35"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</row>
    <row r="405" spans="2:28" ht="15" customHeight="1" x14ac:dyDescent="0.35"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</row>
    <row r="406" spans="2:28" ht="15" customHeight="1" x14ac:dyDescent="0.35"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</row>
    <row r="407" spans="2:28" ht="15" customHeight="1" x14ac:dyDescent="0.35"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</row>
    <row r="408" spans="2:28" ht="15" customHeight="1" x14ac:dyDescent="0.35"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</row>
    <row r="409" spans="2:28" ht="15" customHeight="1" x14ac:dyDescent="0.35"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</row>
    <row r="410" spans="2:28" ht="15" customHeight="1" x14ac:dyDescent="0.35"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</row>
    <row r="411" spans="2:28" ht="15" customHeight="1" x14ac:dyDescent="0.35"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</row>
    <row r="412" spans="2:28" ht="15" customHeight="1" x14ac:dyDescent="0.35"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</row>
    <row r="413" spans="2:28" ht="15" customHeight="1" x14ac:dyDescent="0.35"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</row>
    <row r="414" spans="2:28" ht="15" customHeight="1" x14ac:dyDescent="0.35"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</row>
    <row r="415" spans="2:28" ht="15" customHeight="1" x14ac:dyDescent="0.35"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</row>
    <row r="416" spans="2:28" ht="15" customHeight="1" x14ac:dyDescent="0.35"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</row>
    <row r="417" spans="2:28" ht="15" customHeight="1" x14ac:dyDescent="0.35"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</row>
    <row r="418" spans="2:28" ht="15" customHeight="1" x14ac:dyDescent="0.35"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</row>
    <row r="419" spans="2:28" ht="15" customHeight="1" x14ac:dyDescent="0.35"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</row>
    <row r="420" spans="2:28" ht="15" customHeight="1" x14ac:dyDescent="0.35"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</row>
    <row r="421" spans="2:28" ht="15" customHeight="1" x14ac:dyDescent="0.35"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</row>
    <row r="422" spans="2:28" ht="15" customHeight="1" x14ac:dyDescent="0.35"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</row>
    <row r="423" spans="2:28" ht="15" customHeight="1" x14ac:dyDescent="0.35"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</row>
    <row r="424" spans="2:28" ht="15" customHeight="1" x14ac:dyDescent="0.35"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</row>
    <row r="425" spans="2:28" ht="15" customHeight="1" x14ac:dyDescent="0.35"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</row>
    <row r="426" spans="2:28" ht="15" customHeight="1" x14ac:dyDescent="0.35"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</row>
    <row r="427" spans="2:28" ht="15" customHeight="1" x14ac:dyDescent="0.35"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</row>
    <row r="428" spans="2:28" ht="15" customHeight="1" x14ac:dyDescent="0.35"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</row>
    <row r="429" spans="2:28" ht="15" customHeight="1" x14ac:dyDescent="0.35"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</row>
    <row r="430" spans="2:28" ht="15" customHeight="1" x14ac:dyDescent="0.35"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</row>
    <row r="431" spans="2:28" ht="15" customHeight="1" x14ac:dyDescent="0.35"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</row>
    <row r="432" spans="2:28" ht="15" customHeight="1" x14ac:dyDescent="0.35"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</row>
    <row r="433" spans="2:28" ht="15" customHeight="1" x14ac:dyDescent="0.35"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</row>
    <row r="434" spans="2:28" ht="15" customHeight="1" x14ac:dyDescent="0.35"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</row>
    <row r="435" spans="2:28" ht="15" customHeight="1" x14ac:dyDescent="0.35"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</row>
    <row r="436" spans="2:28" ht="15" customHeight="1" x14ac:dyDescent="0.35"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</row>
    <row r="437" spans="2:28" ht="15" customHeight="1" x14ac:dyDescent="0.35"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</row>
    <row r="438" spans="2:28" ht="15" customHeight="1" x14ac:dyDescent="0.35"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</row>
    <row r="439" spans="2:28" ht="15" customHeight="1" x14ac:dyDescent="0.35"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</row>
    <row r="440" spans="2:28" ht="15" customHeight="1" x14ac:dyDescent="0.35"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</row>
    <row r="441" spans="2:28" ht="15" customHeight="1" x14ac:dyDescent="0.35"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</row>
    <row r="442" spans="2:28" ht="15" customHeight="1" x14ac:dyDescent="0.35"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</row>
    <row r="443" spans="2:28" ht="15" customHeight="1" x14ac:dyDescent="0.35"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</row>
    <row r="444" spans="2:28" ht="15" customHeight="1" x14ac:dyDescent="0.35"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</row>
    <row r="445" spans="2:28" ht="15" customHeight="1" x14ac:dyDescent="0.35"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</row>
    <row r="446" spans="2:28" ht="15" customHeight="1" x14ac:dyDescent="0.35"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</row>
    <row r="447" spans="2:28" ht="15" customHeight="1" x14ac:dyDescent="0.35"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</row>
    <row r="448" spans="2:28" ht="15" customHeight="1" x14ac:dyDescent="0.35"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</row>
    <row r="449" spans="2:28" ht="15" customHeight="1" x14ac:dyDescent="0.35"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</row>
    <row r="450" spans="2:28" ht="15" customHeight="1" x14ac:dyDescent="0.35"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</row>
    <row r="451" spans="2:28" ht="15" customHeight="1" x14ac:dyDescent="0.35"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</row>
    <row r="452" spans="2:28" ht="15" customHeight="1" x14ac:dyDescent="0.35"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</row>
    <row r="453" spans="2:28" ht="15" customHeight="1" x14ac:dyDescent="0.35"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</row>
    <row r="454" spans="2:28" ht="15" customHeight="1" x14ac:dyDescent="0.35"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</row>
    <row r="455" spans="2:28" ht="15" customHeight="1" x14ac:dyDescent="0.35"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</row>
    <row r="456" spans="2:28" ht="15" customHeight="1" x14ac:dyDescent="0.35"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</row>
    <row r="457" spans="2:28" ht="15" customHeight="1" x14ac:dyDescent="0.35"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</row>
    <row r="458" spans="2:28" ht="15" customHeight="1" x14ac:dyDescent="0.35"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</row>
    <row r="459" spans="2:28" ht="15" customHeight="1" x14ac:dyDescent="0.35"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</row>
    <row r="460" spans="2:28" ht="15" customHeight="1" x14ac:dyDescent="0.35"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</row>
    <row r="461" spans="2:28" ht="15" customHeight="1" x14ac:dyDescent="0.35"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</row>
    <row r="462" spans="2:28" ht="15" customHeight="1" x14ac:dyDescent="0.35"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</row>
    <row r="463" spans="2:28" ht="15" customHeight="1" x14ac:dyDescent="0.35"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</row>
    <row r="464" spans="2:28" ht="15" customHeight="1" x14ac:dyDescent="0.35"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</row>
    <row r="465" spans="2:28" ht="15" customHeight="1" x14ac:dyDescent="0.35"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</row>
    <row r="466" spans="2:28" ht="15" customHeight="1" x14ac:dyDescent="0.35"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</row>
    <row r="467" spans="2:28" ht="15" customHeight="1" x14ac:dyDescent="0.35"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</row>
    <row r="468" spans="2:28" ht="15" customHeight="1" x14ac:dyDescent="0.35"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</row>
    <row r="469" spans="2:28" ht="15" customHeight="1" x14ac:dyDescent="0.35"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</row>
    <row r="470" spans="2:28" ht="15" customHeight="1" x14ac:dyDescent="0.35"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</row>
    <row r="471" spans="2:28" ht="15" customHeight="1" x14ac:dyDescent="0.35"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</row>
    <row r="472" spans="2:28" ht="15" customHeight="1" x14ac:dyDescent="0.35"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</row>
    <row r="473" spans="2:28" ht="15" customHeight="1" x14ac:dyDescent="0.35"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</row>
    <row r="474" spans="2:28" ht="15" customHeight="1" x14ac:dyDescent="0.35"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</row>
    <row r="475" spans="2:28" ht="15" customHeight="1" x14ac:dyDescent="0.35"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</row>
    <row r="476" spans="2:28" ht="15" customHeight="1" x14ac:dyDescent="0.35"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</row>
    <row r="477" spans="2:28" ht="15" customHeight="1" x14ac:dyDescent="0.35"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</row>
    <row r="478" spans="2:28" ht="15" customHeight="1" x14ac:dyDescent="0.35"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</row>
    <row r="479" spans="2:28" ht="15" customHeight="1" x14ac:dyDescent="0.35"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</row>
    <row r="480" spans="2:28" ht="15" customHeight="1" x14ac:dyDescent="0.35"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</row>
    <row r="481" spans="2:28" ht="15" customHeight="1" x14ac:dyDescent="0.35"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</row>
    <row r="482" spans="2:28" ht="15" customHeight="1" x14ac:dyDescent="0.35"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</row>
    <row r="483" spans="2:28" ht="15" customHeight="1" x14ac:dyDescent="0.35"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</row>
    <row r="484" spans="2:28" ht="15" customHeight="1" x14ac:dyDescent="0.35"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</row>
    <row r="485" spans="2:28" ht="15" customHeight="1" x14ac:dyDescent="0.35"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</row>
    <row r="486" spans="2:28" ht="15" customHeight="1" x14ac:dyDescent="0.35"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</row>
    <row r="487" spans="2:28" ht="15" customHeight="1" x14ac:dyDescent="0.35"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</row>
    <row r="488" spans="2:28" ht="15" customHeight="1" x14ac:dyDescent="0.35"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</row>
    <row r="489" spans="2:28" ht="15" customHeight="1" x14ac:dyDescent="0.35"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</row>
    <row r="490" spans="2:28" ht="15" customHeight="1" x14ac:dyDescent="0.35"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</row>
    <row r="491" spans="2:28" ht="15" customHeight="1" x14ac:dyDescent="0.35"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</row>
    <row r="492" spans="2:28" ht="15" customHeight="1" x14ac:dyDescent="0.35"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</row>
    <row r="493" spans="2:28" ht="15" customHeight="1" x14ac:dyDescent="0.35"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</row>
    <row r="494" spans="2:28" ht="15" customHeight="1" x14ac:dyDescent="0.35"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</row>
    <row r="495" spans="2:28" ht="15" customHeight="1" x14ac:dyDescent="0.35"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</row>
    <row r="496" spans="2:28" ht="15" customHeight="1" x14ac:dyDescent="0.35"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</row>
    <row r="497" spans="2:28" ht="15" customHeight="1" x14ac:dyDescent="0.35"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</row>
    <row r="498" spans="2:28" ht="15" customHeight="1" x14ac:dyDescent="0.35"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</row>
    <row r="499" spans="2:28" ht="15" customHeight="1" x14ac:dyDescent="0.35"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</row>
    <row r="500" spans="2:28" ht="15" customHeight="1" x14ac:dyDescent="0.35"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</row>
    <row r="501" spans="2:28" ht="15" customHeight="1" x14ac:dyDescent="0.35"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</row>
    <row r="502" spans="2:28" ht="15" customHeight="1" x14ac:dyDescent="0.35"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</row>
    <row r="503" spans="2:28" ht="15" customHeight="1" x14ac:dyDescent="0.35"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</row>
    <row r="504" spans="2:28" ht="15" customHeight="1" x14ac:dyDescent="0.35"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</row>
    <row r="505" spans="2:28" ht="15" customHeight="1" x14ac:dyDescent="0.35"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</row>
    <row r="506" spans="2:28" ht="15" customHeight="1" x14ac:dyDescent="0.35"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</row>
    <row r="507" spans="2:28" ht="15" customHeight="1" x14ac:dyDescent="0.35"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</row>
    <row r="508" spans="2:28" ht="15" customHeight="1" x14ac:dyDescent="0.35"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</row>
    <row r="509" spans="2:28" ht="15" customHeight="1" x14ac:dyDescent="0.35"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</row>
    <row r="510" spans="2:28" ht="15" customHeight="1" x14ac:dyDescent="0.35"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</row>
    <row r="511" spans="2:28" ht="15" customHeight="1" x14ac:dyDescent="0.35"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</row>
    <row r="512" spans="2:28" ht="15" customHeight="1" x14ac:dyDescent="0.35"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</row>
    <row r="513" spans="2:28" ht="15" customHeight="1" x14ac:dyDescent="0.35"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</row>
    <row r="514" spans="2:28" ht="15" customHeight="1" x14ac:dyDescent="0.35"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</row>
    <row r="515" spans="2:28" ht="15" customHeight="1" x14ac:dyDescent="0.35"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</row>
    <row r="516" spans="2:28" ht="15" customHeight="1" x14ac:dyDescent="0.35"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</row>
    <row r="517" spans="2:28" ht="15" customHeight="1" x14ac:dyDescent="0.35"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</row>
    <row r="518" spans="2:28" ht="15" customHeight="1" x14ac:dyDescent="0.35"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</row>
    <row r="519" spans="2:28" ht="15" customHeight="1" x14ac:dyDescent="0.35"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</row>
    <row r="520" spans="2:28" ht="15" customHeight="1" x14ac:dyDescent="0.35"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</row>
    <row r="521" spans="2:28" ht="15" customHeight="1" x14ac:dyDescent="0.35"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</row>
    <row r="522" spans="2:28" ht="15" customHeight="1" x14ac:dyDescent="0.35"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</row>
    <row r="523" spans="2:28" ht="15" customHeight="1" x14ac:dyDescent="0.35"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</row>
    <row r="524" spans="2:28" ht="15" customHeight="1" x14ac:dyDescent="0.35"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</row>
    <row r="525" spans="2:28" ht="15" customHeight="1" x14ac:dyDescent="0.35"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</row>
    <row r="526" spans="2:28" ht="15" customHeight="1" x14ac:dyDescent="0.35"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</row>
    <row r="527" spans="2:28" ht="15" customHeight="1" x14ac:dyDescent="0.35"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</row>
    <row r="528" spans="2:28" ht="15" customHeight="1" x14ac:dyDescent="0.35"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</row>
    <row r="529" spans="2:28" ht="15" customHeight="1" x14ac:dyDescent="0.35"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</row>
    <row r="530" spans="2:28" ht="15" customHeight="1" x14ac:dyDescent="0.35"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</row>
    <row r="531" spans="2:28" ht="15" customHeight="1" x14ac:dyDescent="0.35"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</row>
    <row r="532" spans="2:28" ht="15" customHeight="1" x14ac:dyDescent="0.35"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</row>
    <row r="533" spans="2:28" ht="15" customHeight="1" x14ac:dyDescent="0.35"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</row>
    <row r="534" spans="2:28" ht="15" customHeight="1" x14ac:dyDescent="0.35"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</row>
    <row r="535" spans="2:28" ht="15" customHeight="1" x14ac:dyDescent="0.35"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</row>
    <row r="536" spans="2:28" ht="15" customHeight="1" x14ac:dyDescent="0.35"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</row>
    <row r="537" spans="2:28" ht="15" customHeight="1" x14ac:dyDescent="0.35"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</row>
    <row r="538" spans="2:28" ht="15" customHeight="1" x14ac:dyDescent="0.35"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</row>
    <row r="539" spans="2:28" ht="15" customHeight="1" x14ac:dyDescent="0.35"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</row>
    <row r="540" spans="2:28" ht="15" customHeight="1" x14ac:dyDescent="0.35"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</row>
    <row r="541" spans="2:28" ht="15" customHeight="1" x14ac:dyDescent="0.35"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</row>
    <row r="542" spans="2:28" ht="15" customHeight="1" x14ac:dyDescent="0.35"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</row>
    <row r="543" spans="2:28" ht="15" customHeight="1" x14ac:dyDescent="0.35"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</row>
    <row r="544" spans="2:28" ht="15" customHeight="1" x14ac:dyDescent="0.35"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</row>
    <row r="545" spans="2:28" ht="15" customHeight="1" x14ac:dyDescent="0.35"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</row>
    <row r="546" spans="2:28" ht="15" customHeight="1" x14ac:dyDescent="0.35"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</row>
    <row r="547" spans="2:28" ht="15" customHeight="1" x14ac:dyDescent="0.35"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</row>
    <row r="548" spans="2:28" ht="15" customHeight="1" x14ac:dyDescent="0.35"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</row>
    <row r="549" spans="2:28" ht="15" customHeight="1" x14ac:dyDescent="0.35"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</row>
    <row r="550" spans="2:28" ht="15" customHeight="1" x14ac:dyDescent="0.35"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</row>
    <row r="551" spans="2:28" ht="15" customHeight="1" x14ac:dyDescent="0.35"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</row>
    <row r="552" spans="2:28" ht="15" customHeight="1" x14ac:dyDescent="0.35"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</row>
    <row r="553" spans="2:28" ht="15" customHeight="1" x14ac:dyDescent="0.35"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</row>
    <row r="554" spans="2:28" ht="15" customHeight="1" x14ac:dyDescent="0.35"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</row>
    <row r="555" spans="2:28" ht="15" customHeight="1" x14ac:dyDescent="0.35"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</row>
    <row r="556" spans="2:28" ht="15" customHeight="1" x14ac:dyDescent="0.35"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</row>
    <row r="557" spans="2:28" ht="15" customHeight="1" x14ac:dyDescent="0.35"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</row>
    <row r="558" spans="2:28" ht="15" customHeight="1" x14ac:dyDescent="0.35"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</row>
    <row r="559" spans="2:28" ht="15" customHeight="1" x14ac:dyDescent="0.35"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</row>
    <row r="560" spans="2:28" ht="15" customHeight="1" x14ac:dyDescent="0.35"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</row>
    <row r="561" spans="2:28" ht="15" customHeight="1" x14ac:dyDescent="0.35"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</row>
    <row r="562" spans="2:28" ht="15" customHeight="1" x14ac:dyDescent="0.35"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</row>
    <row r="563" spans="2:28" ht="15" customHeight="1" x14ac:dyDescent="0.35"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</row>
    <row r="564" spans="2:28" ht="15" customHeight="1" x14ac:dyDescent="0.35"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</row>
    <row r="565" spans="2:28" ht="15" customHeight="1" x14ac:dyDescent="0.35"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</row>
    <row r="566" spans="2:28" ht="15" customHeight="1" x14ac:dyDescent="0.35"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</row>
    <row r="567" spans="2:28" ht="15" customHeight="1" x14ac:dyDescent="0.35"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</row>
    <row r="568" spans="2:28" ht="15" customHeight="1" x14ac:dyDescent="0.35"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</row>
    <row r="569" spans="2:28" ht="15" customHeight="1" x14ac:dyDescent="0.35"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</row>
    <row r="570" spans="2:28" ht="15" customHeight="1" x14ac:dyDescent="0.35"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</row>
    <row r="571" spans="2:28" ht="15" customHeight="1" x14ac:dyDescent="0.35"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</row>
    <row r="572" spans="2:28" ht="15" customHeight="1" x14ac:dyDescent="0.35"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</row>
    <row r="573" spans="2:28" ht="15" customHeight="1" x14ac:dyDescent="0.35"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</row>
    <row r="574" spans="2:28" ht="15" customHeight="1" x14ac:dyDescent="0.35"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</row>
    <row r="575" spans="2:28" ht="15" customHeight="1" x14ac:dyDescent="0.35"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</row>
    <row r="576" spans="2:28" ht="15" customHeight="1" x14ac:dyDescent="0.35"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</row>
    <row r="577" spans="2:28" ht="15" customHeight="1" x14ac:dyDescent="0.35"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</row>
    <row r="578" spans="2:28" ht="15" customHeight="1" x14ac:dyDescent="0.35"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</row>
    <row r="579" spans="2:28" ht="15" customHeight="1" x14ac:dyDescent="0.35"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</row>
    <row r="580" spans="2:28" ht="15" customHeight="1" x14ac:dyDescent="0.35"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</row>
    <row r="581" spans="2:28" ht="15" customHeight="1" x14ac:dyDescent="0.35"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</row>
    <row r="582" spans="2:28" ht="15" customHeight="1" x14ac:dyDescent="0.35"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</row>
    <row r="583" spans="2:28" ht="15" customHeight="1" x14ac:dyDescent="0.35"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</row>
    <row r="584" spans="2:28" ht="15" customHeight="1" x14ac:dyDescent="0.35"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</row>
    <row r="585" spans="2:28" ht="15" customHeight="1" x14ac:dyDescent="0.35"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</row>
    <row r="586" spans="2:28" ht="15" customHeight="1" x14ac:dyDescent="0.35"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</row>
    <row r="587" spans="2:28" ht="15" customHeight="1" x14ac:dyDescent="0.35"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</row>
    <row r="588" spans="2:28" ht="15" customHeight="1" x14ac:dyDescent="0.35"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</row>
    <row r="589" spans="2:28" ht="15" customHeight="1" x14ac:dyDescent="0.35"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</row>
    <row r="590" spans="2:28" ht="15" customHeight="1" x14ac:dyDescent="0.35"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</row>
    <row r="591" spans="2:28" ht="15" customHeight="1" x14ac:dyDescent="0.35"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</row>
    <row r="592" spans="2:28" ht="15" customHeight="1" x14ac:dyDescent="0.35"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</row>
    <row r="593" spans="2:28" ht="15" customHeight="1" x14ac:dyDescent="0.35"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</row>
    <row r="594" spans="2:28" ht="15" customHeight="1" x14ac:dyDescent="0.35"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</row>
    <row r="595" spans="2:28" ht="15" customHeight="1" x14ac:dyDescent="0.35"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</row>
    <row r="596" spans="2:28" ht="15" customHeight="1" x14ac:dyDescent="0.35"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</row>
    <row r="597" spans="2:28" ht="15" customHeight="1" x14ac:dyDescent="0.35"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</row>
    <row r="598" spans="2:28" ht="15" customHeight="1" x14ac:dyDescent="0.35"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</row>
    <row r="599" spans="2:28" ht="15" customHeight="1" x14ac:dyDescent="0.35"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</row>
    <row r="600" spans="2:28" ht="15" customHeight="1" x14ac:dyDescent="0.35"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</row>
    <row r="601" spans="2:28" ht="15" customHeight="1" x14ac:dyDescent="0.35"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</row>
    <row r="602" spans="2:28" ht="15" customHeight="1" x14ac:dyDescent="0.35"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</row>
    <row r="603" spans="2:28" ht="15" customHeight="1" x14ac:dyDescent="0.35"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</row>
    <row r="604" spans="2:28" ht="15" customHeight="1" x14ac:dyDescent="0.35"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</row>
    <row r="605" spans="2:28" ht="15" customHeight="1" x14ac:dyDescent="0.35"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</row>
    <row r="606" spans="2:28" ht="15" customHeight="1" x14ac:dyDescent="0.35"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</row>
    <row r="607" spans="2:28" ht="15" customHeight="1" x14ac:dyDescent="0.35"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</row>
    <row r="608" spans="2:28" ht="15" customHeight="1" x14ac:dyDescent="0.35"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</row>
    <row r="609" spans="2:28" ht="15" customHeight="1" x14ac:dyDescent="0.35"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</row>
    <row r="610" spans="2:28" ht="15" customHeight="1" x14ac:dyDescent="0.35"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</row>
    <row r="611" spans="2:28" ht="15" customHeight="1" x14ac:dyDescent="0.35"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</row>
    <row r="612" spans="2:28" ht="15" customHeight="1" x14ac:dyDescent="0.35"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</row>
    <row r="613" spans="2:28" ht="15" customHeight="1" x14ac:dyDescent="0.35"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</row>
    <row r="614" spans="2:28" ht="15" customHeight="1" x14ac:dyDescent="0.35"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</row>
    <row r="615" spans="2:28" ht="15" customHeight="1" x14ac:dyDescent="0.35"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</row>
    <row r="616" spans="2:28" ht="15" customHeight="1" x14ac:dyDescent="0.35"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</row>
    <row r="617" spans="2:28" ht="15" customHeight="1" x14ac:dyDescent="0.35"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</row>
    <row r="618" spans="2:28" ht="15" customHeight="1" x14ac:dyDescent="0.35"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</row>
    <row r="619" spans="2:28" ht="15" customHeight="1" x14ac:dyDescent="0.35"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</row>
    <row r="620" spans="2:28" ht="15" customHeight="1" x14ac:dyDescent="0.35"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</row>
    <row r="621" spans="2:28" ht="15" customHeight="1" x14ac:dyDescent="0.35"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</row>
    <row r="622" spans="2:28" ht="15" customHeight="1" x14ac:dyDescent="0.35"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</row>
    <row r="623" spans="2:28" ht="15" customHeight="1" x14ac:dyDescent="0.35"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</row>
    <row r="624" spans="2:28" ht="15" customHeight="1" x14ac:dyDescent="0.35"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</row>
    <row r="625" spans="2:28" ht="15" customHeight="1" x14ac:dyDescent="0.35"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</row>
    <row r="626" spans="2:28" ht="15" customHeight="1" x14ac:dyDescent="0.35"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</row>
    <row r="627" spans="2:28" ht="15" customHeight="1" x14ac:dyDescent="0.35"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</row>
    <row r="628" spans="2:28" ht="15" customHeight="1" x14ac:dyDescent="0.35"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</row>
    <row r="629" spans="2:28" ht="15" customHeight="1" x14ac:dyDescent="0.35"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</row>
    <row r="630" spans="2:28" ht="15" customHeight="1" x14ac:dyDescent="0.35"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</row>
    <row r="631" spans="2:28" ht="15" customHeight="1" x14ac:dyDescent="0.35"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</row>
    <row r="632" spans="2:28" ht="15" customHeight="1" x14ac:dyDescent="0.35"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</row>
    <row r="633" spans="2:28" ht="15" customHeight="1" x14ac:dyDescent="0.35"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</row>
    <row r="634" spans="2:28" ht="15" customHeight="1" x14ac:dyDescent="0.35"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</row>
    <row r="635" spans="2:28" ht="15" customHeight="1" x14ac:dyDescent="0.35"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</row>
    <row r="636" spans="2:28" ht="15" customHeight="1" x14ac:dyDescent="0.35"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</row>
    <row r="637" spans="2:28" ht="15" customHeight="1" x14ac:dyDescent="0.35"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</row>
    <row r="638" spans="2:28" ht="15" customHeight="1" x14ac:dyDescent="0.35"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</row>
    <row r="639" spans="2:28" ht="15" customHeight="1" x14ac:dyDescent="0.35"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</row>
    <row r="640" spans="2:28" ht="15" customHeight="1" x14ac:dyDescent="0.35"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</row>
    <row r="641" spans="2:28" ht="15" customHeight="1" x14ac:dyDescent="0.35"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</row>
    <row r="642" spans="2:28" ht="15" customHeight="1" x14ac:dyDescent="0.35"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</row>
    <row r="643" spans="2:28" ht="15" customHeight="1" x14ac:dyDescent="0.35"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</row>
    <row r="644" spans="2:28" ht="15" customHeight="1" x14ac:dyDescent="0.35"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</row>
    <row r="645" spans="2:28" ht="15" customHeight="1" x14ac:dyDescent="0.35"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</row>
    <row r="646" spans="2:28" ht="15" customHeight="1" x14ac:dyDescent="0.35"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</row>
    <row r="647" spans="2:28" ht="15" customHeight="1" x14ac:dyDescent="0.35"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</row>
    <row r="648" spans="2:28" ht="15" customHeight="1" x14ac:dyDescent="0.35"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</row>
    <row r="649" spans="2:28" ht="15" customHeight="1" x14ac:dyDescent="0.35"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</row>
    <row r="650" spans="2:28" ht="15" customHeight="1" x14ac:dyDescent="0.35"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</row>
    <row r="651" spans="2:28" ht="15" customHeight="1" x14ac:dyDescent="0.35"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</row>
    <row r="652" spans="2:28" ht="15" customHeight="1" x14ac:dyDescent="0.35"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</row>
    <row r="653" spans="2:28" ht="15" customHeight="1" x14ac:dyDescent="0.35"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</row>
    <row r="654" spans="2:28" ht="15" customHeight="1" x14ac:dyDescent="0.35"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</row>
    <row r="655" spans="2:28" ht="15" customHeight="1" x14ac:dyDescent="0.35"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</row>
    <row r="656" spans="2:28" ht="15" customHeight="1" x14ac:dyDescent="0.35"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</row>
    <row r="657" spans="2:28" ht="15" customHeight="1" x14ac:dyDescent="0.35"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</row>
    <row r="658" spans="2:28" ht="15" customHeight="1" x14ac:dyDescent="0.35"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</row>
    <row r="659" spans="2:28" ht="15" customHeight="1" x14ac:dyDescent="0.35"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</row>
    <row r="660" spans="2:28" ht="15" customHeight="1" x14ac:dyDescent="0.35"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</row>
    <row r="661" spans="2:28" ht="15" customHeight="1" x14ac:dyDescent="0.35"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</row>
    <row r="662" spans="2:28" ht="15" customHeight="1" x14ac:dyDescent="0.35"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</row>
    <row r="663" spans="2:28" ht="15" customHeight="1" x14ac:dyDescent="0.35"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</row>
    <row r="664" spans="2:28" ht="15" customHeight="1" x14ac:dyDescent="0.35"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</row>
    <row r="665" spans="2:28" ht="15" customHeight="1" x14ac:dyDescent="0.35"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</row>
    <row r="666" spans="2:28" ht="15" customHeight="1" x14ac:dyDescent="0.35"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</row>
    <row r="667" spans="2:28" ht="15" customHeight="1" x14ac:dyDescent="0.35"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</row>
    <row r="668" spans="2:28" ht="15" customHeight="1" x14ac:dyDescent="0.35"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</row>
    <row r="669" spans="2:28" ht="15" customHeight="1" x14ac:dyDescent="0.35"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</row>
    <row r="670" spans="2:28" ht="15" customHeight="1" x14ac:dyDescent="0.35"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</row>
    <row r="671" spans="2:28" ht="15" customHeight="1" x14ac:dyDescent="0.35"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</row>
    <row r="672" spans="2:28" ht="15" customHeight="1" x14ac:dyDescent="0.35"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</row>
    <row r="673" spans="2:28" ht="15" customHeight="1" x14ac:dyDescent="0.35"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</row>
    <row r="674" spans="2:28" ht="15" customHeight="1" x14ac:dyDescent="0.35"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</row>
    <row r="675" spans="2:28" ht="15" customHeight="1" x14ac:dyDescent="0.35"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</row>
    <row r="676" spans="2:28" ht="15" customHeight="1" x14ac:dyDescent="0.35"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</row>
    <row r="677" spans="2:28" ht="15" customHeight="1" x14ac:dyDescent="0.35"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</row>
    <row r="678" spans="2:28" ht="15" customHeight="1" x14ac:dyDescent="0.35"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</row>
    <row r="679" spans="2:28" ht="15" customHeight="1" x14ac:dyDescent="0.35"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</row>
    <row r="680" spans="2:28" ht="15" customHeight="1" x14ac:dyDescent="0.35"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</row>
    <row r="681" spans="2:28" ht="15" customHeight="1" x14ac:dyDescent="0.35"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</row>
    <row r="682" spans="2:28" ht="15" customHeight="1" x14ac:dyDescent="0.35"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</row>
    <row r="683" spans="2:28" ht="15" customHeight="1" x14ac:dyDescent="0.35"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</row>
    <row r="684" spans="2:28" ht="15" customHeight="1" x14ac:dyDescent="0.35"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</row>
    <row r="685" spans="2:28" ht="15" customHeight="1" x14ac:dyDescent="0.35"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</row>
    <row r="686" spans="2:28" ht="15" customHeight="1" x14ac:dyDescent="0.35"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</row>
    <row r="687" spans="2:28" ht="15" customHeight="1" x14ac:dyDescent="0.35"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</row>
    <row r="688" spans="2:28" ht="15" customHeight="1" x14ac:dyDescent="0.35"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</row>
    <row r="689" spans="2:28" ht="15" customHeight="1" x14ac:dyDescent="0.35"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</row>
    <row r="690" spans="2:28" ht="15" customHeight="1" x14ac:dyDescent="0.35"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</row>
    <row r="691" spans="2:28" ht="15" customHeight="1" x14ac:dyDescent="0.35"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</row>
    <row r="692" spans="2:28" ht="15" customHeight="1" x14ac:dyDescent="0.35"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</row>
    <row r="693" spans="2:28" ht="15" customHeight="1" x14ac:dyDescent="0.35"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</row>
    <row r="694" spans="2:28" ht="15" customHeight="1" x14ac:dyDescent="0.35"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</row>
    <row r="695" spans="2:28" ht="15" customHeight="1" x14ac:dyDescent="0.35"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</row>
    <row r="696" spans="2:28" ht="15" customHeight="1" x14ac:dyDescent="0.35"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</row>
    <row r="697" spans="2:28" ht="15" customHeight="1" x14ac:dyDescent="0.35"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</row>
    <row r="698" spans="2:28" ht="15" customHeight="1" x14ac:dyDescent="0.35"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</row>
    <row r="699" spans="2:28" ht="15" customHeight="1" x14ac:dyDescent="0.35"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</row>
    <row r="700" spans="2:28" ht="15" customHeight="1" x14ac:dyDescent="0.35"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</row>
    <row r="701" spans="2:28" ht="15" customHeight="1" x14ac:dyDescent="0.35"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</row>
    <row r="702" spans="2:28" ht="15" customHeight="1" x14ac:dyDescent="0.35"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</row>
    <row r="703" spans="2:28" ht="15" customHeight="1" x14ac:dyDescent="0.35"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</row>
    <row r="704" spans="2:28" ht="15" customHeight="1" x14ac:dyDescent="0.35"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</row>
    <row r="705" spans="2:28" ht="15" customHeight="1" x14ac:dyDescent="0.35"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</row>
    <row r="706" spans="2:28" ht="15" customHeight="1" x14ac:dyDescent="0.35"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</row>
    <row r="707" spans="2:28" ht="15" customHeight="1" x14ac:dyDescent="0.35"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</row>
    <row r="708" spans="2:28" ht="15" customHeight="1" x14ac:dyDescent="0.35"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</row>
    <row r="709" spans="2:28" ht="15" customHeight="1" x14ac:dyDescent="0.35"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</row>
    <row r="710" spans="2:28" ht="15" customHeight="1" x14ac:dyDescent="0.35"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</row>
    <row r="711" spans="2:28" ht="15" customHeight="1" x14ac:dyDescent="0.35"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</row>
    <row r="712" spans="2:28" ht="15" customHeight="1" x14ac:dyDescent="0.35"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</row>
    <row r="713" spans="2:28" ht="15" customHeight="1" x14ac:dyDescent="0.35"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</row>
    <row r="714" spans="2:28" ht="15" customHeight="1" x14ac:dyDescent="0.35"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</row>
    <row r="715" spans="2:28" ht="15" customHeight="1" x14ac:dyDescent="0.35"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</row>
    <row r="716" spans="2:28" ht="15" customHeight="1" x14ac:dyDescent="0.35"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</row>
    <row r="717" spans="2:28" ht="15" customHeight="1" x14ac:dyDescent="0.35"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</row>
    <row r="718" spans="2:28" ht="15" customHeight="1" x14ac:dyDescent="0.35"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</row>
    <row r="719" spans="2:28" ht="15" customHeight="1" x14ac:dyDescent="0.35"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</row>
    <row r="720" spans="2:28" ht="15" customHeight="1" x14ac:dyDescent="0.35"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</row>
    <row r="721" spans="2:28" ht="15" customHeight="1" x14ac:dyDescent="0.35"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</row>
    <row r="722" spans="2:28" ht="15" customHeight="1" x14ac:dyDescent="0.35"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</row>
    <row r="723" spans="2:28" ht="15" customHeight="1" x14ac:dyDescent="0.35"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</row>
    <row r="724" spans="2:28" ht="15" customHeight="1" x14ac:dyDescent="0.35"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</row>
    <row r="725" spans="2:28" ht="15" customHeight="1" x14ac:dyDescent="0.35"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</row>
    <row r="726" spans="2:28" ht="15" customHeight="1" x14ac:dyDescent="0.35"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</row>
    <row r="727" spans="2:28" ht="15" customHeight="1" x14ac:dyDescent="0.35"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</row>
    <row r="728" spans="2:28" ht="15" customHeight="1" x14ac:dyDescent="0.35"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</row>
    <row r="729" spans="2:28" ht="15" customHeight="1" x14ac:dyDescent="0.35"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</row>
    <row r="730" spans="2:28" ht="15" customHeight="1" x14ac:dyDescent="0.35"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</row>
    <row r="731" spans="2:28" ht="15" customHeight="1" x14ac:dyDescent="0.35"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</row>
    <row r="732" spans="2:28" ht="15" customHeight="1" x14ac:dyDescent="0.35"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</row>
    <row r="733" spans="2:28" ht="15" customHeight="1" x14ac:dyDescent="0.35"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</row>
    <row r="734" spans="2:28" ht="15" customHeight="1" x14ac:dyDescent="0.35"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</row>
    <row r="735" spans="2:28" ht="15" customHeight="1" x14ac:dyDescent="0.35"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</row>
    <row r="736" spans="2:28" ht="15" customHeight="1" x14ac:dyDescent="0.35"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</row>
    <row r="737" spans="2:28" ht="15" customHeight="1" x14ac:dyDescent="0.35"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</row>
    <row r="738" spans="2:28" ht="15" customHeight="1" x14ac:dyDescent="0.35"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</row>
    <row r="739" spans="2:28" ht="15" customHeight="1" x14ac:dyDescent="0.35"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</row>
    <row r="740" spans="2:28" ht="15" customHeight="1" x14ac:dyDescent="0.35"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</row>
    <row r="741" spans="2:28" ht="15" customHeight="1" x14ac:dyDescent="0.35"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</row>
    <row r="742" spans="2:28" ht="15" customHeight="1" x14ac:dyDescent="0.35"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</row>
    <row r="743" spans="2:28" ht="15" customHeight="1" x14ac:dyDescent="0.35"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</row>
    <row r="744" spans="2:28" ht="15" customHeight="1" x14ac:dyDescent="0.35"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</row>
    <row r="745" spans="2:28" ht="15" customHeight="1" x14ac:dyDescent="0.35"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</row>
    <row r="746" spans="2:28" ht="15" customHeight="1" x14ac:dyDescent="0.35"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</row>
    <row r="747" spans="2:28" ht="15" customHeight="1" x14ac:dyDescent="0.35"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</row>
    <row r="748" spans="2:28" ht="15" customHeight="1" x14ac:dyDescent="0.35"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</row>
    <row r="749" spans="2:28" ht="15" customHeight="1" x14ac:dyDescent="0.35"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</row>
    <row r="750" spans="2:28" ht="15" customHeight="1" x14ac:dyDescent="0.35"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</row>
    <row r="751" spans="2:28" ht="15" customHeight="1" x14ac:dyDescent="0.35"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</row>
    <row r="752" spans="2:28" ht="15" customHeight="1" x14ac:dyDescent="0.35"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</row>
    <row r="753" spans="2:28" ht="15" customHeight="1" x14ac:dyDescent="0.35"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</row>
    <row r="754" spans="2:28" ht="15" customHeight="1" x14ac:dyDescent="0.35"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</row>
    <row r="755" spans="2:28" ht="15" customHeight="1" x14ac:dyDescent="0.35"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</row>
    <row r="756" spans="2:28" ht="15" customHeight="1" x14ac:dyDescent="0.35"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</row>
    <row r="757" spans="2:28" ht="15" customHeight="1" x14ac:dyDescent="0.35"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</row>
    <row r="758" spans="2:28" ht="15" customHeight="1" x14ac:dyDescent="0.35"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</row>
    <row r="759" spans="2:28" ht="15" customHeight="1" x14ac:dyDescent="0.35"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</row>
    <row r="760" spans="2:28" ht="15" customHeight="1" x14ac:dyDescent="0.35"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</row>
    <row r="761" spans="2:28" ht="15" customHeight="1" x14ac:dyDescent="0.35"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</row>
    <row r="762" spans="2:28" ht="15" customHeight="1" x14ac:dyDescent="0.35"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</row>
    <row r="763" spans="2:28" ht="15" customHeight="1" x14ac:dyDescent="0.35"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</row>
    <row r="764" spans="2:28" ht="15" customHeight="1" x14ac:dyDescent="0.35"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</row>
    <row r="765" spans="2:28" ht="15" customHeight="1" x14ac:dyDescent="0.35"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</row>
    <row r="766" spans="2:28" ht="15" customHeight="1" x14ac:dyDescent="0.35"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</row>
    <row r="767" spans="2:28" ht="15" customHeight="1" x14ac:dyDescent="0.35"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</row>
    <row r="768" spans="2:28" ht="15" customHeight="1" x14ac:dyDescent="0.35"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</row>
    <row r="769" spans="2:28" ht="15" customHeight="1" x14ac:dyDescent="0.35"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</row>
    <row r="770" spans="2:28" ht="15" customHeight="1" x14ac:dyDescent="0.35"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</row>
    <row r="771" spans="2:28" ht="15" customHeight="1" x14ac:dyDescent="0.35"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</row>
    <row r="772" spans="2:28" ht="15" customHeight="1" x14ac:dyDescent="0.35"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</row>
    <row r="773" spans="2:28" ht="15" customHeight="1" x14ac:dyDescent="0.35"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</row>
    <row r="774" spans="2:28" ht="15" customHeight="1" x14ac:dyDescent="0.35"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</row>
    <row r="775" spans="2:28" ht="15" customHeight="1" x14ac:dyDescent="0.35"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</row>
    <row r="776" spans="2:28" ht="15" customHeight="1" x14ac:dyDescent="0.35"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</row>
    <row r="777" spans="2:28" ht="15" customHeight="1" x14ac:dyDescent="0.35"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</row>
    <row r="778" spans="2:28" ht="15" customHeight="1" x14ac:dyDescent="0.35"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</row>
    <row r="779" spans="2:28" ht="15" customHeight="1" x14ac:dyDescent="0.35"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</row>
    <row r="780" spans="2:28" ht="15" customHeight="1" x14ac:dyDescent="0.35"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</row>
    <row r="781" spans="2:28" ht="15" customHeight="1" x14ac:dyDescent="0.35"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</row>
    <row r="782" spans="2:28" ht="15" customHeight="1" x14ac:dyDescent="0.35"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</row>
    <row r="783" spans="2:28" ht="15" customHeight="1" x14ac:dyDescent="0.35"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</row>
    <row r="784" spans="2:28" ht="15" customHeight="1" x14ac:dyDescent="0.35"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</row>
    <row r="785" spans="2:28" ht="15" customHeight="1" x14ac:dyDescent="0.35"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</row>
    <row r="786" spans="2:28" ht="15" customHeight="1" x14ac:dyDescent="0.35"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</row>
    <row r="787" spans="2:28" ht="15" customHeight="1" x14ac:dyDescent="0.35"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</row>
    <row r="788" spans="2:28" ht="15" customHeight="1" x14ac:dyDescent="0.35"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</row>
    <row r="789" spans="2:28" ht="15" customHeight="1" x14ac:dyDescent="0.35"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</row>
    <row r="790" spans="2:28" ht="15" customHeight="1" x14ac:dyDescent="0.35"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</row>
    <row r="791" spans="2:28" ht="15" customHeight="1" x14ac:dyDescent="0.35"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</row>
    <row r="792" spans="2:28" ht="15" customHeight="1" x14ac:dyDescent="0.35"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</row>
    <row r="793" spans="2:28" ht="15" customHeight="1" x14ac:dyDescent="0.35"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</row>
    <row r="794" spans="2:28" ht="15" customHeight="1" x14ac:dyDescent="0.35"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</row>
    <row r="795" spans="2:28" ht="15" customHeight="1" x14ac:dyDescent="0.35"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</row>
    <row r="796" spans="2:28" ht="15" customHeight="1" x14ac:dyDescent="0.35"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</row>
    <row r="797" spans="2:28" ht="15" customHeight="1" x14ac:dyDescent="0.35"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</row>
    <row r="798" spans="2:28" ht="15" customHeight="1" x14ac:dyDescent="0.35"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</row>
    <row r="799" spans="2:28" ht="15" customHeight="1" x14ac:dyDescent="0.35"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</row>
    <row r="800" spans="2:28" ht="15" customHeight="1" x14ac:dyDescent="0.35"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</row>
    <row r="801" spans="2:28" ht="15" customHeight="1" x14ac:dyDescent="0.35"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</row>
    <row r="802" spans="2:28" ht="15" customHeight="1" x14ac:dyDescent="0.35"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</row>
    <row r="803" spans="2:28" ht="15" customHeight="1" x14ac:dyDescent="0.35"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</row>
    <row r="804" spans="2:28" ht="15" customHeight="1" x14ac:dyDescent="0.35"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</row>
    <row r="805" spans="2:28" ht="15" customHeight="1" x14ac:dyDescent="0.35"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</row>
    <row r="806" spans="2:28" ht="15" customHeight="1" x14ac:dyDescent="0.35"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</row>
    <row r="807" spans="2:28" ht="15" customHeight="1" x14ac:dyDescent="0.35"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</row>
    <row r="808" spans="2:28" ht="15" customHeight="1" x14ac:dyDescent="0.35"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</row>
    <row r="809" spans="2:28" ht="15" customHeight="1" x14ac:dyDescent="0.35"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</row>
    <row r="810" spans="2:28" ht="15" customHeight="1" x14ac:dyDescent="0.35"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</row>
    <row r="811" spans="2:28" ht="15" customHeight="1" x14ac:dyDescent="0.35"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</row>
    <row r="812" spans="2:28" ht="15" customHeight="1" x14ac:dyDescent="0.35"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</row>
    <row r="813" spans="2:28" ht="15" customHeight="1" x14ac:dyDescent="0.35"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</row>
    <row r="814" spans="2:28" ht="15" customHeight="1" x14ac:dyDescent="0.35"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</row>
    <row r="815" spans="2:28" ht="15" customHeight="1" x14ac:dyDescent="0.35"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</row>
    <row r="816" spans="2:28" ht="15" customHeight="1" x14ac:dyDescent="0.35"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</row>
    <row r="817" spans="2:28" ht="15" customHeight="1" x14ac:dyDescent="0.35"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</row>
    <row r="818" spans="2:28" ht="15" customHeight="1" x14ac:dyDescent="0.35"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</row>
    <row r="819" spans="2:28" ht="15" customHeight="1" x14ac:dyDescent="0.35"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</row>
    <row r="820" spans="2:28" ht="15" customHeight="1" x14ac:dyDescent="0.35"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</row>
    <row r="821" spans="2:28" ht="15" customHeight="1" x14ac:dyDescent="0.35"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</row>
    <row r="822" spans="2:28" ht="15" customHeight="1" x14ac:dyDescent="0.35"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</row>
    <row r="823" spans="2:28" ht="15" customHeight="1" x14ac:dyDescent="0.35"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</row>
    <row r="824" spans="2:28" ht="15" customHeight="1" x14ac:dyDescent="0.35"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</row>
    <row r="825" spans="2:28" ht="15" customHeight="1" x14ac:dyDescent="0.35"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</row>
    <row r="826" spans="2:28" ht="15" customHeight="1" x14ac:dyDescent="0.35"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</row>
    <row r="827" spans="2:28" ht="15" customHeight="1" x14ac:dyDescent="0.35"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</row>
    <row r="828" spans="2:28" ht="15" customHeight="1" x14ac:dyDescent="0.35"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</row>
    <row r="829" spans="2:28" ht="15" customHeight="1" x14ac:dyDescent="0.35"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</row>
    <row r="830" spans="2:28" ht="15" customHeight="1" x14ac:dyDescent="0.35"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</row>
    <row r="831" spans="2:28" ht="15" customHeight="1" x14ac:dyDescent="0.35"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</row>
    <row r="832" spans="2:28" ht="15" customHeight="1" x14ac:dyDescent="0.35"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</row>
    <row r="833" spans="2:28" ht="15" customHeight="1" x14ac:dyDescent="0.35"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</row>
    <row r="834" spans="2:28" ht="15" customHeight="1" x14ac:dyDescent="0.35"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</row>
    <row r="835" spans="2:28" ht="15" customHeight="1" x14ac:dyDescent="0.35"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</row>
    <row r="836" spans="2:28" ht="15" customHeight="1" x14ac:dyDescent="0.35"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</row>
    <row r="837" spans="2:28" ht="15" customHeight="1" x14ac:dyDescent="0.35"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</row>
    <row r="838" spans="2:28" ht="15" customHeight="1" x14ac:dyDescent="0.35"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</row>
    <row r="839" spans="2:28" ht="15" customHeight="1" x14ac:dyDescent="0.35"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</row>
    <row r="840" spans="2:28" ht="15" customHeight="1" x14ac:dyDescent="0.35"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</row>
    <row r="841" spans="2:28" ht="15" customHeight="1" x14ac:dyDescent="0.35"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</row>
    <row r="842" spans="2:28" ht="15" customHeight="1" x14ac:dyDescent="0.35"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</row>
    <row r="843" spans="2:28" ht="15" customHeight="1" x14ac:dyDescent="0.35"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</row>
    <row r="844" spans="2:28" ht="15" customHeight="1" x14ac:dyDescent="0.35"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</row>
    <row r="845" spans="2:28" ht="15" customHeight="1" x14ac:dyDescent="0.35"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</row>
    <row r="846" spans="2:28" ht="15" customHeight="1" x14ac:dyDescent="0.35"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</row>
    <row r="847" spans="2:28" ht="15" customHeight="1" x14ac:dyDescent="0.35"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</row>
    <row r="848" spans="2:28" ht="15" customHeight="1" x14ac:dyDescent="0.35"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</row>
    <row r="849" spans="2:28" ht="15" customHeight="1" x14ac:dyDescent="0.35"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</row>
    <row r="850" spans="2:28" ht="15" customHeight="1" x14ac:dyDescent="0.35"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</row>
    <row r="851" spans="2:28" ht="15" customHeight="1" x14ac:dyDescent="0.35"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</row>
    <row r="852" spans="2:28" ht="15" customHeight="1" x14ac:dyDescent="0.35"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</row>
    <row r="853" spans="2:28" ht="15" customHeight="1" x14ac:dyDescent="0.35"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</row>
    <row r="854" spans="2:28" ht="15" customHeight="1" x14ac:dyDescent="0.35"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</row>
    <row r="855" spans="2:28" ht="15" customHeight="1" x14ac:dyDescent="0.35"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</row>
    <row r="856" spans="2:28" ht="15" customHeight="1" x14ac:dyDescent="0.35"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</row>
    <row r="857" spans="2:28" ht="15" customHeight="1" x14ac:dyDescent="0.35"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</row>
    <row r="858" spans="2:28" ht="15" customHeight="1" x14ac:dyDescent="0.35"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</row>
    <row r="859" spans="2:28" ht="15" customHeight="1" x14ac:dyDescent="0.35"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</row>
    <row r="860" spans="2:28" ht="15" customHeight="1" x14ac:dyDescent="0.35"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</row>
    <row r="861" spans="2:28" ht="15" customHeight="1" x14ac:dyDescent="0.35"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</row>
    <row r="862" spans="2:28" ht="15" customHeight="1" x14ac:dyDescent="0.35"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</row>
    <row r="863" spans="2:28" ht="15" customHeight="1" x14ac:dyDescent="0.35"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</row>
    <row r="864" spans="2:28" ht="15" customHeight="1" x14ac:dyDescent="0.35"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</row>
    <row r="865" spans="2:28" ht="15" customHeight="1" x14ac:dyDescent="0.35"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</row>
    <row r="866" spans="2:28" ht="15" customHeight="1" x14ac:dyDescent="0.35"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</row>
    <row r="867" spans="2:28" ht="15" customHeight="1" x14ac:dyDescent="0.35"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</row>
    <row r="868" spans="2:28" ht="15" customHeight="1" x14ac:dyDescent="0.35"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</row>
    <row r="869" spans="2:28" ht="15" customHeight="1" x14ac:dyDescent="0.35"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</row>
    <row r="870" spans="2:28" ht="15" customHeight="1" x14ac:dyDescent="0.35"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</row>
    <row r="871" spans="2:28" ht="15" customHeight="1" x14ac:dyDescent="0.35"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</row>
    <row r="872" spans="2:28" ht="15" customHeight="1" x14ac:dyDescent="0.35"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</row>
    <row r="873" spans="2:28" ht="15" customHeight="1" x14ac:dyDescent="0.35"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</row>
    <row r="874" spans="2:28" ht="15" customHeight="1" x14ac:dyDescent="0.35"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</row>
    <row r="875" spans="2:28" ht="15" customHeight="1" x14ac:dyDescent="0.35"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</row>
    <row r="876" spans="2:28" ht="15" customHeight="1" x14ac:dyDescent="0.35"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</row>
    <row r="877" spans="2:28" ht="15" customHeight="1" x14ac:dyDescent="0.35"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</row>
    <row r="878" spans="2:28" ht="15" customHeight="1" x14ac:dyDescent="0.35"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</row>
    <row r="879" spans="2:28" ht="15" customHeight="1" x14ac:dyDescent="0.35"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</row>
    <row r="880" spans="2:28" ht="15" customHeight="1" x14ac:dyDescent="0.35"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</row>
    <row r="881" spans="2:28" ht="15" customHeight="1" x14ac:dyDescent="0.35"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</row>
    <row r="882" spans="2:28" ht="15" customHeight="1" x14ac:dyDescent="0.35"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</row>
    <row r="883" spans="2:28" ht="15" customHeight="1" x14ac:dyDescent="0.35"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</row>
    <row r="884" spans="2:28" ht="15" customHeight="1" x14ac:dyDescent="0.35"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</row>
    <row r="885" spans="2:28" ht="15" customHeight="1" x14ac:dyDescent="0.35"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</row>
    <row r="886" spans="2:28" ht="15" customHeight="1" x14ac:dyDescent="0.35"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</row>
    <row r="887" spans="2:28" ht="15" customHeight="1" x14ac:dyDescent="0.35"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</row>
    <row r="888" spans="2:28" ht="15" customHeight="1" x14ac:dyDescent="0.35"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</row>
    <row r="889" spans="2:28" ht="15" customHeight="1" x14ac:dyDescent="0.35"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</row>
    <row r="890" spans="2:28" ht="15" customHeight="1" x14ac:dyDescent="0.35"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</row>
    <row r="891" spans="2:28" ht="15" customHeight="1" x14ac:dyDescent="0.35"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</row>
    <row r="892" spans="2:28" ht="15" customHeight="1" x14ac:dyDescent="0.35"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</row>
    <row r="893" spans="2:28" ht="15" customHeight="1" x14ac:dyDescent="0.35"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</row>
    <row r="894" spans="2:28" ht="15" customHeight="1" x14ac:dyDescent="0.35"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</row>
    <row r="895" spans="2:28" ht="15" customHeight="1" x14ac:dyDescent="0.35"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</row>
    <row r="896" spans="2:28" ht="15" customHeight="1" x14ac:dyDescent="0.35"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</row>
    <row r="897" spans="2:28" ht="15" customHeight="1" x14ac:dyDescent="0.35"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</row>
    <row r="898" spans="2:28" ht="15" customHeight="1" x14ac:dyDescent="0.35"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</row>
    <row r="899" spans="2:28" ht="15" customHeight="1" x14ac:dyDescent="0.35"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</row>
    <row r="900" spans="2:28" ht="15" customHeight="1" x14ac:dyDescent="0.35"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</row>
    <row r="901" spans="2:28" ht="15" customHeight="1" x14ac:dyDescent="0.35"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</row>
    <row r="902" spans="2:28" ht="15" customHeight="1" x14ac:dyDescent="0.35"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</row>
    <row r="903" spans="2:28" ht="15" customHeight="1" x14ac:dyDescent="0.35"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</row>
    <row r="904" spans="2:28" ht="15" customHeight="1" x14ac:dyDescent="0.35"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</row>
    <row r="905" spans="2:28" ht="15" customHeight="1" x14ac:dyDescent="0.35"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</row>
    <row r="906" spans="2:28" ht="15" customHeight="1" x14ac:dyDescent="0.35"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</row>
    <row r="907" spans="2:28" ht="15" customHeight="1" x14ac:dyDescent="0.35"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</row>
    <row r="908" spans="2:28" ht="15" customHeight="1" x14ac:dyDescent="0.35"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</row>
    <row r="909" spans="2:28" ht="15" customHeight="1" x14ac:dyDescent="0.35"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</row>
    <row r="910" spans="2:28" ht="15" customHeight="1" x14ac:dyDescent="0.35"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</row>
    <row r="911" spans="2:28" ht="15" customHeight="1" x14ac:dyDescent="0.35"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</row>
    <row r="912" spans="2:28" ht="15" customHeight="1" x14ac:dyDescent="0.35"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</row>
    <row r="913" spans="2:28" ht="15" customHeight="1" x14ac:dyDescent="0.35"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</row>
    <row r="914" spans="2:28" ht="15" customHeight="1" x14ac:dyDescent="0.35"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</row>
    <row r="915" spans="2:28" ht="15" customHeight="1" x14ac:dyDescent="0.35"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</row>
    <row r="916" spans="2:28" ht="15" customHeight="1" x14ac:dyDescent="0.35"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</row>
    <row r="917" spans="2:28" ht="15" customHeight="1" x14ac:dyDescent="0.35"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</row>
    <row r="918" spans="2:28" ht="15" customHeight="1" x14ac:dyDescent="0.35"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</row>
    <row r="919" spans="2:28" ht="15" customHeight="1" x14ac:dyDescent="0.35"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</row>
    <row r="920" spans="2:28" ht="15" customHeight="1" x14ac:dyDescent="0.35"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</row>
    <row r="921" spans="2:28" ht="15" customHeight="1" x14ac:dyDescent="0.35"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</row>
    <row r="922" spans="2:28" ht="15" customHeight="1" x14ac:dyDescent="0.35"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</row>
    <row r="923" spans="2:28" ht="15" customHeight="1" x14ac:dyDescent="0.35"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</row>
    <row r="924" spans="2:28" ht="15" customHeight="1" x14ac:dyDescent="0.35"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</row>
    <row r="925" spans="2:28" ht="15" customHeight="1" x14ac:dyDescent="0.35"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</row>
    <row r="926" spans="2:28" ht="15" customHeight="1" x14ac:dyDescent="0.35"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</row>
    <row r="927" spans="2:28" ht="15" customHeight="1" x14ac:dyDescent="0.35"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</row>
    <row r="928" spans="2:28" ht="15" customHeight="1" x14ac:dyDescent="0.35"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</row>
    <row r="929" spans="2:28" ht="15" customHeight="1" x14ac:dyDescent="0.35"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</row>
    <row r="930" spans="2:28" ht="15" customHeight="1" x14ac:dyDescent="0.35"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</row>
    <row r="931" spans="2:28" ht="15" customHeight="1" x14ac:dyDescent="0.35"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</row>
    <row r="932" spans="2:28" ht="15" customHeight="1" x14ac:dyDescent="0.35"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</row>
    <row r="933" spans="2:28" ht="15" customHeight="1" x14ac:dyDescent="0.35"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</row>
    <row r="934" spans="2:28" ht="15" customHeight="1" x14ac:dyDescent="0.35"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</row>
    <row r="935" spans="2:28" ht="15" customHeight="1" x14ac:dyDescent="0.35"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</row>
    <row r="936" spans="2:28" ht="15" customHeight="1" x14ac:dyDescent="0.35"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</row>
    <row r="937" spans="2:28" ht="15" customHeight="1" x14ac:dyDescent="0.35"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</row>
    <row r="938" spans="2:28" ht="15" customHeight="1" x14ac:dyDescent="0.35"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</row>
    <row r="939" spans="2:28" ht="15" customHeight="1" x14ac:dyDescent="0.35"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</row>
    <row r="940" spans="2:28" ht="15" customHeight="1" x14ac:dyDescent="0.35"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</row>
    <row r="941" spans="2:28" ht="15" customHeight="1" x14ac:dyDescent="0.35"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</row>
    <row r="942" spans="2:28" ht="15" customHeight="1" x14ac:dyDescent="0.35"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</row>
    <row r="943" spans="2:28" ht="15" customHeight="1" x14ac:dyDescent="0.35"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</row>
    <row r="944" spans="2:28" ht="15" customHeight="1" x14ac:dyDescent="0.35"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</row>
    <row r="945" spans="2:28" ht="15" customHeight="1" x14ac:dyDescent="0.35"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</row>
    <row r="946" spans="2:28" ht="15" customHeight="1" x14ac:dyDescent="0.35"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</row>
    <row r="947" spans="2:28" ht="15" customHeight="1" x14ac:dyDescent="0.35"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</row>
    <row r="948" spans="2:28" ht="15" customHeight="1" x14ac:dyDescent="0.35"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</row>
    <row r="949" spans="2:28" ht="15" customHeight="1" x14ac:dyDescent="0.35"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</row>
    <row r="950" spans="2:28" ht="15" customHeight="1" x14ac:dyDescent="0.35"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</row>
    <row r="951" spans="2:28" ht="15" customHeight="1" x14ac:dyDescent="0.35"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</row>
    <row r="952" spans="2:28" ht="15" customHeight="1" x14ac:dyDescent="0.35"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</row>
    <row r="953" spans="2:28" ht="15" customHeight="1" x14ac:dyDescent="0.35"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</row>
    <row r="954" spans="2:28" ht="15" customHeight="1" x14ac:dyDescent="0.35"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</row>
    <row r="955" spans="2:28" ht="15" customHeight="1" x14ac:dyDescent="0.35"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</row>
    <row r="956" spans="2:28" ht="15" customHeight="1" x14ac:dyDescent="0.35"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</row>
    <row r="957" spans="2:28" ht="15" customHeight="1" x14ac:dyDescent="0.35"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</row>
    <row r="958" spans="2:28" ht="15" customHeight="1" x14ac:dyDescent="0.35"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</row>
    <row r="959" spans="2:28" ht="15" customHeight="1" x14ac:dyDescent="0.35"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</row>
    <row r="960" spans="2:28" ht="15" customHeight="1" x14ac:dyDescent="0.35"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</row>
    <row r="961" spans="2:28" ht="15" customHeight="1" x14ac:dyDescent="0.35"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</row>
    <row r="962" spans="2:28" ht="15" customHeight="1" x14ac:dyDescent="0.35"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</row>
    <row r="963" spans="2:28" ht="15" customHeight="1" x14ac:dyDescent="0.35"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</row>
    <row r="964" spans="2:28" ht="15" customHeight="1" x14ac:dyDescent="0.35"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</row>
    <row r="965" spans="2:28" ht="15" customHeight="1" x14ac:dyDescent="0.35"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</row>
    <row r="966" spans="2:28" ht="15" customHeight="1" x14ac:dyDescent="0.35"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</row>
    <row r="967" spans="2:28" ht="15" customHeight="1" x14ac:dyDescent="0.35"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</row>
    <row r="968" spans="2:28" ht="15" customHeight="1" x14ac:dyDescent="0.35"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</row>
    <row r="969" spans="2:28" ht="15" customHeight="1" x14ac:dyDescent="0.35"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</row>
    <row r="970" spans="2:28" ht="15" customHeight="1" x14ac:dyDescent="0.35"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</row>
    <row r="971" spans="2:28" ht="15" customHeight="1" x14ac:dyDescent="0.35"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</row>
    <row r="972" spans="2:28" ht="15" customHeight="1" x14ac:dyDescent="0.35"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</row>
    <row r="973" spans="2:28" ht="15" customHeight="1" x14ac:dyDescent="0.35"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</row>
    <row r="974" spans="2:28" ht="15" customHeight="1" x14ac:dyDescent="0.35"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</row>
    <row r="975" spans="2:28" ht="15" customHeight="1" x14ac:dyDescent="0.35"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</row>
    <row r="976" spans="2:28" ht="15" customHeight="1" x14ac:dyDescent="0.35"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</row>
    <row r="977" spans="2:28" ht="15" customHeight="1" x14ac:dyDescent="0.35"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</row>
    <row r="978" spans="2:28" ht="15" customHeight="1" x14ac:dyDescent="0.35"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</row>
    <row r="979" spans="2:28" ht="15" customHeight="1" x14ac:dyDescent="0.35"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</row>
    <row r="980" spans="2:28" ht="15" customHeight="1" x14ac:dyDescent="0.35"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</row>
    <row r="981" spans="2:28" ht="15" customHeight="1" x14ac:dyDescent="0.35"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</row>
    <row r="982" spans="2:28" ht="15" customHeight="1" x14ac:dyDescent="0.35"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</row>
    <row r="983" spans="2:28" ht="15" customHeight="1" x14ac:dyDescent="0.35"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</row>
    <row r="984" spans="2:28" ht="15" customHeight="1" x14ac:dyDescent="0.35"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</row>
    <row r="985" spans="2:28" ht="15" customHeight="1" x14ac:dyDescent="0.35"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</row>
    <row r="986" spans="2:28" ht="15" customHeight="1" x14ac:dyDescent="0.35"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</row>
    <row r="987" spans="2:28" ht="15" customHeight="1" x14ac:dyDescent="0.35"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</row>
    <row r="988" spans="2:28" ht="15" customHeight="1" x14ac:dyDescent="0.35"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</row>
    <row r="989" spans="2:28" ht="15" customHeight="1" x14ac:dyDescent="0.35"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</row>
    <row r="990" spans="2:28" ht="15" customHeight="1" x14ac:dyDescent="0.35"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</row>
    <row r="991" spans="2:28" ht="15" customHeight="1" x14ac:dyDescent="0.35"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</row>
    <row r="992" spans="2:28" ht="15" customHeight="1" x14ac:dyDescent="0.35"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</row>
    <row r="993" spans="2:28" ht="15" customHeight="1" x14ac:dyDescent="0.35"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</row>
    <row r="994" spans="2:28" ht="15" customHeight="1" x14ac:dyDescent="0.35"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</row>
    <row r="995" spans="2:28" ht="15" customHeight="1" x14ac:dyDescent="0.35"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</row>
    <row r="996" spans="2:28" ht="15" customHeight="1" x14ac:dyDescent="0.35"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</row>
    <row r="997" spans="2:28" ht="15" customHeight="1" x14ac:dyDescent="0.35"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</row>
    <row r="998" spans="2:28" ht="15" customHeight="1" x14ac:dyDescent="0.35"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</row>
    <row r="999" spans="2:28" ht="15" customHeight="1" x14ac:dyDescent="0.35"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</row>
    <row r="1000" spans="2:28" ht="15" customHeight="1" x14ac:dyDescent="0.35"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</row>
    <row r="1001" spans="2:28" ht="15" customHeight="1" x14ac:dyDescent="0.35"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  <c r="Z1001" s="30"/>
      <c r="AA1001" s="30"/>
      <c r="AB1001" s="30"/>
    </row>
    <row r="1002" spans="2:28" ht="15" customHeight="1" x14ac:dyDescent="0.35"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  <c r="Z1002" s="30"/>
      <c r="AA1002" s="30"/>
      <c r="AB1002" s="30"/>
    </row>
    <row r="1003" spans="2:28" ht="15" customHeight="1" x14ac:dyDescent="0.35"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  <c r="Z1003" s="30"/>
      <c r="AA1003" s="30"/>
      <c r="AB1003" s="30"/>
    </row>
    <row r="1004" spans="2:28" ht="15" customHeight="1" x14ac:dyDescent="0.35"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  <c r="Z1004" s="30"/>
      <c r="AA1004" s="30"/>
      <c r="AB1004" s="30"/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91CCC-F95E-4239-84C3-6B64CCE87A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Cover</vt:lpstr>
      <vt:lpstr>Assumptions and Drivers</vt:lpstr>
      <vt:lpstr>Input --&gt;</vt:lpstr>
      <vt:lpstr>IS Assumptions</vt:lpstr>
      <vt:lpstr>BS Assumptions</vt:lpstr>
      <vt:lpstr>Working Capital</vt:lpstr>
      <vt:lpstr>Finance Costs</vt:lpstr>
      <vt:lpstr>Equity Funds</vt:lpstr>
      <vt:lpstr>Other Income</vt:lpstr>
      <vt:lpstr>PP&amp;E</vt:lpstr>
      <vt:lpstr>Output --&gt;</vt:lpstr>
      <vt:lpstr>Income Statement</vt:lpstr>
      <vt:lpstr>Balance Sheet</vt:lpstr>
      <vt:lpstr>Cash Flow</vt:lpstr>
      <vt:lpstr>Valuation --&gt;</vt:lpstr>
      <vt:lpstr>UFCF</vt:lpstr>
      <vt:lpstr>WACC</vt:lpstr>
      <vt:lpstr>DCF Valuation</vt:lpstr>
      <vt:lpstr>Sources --&gt;</vt:lpstr>
      <vt:lpstr>Income Statement Source</vt:lpstr>
      <vt:lpstr>Balance Sheet Source</vt:lpstr>
      <vt:lpstr>BS Sch III</vt:lpstr>
      <vt:lpstr>CFS Sch III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Joshua</dc:creator>
  <cp:keywords/>
  <dc:description/>
  <cp:lastModifiedBy>Joshua</cp:lastModifiedBy>
  <cp:revision/>
  <dcterms:created xsi:type="dcterms:W3CDTF">2026-05-21T15:03:05Z</dcterms:created>
  <dcterms:modified xsi:type="dcterms:W3CDTF">2026-06-07T21:24:51Z</dcterms:modified>
  <cp:category/>
  <cp:contentStatus/>
</cp:coreProperties>
</file>