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blad 1" sheetId="2" state="hidden" r:id="rId2"/>
    <sheet name="blad 2" sheetId="3" state="hidden" r:id="rId3"/>
    <sheet name="blad3" sheetId="5" state="hidden" r:id="rId4"/>
    <sheet name="offerte" sheetId="15" r:id="rId5"/>
    <sheet name="Opdrachtbevestiging" sheetId="16" state="hidden" r:id="rId6"/>
    <sheet name="Factuur" sheetId="17" state="hidden" r:id="rId7"/>
    <sheet name="Copyright" sheetId="4" state="hidden" r:id="rId8"/>
    <sheet name="Bestelling glas" sheetId="13" state="hidden" r:id="rId9"/>
    <sheet name="Bestelling roosters" sheetId="18" state="hidden" r:id="rId10"/>
  </sheets>
  <definedNames>
    <definedName name="_xlnm._FilterDatabase" localSheetId="1" hidden="1">'blad 1'!$A$1:$A$3</definedName>
    <definedName name="_xlnm._FilterDatabase" localSheetId="0" hidden="1">Offerteblad!$K$10:$K$49</definedName>
    <definedName name="_xlnm.Print_Area" localSheetId="8">'Bestelling glas'!$A$1:$K$40</definedName>
    <definedName name="_xlnm.Print_Area" localSheetId="9">'Bestelling roosters'!$A$1:$I$40</definedName>
    <definedName name="_xlnm.Print_Area" localSheetId="6">Factuur!$A$1:$K$55</definedName>
    <definedName name="_xlnm.Print_Area" localSheetId="4">offerte!$A$1:$K$54</definedName>
    <definedName name="_xlnm.Print_Area" localSheetId="0">Offerteblad!$B$3:$M$74</definedName>
    <definedName name="_xlnm.Print_Area" localSheetId="5">Opdrachtbevestiging!$A$1:$K$55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lijsoverig">'blad 2'!$E$55:$F$157</definedName>
    <definedName name="prijslijst">'blad 2'!$A$2:$B$169</definedName>
    <definedName name="Provincie">'blad 1'!$H$1:$H$14</definedName>
    <definedName name="Rooster">'blad 1'!$A$10:$A$14</definedName>
    <definedName name="roosterprijslijst">'blad 2'!$E$1:$G$34</definedName>
    <definedName name="soortglas">'blad 2'!$A$2:$A$231</definedName>
    <definedName name="soortkit">'blad 2'!$O$3:$O$12</definedName>
    <definedName name="soortrooster">'blad 2'!$E$2:$E$26</definedName>
    <definedName name="Soortsamenstelling">'blad 2'!$A$2:$A$163</definedName>
    <definedName name="spouw">'blad 1'!$A$20:$A$23</definedName>
    <definedName name="spouwbreedte">'blad 1'!$A$19:$A$23</definedName>
  </definedNames>
  <calcPr calcId="125725"/>
</workbook>
</file>

<file path=xl/calcChain.xml><?xml version="1.0" encoding="utf-8"?>
<calcChain xmlns="http://schemas.openxmlformats.org/spreadsheetml/2006/main">
  <c r="J13" i="1"/>
  <c r="J14"/>
  <c r="J15"/>
  <c r="K15"/>
  <c r="J20" i="15" s="1"/>
  <c r="J16" i="1"/>
  <c r="K16"/>
  <c r="J21" i="15" s="1"/>
  <c r="J17" i="1"/>
  <c r="K17"/>
  <c r="J22" i="16" s="1"/>
  <c r="J18" i="1"/>
  <c r="K18"/>
  <c r="J23" i="15" s="1"/>
  <c r="J19" i="1"/>
  <c r="K19"/>
  <c r="J24" i="15" s="1"/>
  <c r="J20" i="1"/>
  <c r="K20"/>
  <c r="J25" i="15" s="1"/>
  <c r="J21" i="1"/>
  <c r="K21"/>
  <c r="J26" i="16" s="1"/>
  <c r="J22" i="1"/>
  <c r="K22"/>
  <c r="J27" i="15" s="1"/>
  <c r="J23" i="1"/>
  <c r="K23"/>
  <c r="J24"/>
  <c r="K24"/>
  <c r="J29" i="15" s="1"/>
  <c r="J25" i="1"/>
  <c r="K25"/>
  <c r="J30" i="15" s="1"/>
  <c r="J26" i="1"/>
  <c r="K26"/>
  <c r="J31" i="15" s="1"/>
  <c r="J27" i="1"/>
  <c r="K27"/>
  <c r="J32" i="15" s="1"/>
  <c r="J28" i="1"/>
  <c r="K28"/>
  <c r="J33" i="15" s="1"/>
  <c r="J29" i="1"/>
  <c r="K29"/>
  <c r="J34" i="16" s="1"/>
  <c r="J30" i="1"/>
  <c r="K30"/>
  <c r="J35" i="15" s="1"/>
  <c r="J31" i="1"/>
  <c r="K31"/>
  <c r="L15"/>
  <c r="L16"/>
  <c r="L17"/>
  <c r="L18"/>
  <c r="L19"/>
  <c r="L20"/>
  <c r="L21"/>
  <c r="L22"/>
  <c r="L23"/>
  <c r="L24"/>
  <c r="L25"/>
  <c r="L26"/>
  <c r="L27"/>
  <c r="L28"/>
  <c r="L29"/>
  <c r="L30"/>
  <c r="L31"/>
  <c r="C2" i="5"/>
  <c r="C3"/>
  <c r="I3" s="1"/>
  <c r="C4"/>
  <c r="I4" s="1"/>
  <c r="C5"/>
  <c r="I5" s="1"/>
  <c r="C6"/>
  <c r="I6" s="1"/>
  <c r="C7"/>
  <c r="I7" s="1"/>
  <c r="C8"/>
  <c r="I8"/>
  <c r="C9"/>
  <c r="I9"/>
  <c r="C10"/>
  <c r="I10"/>
  <c r="C11"/>
  <c r="I11"/>
  <c r="C12"/>
  <c r="I12"/>
  <c r="C13"/>
  <c r="I13"/>
  <c r="C14"/>
  <c r="I14"/>
  <c r="C15"/>
  <c r="I15"/>
  <c r="C16"/>
  <c r="I16"/>
  <c r="C17"/>
  <c r="I17"/>
  <c r="C18"/>
  <c r="I18"/>
  <c r="C19"/>
  <c r="I19"/>
  <c r="C20"/>
  <c r="I20"/>
  <c r="H18" i="2"/>
  <c r="H17"/>
  <c r="Q13" i="1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I18"/>
  <c r="M18"/>
  <c r="R18"/>
  <c r="F18" s="1"/>
  <c r="A19"/>
  <c r="C19"/>
  <c r="E19"/>
  <c r="G19"/>
  <c r="I19"/>
  <c r="M19"/>
  <c r="R19"/>
  <c r="F19" s="1"/>
  <c r="A20"/>
  <c r="C20"/>
  <c r="E20"/>
  <c r="F20"/>
  <c r="G20"/>
  <c r="I20"/>
  <c r="M20"/>
  <c r="R20"/>
  <c r="A21"/>
  <c r="C21"/>
  <c r="E21"/>
  <c r="F21"/>
  <c r="G21"/>
  <c r="I21"/>
  <c r="M21"/>
  <c r="R21"/>
  <c r="A22"/>
  <c r="C22"/>
  <c r="E22"/>
  <c r="F22"/>
  <c r="G22"/>
  <c r="I22"/>
  <c r="M22"/>
  <c r="R22"/>
  <c r="A23"/>
  <c r="C23"/>
  <c r="E23"/>
  <c r="F23"/>
  <c r="G23"/>
  <c r="I23"/>
  <c r="M23"/>
  <c r="R23"/>
  <c r="A24"/>
  <c r="C24"/>
  <c r="E24"/>
  <c r="F24"/>
  <c r="G24"/>
  <c r="I24"/>
  <c r="M24"/>
  <c r="R24"/>
  <c r="A25"/>
  <c r="C25"/>
  <c r="E25"/>
  <c r="F25"/>
  <c r="G25"/>
  <c r="I25"/>
  <c r="M25"/>
  <c r="R25"/>
  <c r="A26"/>
  <c r="C26"/>
  <c r="E26"/>
  <c r="F26"/>
  <c r="G26"/>
  <c r="I26"/>
  <c r="M26"/>
  <c r="R26"/>
  <c r="A27"/>
  <c r="C27"/>
  <c r="E27"/>
  <c r="F27"/>
  <c r="G27"/>
  <c r="I27"/>
  <c r="M27"/>
  <c r="R27"/>
  <c r="A28"/>
  <c r="C28"/>
  <c r="E28"/>
  <c r="F28"/>
  <c r="G28"/>
  <c r="I28"/>
  <c r="M28"/>
  <c r="R28"/>
  <c r="A29"/>
  <c r="C29"/>
  <c r="E29"/>
  <c r="F29"/>
  <c r="G29"/>
  <c r="I29"/>
  <c r="M29"/>
  <c r="R29"/>
  <c r="A30"/>
  <c r="C30"/>
  <c r="E30"/>
  <c r="F30"/>
  <c r="G30"/>
  <c r="I30"/>
  <c r="M30"/>
  <c r="R30"/>
  <c r="A31"/>
  <c r="C31"/>
  <c r="E31"/>
  <c r="F31"/>
  <c r="G31"/>
  <c r="I31"/>
  <c r="M31"/>
  <c r="R31"/>
  <c r="A32"/>
  <c r="C32"/>
  <c r="E32"/>
  <c r="F32"/>
  <c r="G32"/>
  <c r="I32"/>
  <c r="M32"/>
  <c r="R32"/>
  <c r="A33"/>
  <c r="C33"/>
  <c r="E33"/>
  <c r="F33"/>
  <c r="G33"/>
  <c r="I33"/>
  <c r="M33"/>
  <c r="R33"/>
  <c r="A34"/>
  <c r="C34"/>
  <c r="E34"/>
  <c r="F34"/>
  <c r="G34"/>
  <c r="I34"/>
  <c r="M34"/>
  <c r="R34"/>
  <c r="A35"/>
  <c r="C35"/>
  <c r="E35"/>
  <c r="F35"/>
  <c r="G35"/>
  <c r="I35"/>
  <c r="M35"/>
  <c r="R35"/>
  <c r="A36"/>
  <c r="C36"/>
  <c r="E36"/>
  <c r="F36"/>
  <c r="G36"/>
  <c r="I36"/>
  <c r="M36"/>
  <c r="R36"/>
  <c r="D3" i="17"/>
  <c r="D4"/>
  <c r="I5"/>
  <c r="I6"/>
  <c r="I7"/>
  <c r="I8"/>
  <c r="C9"/>
  <c r="C10"/>
  <c r="C11"/>
  <c r="D11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7"/>
  <c r="E47"/>
  <c r="D48"/>
  <c r="A49"/>
  <c r="A50"/>
  <c r="A51"/>
  <c r="C51"/>
  <c r="B52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7"/>
  <c r="E47"/>
  <c r="D48"/>
  <c r="A49"/>
  <c r="A50"/>
  <c r="A51"/>
  <c r="C51"/>
  <c r="B52"/>
  <c r="D3" i="15"/>
  <c r="C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D2" i="5"/>
  <c r="E2"/>
  <c r="D3"/>
  <c r="E3"/>
  <c r="G3" s="1"/>
  <c r="D4"/>
  <c r="E4"/>
  <c r="D5"/>
  <c r="E5"/>
  <c r="D6"/>
  <c r="E6"/>
  <c r="D7"/>
  <c r="E7"/>
  <c r="G7" s="1"/>
  <c r="D8"/>
  <c r="E8"/>
  <c r="D9"/>
  <c r="E9"/>
  <c r="D10"/>
  <c r="E10"/>
  <c r="D11"/>
  <c r="E11"/>
  <c r="D12"/>
  <c r="E12"/>
  <c r="D13"/>
  <c r="E13"/>
  <c r="D14"/>
  <c r="E14"/>
  <c r="D15"/>
  <c r="E15"/>
  <c r="G15" s="1"/>
  <c r="D16"/>
  <c r="E16"/>
  <c r="D17"/>
  <c r="E17"/>
  <c r="D18"/>
  <c r="E18"/>
  <c r="D19"/>
  <c r="E19"/>
  <c r="D20"/>
  <c r="E20"/>
  <c r="L3" i="3"/>
  <c r="L4"/>
  <c r="L5"/>
  <c r="L6"/>
  <c r="L7"/>
  <c r="L8"/>
  <c r="L9"/>
  <c r="L10"/>
  <c r="L11"/>
  <c r="L12"/>
  <c r="L13"/>
  <c r="D16" i="2"/>
  <c r="D17"/>
  <c r="A33"/>
  <c r="D13" i="1"/>
  <c r="N13"/>
  <c r="P13"/>
  <c r="O13" s="1"/>
  <c r="D14"/>
  <c r="K14" s="1"/>
  <c r="M14"/>
  <c r="N14"/>
  <c r="P14"/>
  <c r="O14" s="1"/>
  <c r="L14" s="1"/>
  <c r="D15"/>
  <c r="J20" i="17"/>
  <c r="K20"/>
  <c r="M15" i="1"/>
  <c r="N15"/>
  <c r="P15"/>
  <c r="O15"/>
  <c r="D16"/>
  <c r="K21" i="17"/>
  <c r="M16" i="1"/>
  <c r="N16"/>
  <c r="P16"/>
  <c r="O16"/>
  <c r="D17"/>
  <c r="J22" i="17"/>
  <c r="K22"/>
  <c r="M17" i="1"/>
  <c r="N17"/>
  <c r="P17"/>
  <c r="O17"/>
  <c r="D18"/>
  <c r="K23" i="17"/>
  <c r="M18" i="1"/>
  <c r="N18"/>
  <c r="P18"/>
  <c r="O18"/>
  <c r="D19"/>
  <c r="J24" i="17"/>
  <c r="K24"/>
  <c r="M19" i="1"/>
  <c r="N19"/>
  <c r="P19"/>
  <c r="O19"/>
  <c r="D20"/>
  <c r="K25" i="17"/>
  <c r="M20" i="1"/>
  <c r="N20"/>
  <c r="P20"/>
  <c r="O20"/>
  <c r="D21"/>
  <c r="J26" i="17"/>
  <c r="K26"/>
  <c r="M21" i="1"/>
  <c r="N21"/>
  <c r="P21"/>
  <c r="O21"/>
  <c r="D22"/>
  <c r="K27" i="17"/>
  <c r="M22" i="1"/>
  <c r="N22"/>
  <c r="P22"/>
  <c r="O22"/>
  <c r="D23"/>
  <c r="J28" i="17"/>
  <c r="K28"/>
  <c r="M23" i="1"/>
  <c r="N23"/>
  <c r="P23"/>
  <c r="O23"/>
  <c r="D24"/>
  <c r="K29" i="17"/>
  <c r="M24" i="1"/>
  <c r="N24"/>
  <c r="P24"/>
  <c r="O24"/>
  <c r="D25"/>
  <c r="J30" i="17"/>
  <c r="K30"/>
  <c r="M25" i="1"/>
  <c r="N25"/>
  <c r="P25"/>
  <c r="O25"/>
  <c r="D26"/>
  <c r="K31" i="17"/>
  <c r="M26" i="1"/>
  <c r="N26"/>
  <c r="P26"/>
  <c r="O26"/>
  <c r="D27"/>
  <c r="J32" i="17"/>
  <c r="K32"/>
  <c r="M27" i="1"/>
  <c r="N27"/>
  <c r="P27"/>
  <c r="O27"/>
  <c r="D28"/>
  <c r="K33" i="17"/>
  <c r="M28" i="1"/>
  <c r="N28"/>
  <c r="P28"/>
  <c r="O28"/>
  <c r="D29"/>
  <c r="J34" i="17"/>
  <c r="K34"/>
  <c r="M29" i="1"/>
  <c r="N29"/>
  <c r="P29"/>
  <c r="O29"/>
  <c r="D30"/>
  <c r="K35" i="17"/>
  <c r="M30" i="1"/>
  <c r="N30"/>
  <c r="P30"/>
  <c r="O30"/>
  <c r="D31"/>
  <c r="J36" i="17"/>
  <c r="K36"/>
  <c r="M31" i="1"/>
  <c r="N31"/>
  <c r="P31"/>
  <c r="O31"/>
  <c r="B59"/>
  <c r="G61"/>
  <c r="G62"/>
  <c r="G63"/>
  <c r="G64"/>
  <c r="G65"/>
  <c r="G66"/>
  <c r="M13"/>
  <c r="J29" i="16"/>
  <c r="C23" i="5"/>
  <c r="F39" i="1" s="1"/>
  <c r="J25" i="17"/>
  <c r="J21"/>
  <c r="J25" i="16"/>
  <c r="J30"/>
  <c r="K36" i="15"/>
  <c r="K35"/>
  <c r="K34"/>
  <c r="K33"/>
  <c r="K32"/>
  <c r="K31"/>
  <c r="K30"/>
  <c r="K29"/>
  <c r="K28"/>
  <c r="K27"/>
  <c r="K26"/>
  <c r="K25"/>
  <c r="K24"/>
  <c r="K23"/>
  <c r="K22"/>
  <c r="K21"/>
  <c r="K20"/>
  <c r="K35" i="16"/>
  <c r="K34"/>
  <c r="K33"/>
  <c r="K32"/>
  <c r="K31"/>
  <c r="K30"/>
  <c r="K29"/>
  <c r="K28"/>
  <c r="K27"/>
  <c r="K26"/>
  <c r="K25"/>
  <c r="K24"/>
  <c r="K23"/>
  <c r="K22"/>
  <c r="K21"/>
  <c r="K20"/>
  <c r="J27" i="17"/>
  <c r="J23" i="16"/>
  <c r="J24"/>
  <c r="J28" i="15"/>
  <c r="J36" i="16"/>
  <c r="J33" i="17"/>
  <c r="J35" i="16"/>
  <c r="K36"/>
  <c r="J34" i="15"/>
  <c r="J36"/>
  <c r="J28" i="16"/>
  <c r="J22" i="15"/>
  <c r="J26"/>
  <c r="J20" i="16" l="1"/>
  <c r="J32"/>
  <c r="J31"/>
  <c r="J29" i="17"/>
  <c r="J33" i="16"/>
  <c r="J27"/>
  <c r="J35" i="17"/>
  <c r="J23"/>
  <c r="J31"/>
  <c r="J21" i="16"/>
  <c r="J19" i="17"/>
  <c r="J19" i="15"/>
  <c r="G19" i="5"/>
  <c r="G17"/>
  <c r="G16"/>
  <c r="K19" i="15"/>
  <c r="K19" i="16"/>
  <c r="K19" i="17"/>
  <c r="J19" i="16"/>
  <c r="Q32" i="1"/>
  <c r="V10" i="3" s="1"/>
  <c r="W10" s="1"/>
  <c r="G11" i="5"/>
  <c r="G9"/>
  <c r="G8"/>
  <c r="G20"/>
  <c r="G13"/>
  <c r="G12"/>
  <c r="G5"/>
  <c r="G4"/>
  <c r="G2"/>
  <c r="G23" s="1"/>
  <c r="G18"/>
  <c r="G14"/>
  <c r="G10"/>
  <c r="G6"/>
  <c r="K13" i="1"/>
  <c r="J18" i="17" s="1"/>
  <c r="L13" i="1"/>
  <c r="I2" i="5"/>
  <c r="I23" s="1"/>
  <c r="H20" i="2" s="1"/>
  <c r="A43" i="17"/>
  <c r="A43" i="15"/>
  <c r="A43" i="16"/>
  <c r="X10" i="3"/>
  <c r="H44" i="1" s="1"/>
  <c r="O5" i="2" l="1"/>
  <c r="K32" i="1"/>
  <c r="L44" s="1"/>
  <c r="J47" i="17" s="1"/>
  <c r="G25" i="5"/>
  <c r="F37" i="1" s="1"/>
  <c r="G26" i="5"/>
  <c r="F38" i="1" s="1"/>
  <c r="A42" i="15" s="1"/>
  <c r="J18"/>
  <c r="J18" i="16"/>
  <c r="O6" i="2"/>
  <c r="H21"/>
  <c r="L32" i="1"/>
  <c r="K18" i="17"/>
  <c r="J37" s="1"/>
  <c r="K18" i="16"/>
  <c r="J37" s="1"/>
  <c r="K18" i="15"/>
  <c r="J37" s="1"/>
  <c r="J38" i="16"/>
  <c r="J38" i="17"/>
  <c r="J38" i="15"/>
  <c r="A42" i="17"/>
  <c r="H47"/>
  <c r="H47" i="16"/>
  <c r="H47" i="15"/>
  <c r="A41" i="17"/>
  <c r="A41" i="15"/>
  <c r="A41" i="16"/>
  <c r="L33" i="1" l="1"/>
  <c r="L39" s="1"/>
  <c r="J43" i="17" s="1"/>
  <c r="J47" i="15"/>
  <c r="J47" i="16"/>
  <c r="A42"/>
  <c r="H40" i="1"/>
  <c r="C44" i="15" s="1"/>
  <c r="H39" i="1"/>
  <c r="C43" i="16" s="1"/>
  <c r="J43"/>
  <c r="J43" i="15"/>
  <c r="L36" i="1"/>
  <c r="L38"/>
  <c r="H38"/>
  <c r="H37"/>
  <c r="L37"/>
  <c r="C43" i="17" l="1"/>
  <c r="C44"/>
  <c r="C44" i="16"/>
  <c r="C43" i="15"/>
  <c r="L40" i="1"/>
  <c r="L42" s="1"/>
  <c r="L43" s="1"/>
  <c r="J41" i="15"/>
  <c r="J41" i="17"/>
  <c r="J41" i="16"/>
  <c r="C42"/>
  <c r="C42" i="15"/>
  <c r="C42" i="17"/>
  <c r="J39" i="15"/>
  <c r="J39" i="17"/>
  <c r="J39" i="16"/>
  <c r="C41" i="17"/>
  <c r="C41" i="15"/>
  <c r="C41" i="16"/>
  <c r="J42" i="15"/>
  <c r="J42" i="16"/>
  <c r="J42" i="17"/>
  <c r="J46" i="16" l="1"/>
  <c r="J46" i="17"/>
  <c r="J46" i="15"/>
  <c r="L45" i="1"/>
  <c r="J44" i="17"/>
  <c r="A44" s="1"/>
  <c r="J44" i="16"/>
  <c r="A44" s="1"/>
  <c r="J44" i="15"/>
  <c r="A44" s="1"/>
  <c r="L46" i="1" l="1"/>
  <c r="L47" s="1"/>
  <c r="J48" i="16"/>
  <c r="J48" i="17"/>
  <c r="J48" i="15"/>
  <c r="J50" i="17" l="1"/>
  <c r="J50" i="16"/>
  <c r="J50" i="15"/>
  <c r="J49" i="17"/>
  <c r="J49" i="15"/>
  <c r="J49" i="16"/>
</calcChain>
</file>

<file path=xl/sharedStrings.xml><?xml version="1.0" encoding="utf-8"?>
<sst xmlns="http://schemas.openxmlformats.org/spreadsheetml/2006/main" count="521" uniqueCount="315">
  <si>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</si>
  <si>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</si>
  <si>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</si>
  <si>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</si>
  <si>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</si>
  <si>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</si>
  <si>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</si>
  <si>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</si>
  <si>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</si>
  <si>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Ventilatierooster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</si>
  <si>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</si>
  <si>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</si>
  <si>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</si>
  <si>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</si>
  <si>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</si>
  <si>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</si>
  <si>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</si>
  <si>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</si>
  <si>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</si>
  <si>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</si>
  <si>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</si>
  <si>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</si>
  <si>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</si>
  <si>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</si>
  <si>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</si>
  <si>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</si>
  <si>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</si>
  <si>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</si>
  <si>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</si>
  <si>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</si>
  <si>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</si>
  <si>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</si>
  <si>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9 mm</t>
  </si>
  <si>
    <t>6 mm</t>
  </si>
  <si>
    <t>12 mm</t>
  </si>
  <si>
    <t>15 mm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</si>
  <si>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</si>
  <si>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</si>
  <si>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</si>
  <si>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</si>
  <si>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</si>
  <si>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</si>
  <si>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Prijs rooster(s)
 (€)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</si>
  <si>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</si>
  <si>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</si>
  <si>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</si>
  <si>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>Spouw
breedte</t>
  </si>
  <si>
    <t>RAL
kleur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</si>
  <si>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</si>
  <si>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</si>
  <si>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</si>
  <si>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</si>
  <si>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</si>
  <si>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</si>
  <si>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</si>
  <si>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</si>
  <si>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</si>
  <si>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</si>
  <si>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</si>
  <si>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</si>
  <si>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</si>
  <si>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</si>
  <si>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</si>
  <si>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</si>
  <si>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</si>
  <si>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</si>
  <si>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</si>
  <si>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</si>
  <si>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</si>
  <si>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</si>
  <si>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</si>
  <si>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</si>
  <si>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</si>
  <si>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</si>
  <si>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</si>
  <si>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</si>
  <si>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</si>
  <si>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</si>
  <si>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Subtotaal glas/roosters excl. BTW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</si>
  <si>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</si>
  <si>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</si>
  <si>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</si>
  <si>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</si>
  <si>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</si>
  <si>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</si>
  <si>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</si>
  <si>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</si>
  <si>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</si>
  <si>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</si>
  <si>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</si>
  <si>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</si>
  <si>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</si>
  <si>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</si>
  <si>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</si>
  <si>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</si>
  <si>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</si>
  <si>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</si>
  <si>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</si>
  <si>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</si>
  <si>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</si>
  <si>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Stand. Iso gelaagd 44.2 - 44.2</t>
  </si>
  <si>
    <t xml:space="preserve">  Stand. Iso 5 - 4 (standaard)</t>
  </si>
  <si>
    <t>Stand. Iso 4 - 4</t>
  </si>
  <si>
    <t>Stand. Iso 5 - 4</t>
  </si>
  <si>
    <t>Stand. Iso 6 - 4</t>
  </si>
  <si>
    <t>Stand. Iso 6 - 5</t>
  </si>
  <si>
    <t>Stand. Iso 8 - 5</t>
  </si>
  <si>
    <t>Stand. Iso 8 - 6</t>
  </si>
  <si>
    <t>Stand. Iso 10 - 6</t>
  </si>
  <si>
    <t>Stand. Iso 10 - 8</t>
  </si>
  <si>
    <t>HR++ 4 - 4*</t>
  </si>
  <si>
    <t>HR++ 5 - 4*</t>
  </si>
  <si>
    <t>HR++ 6 - 4*</t>
  </si>
  <si>
    <t>HR++ 6 - 5*</t>
  </si>
  <si>
    <t>HR++ 8 - 5*</t>
  </si>
  <si>
    <t>HR++ 8 - 6*</t>
  </si>
  <si>
    <t xml:space="preserve">  ZHR++ 6* -  4 (standaard)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</si>
  <si>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</si>
  <si>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</si>
  <si>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</si>
  <si>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</si>
  <si>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</si>
  <si>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</si>
  <si>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</si>
  <si>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</si>
  <si>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</si>
  <si>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</si>
  <si>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</si>
  <si>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</si>
  <si>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</si>
  <si>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</si>
  <si>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Glasmaat</t>
  </si>
  <si>
    <t>STAP 1: Voer de gegevens van het glas in</t>
  </si>
  <si>
    <t>Soort Isolatieglas 
en samenstelling</t>
  </si>
  <si>
    <t>Geen aftrek bij roosters toepassen</t>
  </si>
  <si>
    <t>Stel zelf uw offerte samen door onderstaand formulier in te vullen. Alleen de geel gekleurde vakken zijn invoervelden. De overige velden zijn beveiligd; Waar &lt;selecteer&gt; staat kunt u uit een lijst selecteren. Indien u niet voldoende invulvakken heeft, kunt u een tweede formulier invullen.
Indien er nog vragen zijn, neem dan contact met ons op.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</si>
  <si>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</si>
  <si>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</si>
  <si>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</si>
  <si>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</si>
  <si>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</si>
  <si>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</si>
  <si>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</si>
  <si>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</si>
  <si>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</si>
  <si>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</si>
  <si>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</si>
  <si>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</si>
  <si>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</si>
  <si>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</si>
  <si>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</si>
  <si>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</si>
  <si>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</si>
  <si>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</si>
  <si>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</si>
  <si>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</si>
  <si>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</si>
  <si>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</si>
  <si>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</si>
  <si>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</si>
  <si>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</si>
  <si>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</si>
  <si>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</si>
  <si>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(u kunt de aantallen aanpassen, bezorgkosten voor beglazingsmaterialen is €  6,50)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</si>
  <si>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</si>
  <si>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</si>
  <si>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</si>
  <si>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</si>
  <si>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</si>
  <si>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</si>
  <si>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</si>
  <si>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</si>
  <si>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</si>
  <si>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</si>
  <si>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</si>
  <si>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 xml:space="preserve">  HR++ 5 - 4* (standaard)</t>
  </si>
  <si>
    <t>vooraf per bank</t>
  </si>
  <si>
    <t>Bezorgen of afhalen ?</t>
  </si>
  <si>
    <t>Bezorgen</t>
  </si>
  <si>
    <t>Afhalen</t>
  </si>
  <si>
    <t>&lt; nvt &gt;</t>
  </si>
  <si>
    <t>Almelo</t>
  </si>
  <si>
    <t>Arnhem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</si>
  <si>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</si>
  <si>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</si>
  <si>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</si>
  <si>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</si>
  <si>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</si>
  <si>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</si>
  <si>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</si>
  <si>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</si>
  <si>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</si>
  <si>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</si>
  <si>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</si>
  <si>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</si>
  <si>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</si>
  <si>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</si>
  <si>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</si>
  <si>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</si>
  <si>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</si>
  <si>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055-5052878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</si>
  <si>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</si>
  <si>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</si>
  <si>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</si>
  <si>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</si>
  <si>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</si>
  <si>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</si>
  <si>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</si>
  <si>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</si>
  <si>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Offerte programma Glasdiscount.nl versie: Isolatieglas</t>
  </si>
  <si>
    <t>Offerte isolatieglas</t>
  </si>
  <si>
    <t>Toegepaste 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</si>
  <si>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</si>
  <si>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</si>
  <si>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</si>
  <si>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</si>
  <si>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</si>
  <si>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</si>
  <si>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</si>
  <si>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</si>
  <si>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</si>
  <si>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</si>
  <si>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</si>
  <si>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</si>
  <si>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</si>
  <si>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</si>
  <si>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</si>
  <si>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</si>
  <si>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</si>
  <si>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</si>
  <si>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</si>
  <si>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</si>
  <si>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</si>
  <si>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</si>
  <si>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</si>
  <si>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</si>
  <si>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</si>
  <si>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</si>
  <si>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</si>
  <si>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</si>
  <si>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HR++ gelaagd bi/bui 33.1 - 33.1*</t>
  </si>
  <si>
    <t>HR++ gelaagd bi/bui 44.2 - 44.2*</t>
  </si>
  <si>
    <t>Stand. Iso gelaagd bi/bui 33.1 - 33.1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</si>
  <si>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</si>
  <si>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</si>
  <si>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</si>
  <si>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</si>
  <si>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</si>
  <si>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</si>
  <si>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</si>
  <si>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</si>
  <si>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</si>
  <si>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</si>
  <si>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</si>
  <si>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</si>
  <si>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</si>
  <si>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</si>
  <si>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</si>
  <si>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</si>
  <si>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</si>
  <si>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</si>
  <si>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</si>
  <si>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</si>
  <si>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</si>
  <si>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Stand. Iso gelaagd 4 - 33.1</t>
  </si>
  <si>
    <t>Stand. Iso gelaagd 5 - 33.1</t>
  </si>
  <si>
    <t>Stand. Iso gelaagd 6 - 33.1</t>
  </si>
  <si>
    <t>Stand. Iso gelaagd 5 - 44.2</t>
  </si>
  <si>
    <t>Stand. Iso gelaagd 5 - 55.2</t>
  </si>
  <si>
    <t>Stand. Iso gelaagd 6 - 44.2</t>
  </si>
  <si>
    <t>Stand. Iso gelaagd 6 - 55.2</t>
  </si>
  <si>
    <t>Stand. Iso gelaagd 6 - 66.2</t>
  </si>
  <si>
    <t>Stand. Iso gelaagd 8 - 55.2</t>
  </si>
  <si>
    <t>HR++ gelaagd bi 5 - 44.2*</t>
  </si>
  <si>
    <t>HR++ gelaagd bi 6 - 44.2*</t>
  </si>
  <si>
    <t xml:space="preserve">HR++ gelaagd bi 4 - 33.1* </t>
  </si>
  <si>
    <t xml:space="preserve">HR++ gelaagd bi 5 - 33.1* </t>
  </si>
  <si>
    <t>HR++ gelaagd bi 6 - 33.1*</t>
  </si>
  <si>
    <t>HR++ gelaagd bui 4* - 33.1</t>
  </si>
  <si>
    <t>HR++ gelaagd bui 5* - 33.1</t>
  </si>
  <si>
    <t>HR++ gelaagd bui 6* - 33.1</t>
  </si>
  <si>
    <t>HR++ gelaagd bui 5* - 44.2</t>
  </si>
  <si>
    <t>HR++ gelaagd bui 5* - 55.2</t>
  </si>
  <si>
    <t>HR++ gelaagd bui 6* - 44.2</t>
  </si>
  <si>
    <t>HR++ gelaagd bui 8* - 55.2</t>
  </si>
  <si>
    <t>HR++ gelaagd bui 8* - 66.2</t>
  </si>
  <si>
    <t xml:space="preserve">Zonwerend ZHR++ 6* - 4 </t>
  </si>
  <si>
    <t>Zonwerend ZHR++ 6* - 44.2</t>
  </si>
  <si>
    <t>Zonwerend ZHR++ 6* - 5</t>
  </si>
  <si>
    <t>Zondwerend ZHR++ 6* - 33.1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</si>
  <si>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</si>
  <si>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</si>
  <si>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</si>
  <si>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</si>
  <si>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</si>
  <si>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</si>
  <si>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</si>
  <si>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</si>
  <si>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</si>
  <si>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</si>
  <si>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</si>
  <si>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BTW bedrag (21%)</t>
  </si>
  <si>
    <t>Geldig v.a. 1-07-2013</t>
  </si>
  <si>
    <t>Verzending en afhandeling € 18,95 per order tot € 400,00 excl.</t>
  </si>
  <si>
    <t>Verzending en afhandeling</t>
  </si>
  <si>
    <t>Emmen</t>
  </si>
  <si>
    <t>Eindhoven</t>
  </si>
  <si>
    <t>Den Helder</t>
  </si>
  <si>
    <t>Amsterdam</t>
  </si>
  <si>
    <t>Rijswijk</t>
  </si>
  <si>
    <t>HR++ gelaagd bi/bui 33,1 - 44.2*</t>
  </si>
  <si>
    <t>HR++ gelaagd bi/bui 44.2 - 33,1*</t>
  </si>
  <si>
    <t>HR++ gelaagd bi/bui 55,2 - 44.2*</t>
  </si>
  <si>
    <t>HR++ gelaagd bi/bui 44.2 - 55,2*</t>
  </si>
  <si>
    <t>HR++ gelaagd bi/bui 55.2 - 55,2*</t>
  </si>
</sst>
</file>

<file path=xl/styles.xml><?xml version="1.0" encoding="utf-8"?>
<styleSheet xmlns="http://schemas.openxmlformats.org/spreadsheetml/2006/main">
  <numFmts count="9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.000"/>
    <numFmt numFmtId="168" formatCode="0#########"/>
    <numFmt numFmtId="169" formatCode="&quot;€&quot;\ #,##0.00"/>
    <numFmt numFmtId="170" formatCode="_-[$€-2]\ * #,##0.00_-;_-[$€-2]\ * #,##0.00\-;_-[$€-2]\ * &quot;-&quot;??_-;_-@_-"/>
  </numFmts>
  <fonts count="5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54" fillId="0" borderId="0" applyFont="0" applyFill="0" applyBorder="0" applyAlignment="0" applyProtection="0"/>
  </cellStyleXfs>
  <cellXfs count="39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6" fontId="5" fillId="0" borderId="0" xfId="0" applyNumberFormat="1" applyFont="1" applyFill="1" applyBorder="1"/>
    <xf numFmtId="0" fontId="0" fillId="4" borderId="1" xfId="0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6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6" fillId="2" borderId="0" xfId="0" applyFont="1" applyFill="1" applyBorder="1" applyProtection="1">
      <protection hidden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6" fillId="0" borderId="0" xfId="0" applyFont="1" applyFill="1" applyProtection="1">
      <protection hidden="1"/>
    </xf>
    <xf numFmtId="0" fontId="0" fillId="3" borderId="2" xfId="0" applyFill="1" applyBorder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66" fontId="14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left" vertical="top"/>
      <protection locked="0"/>
    </xf>
    <xf numFmtId="0" fontId="0" fillId="4" borderId="3" xfId="0" applyFill="1" applyBorder="1" applyProtection="1">
      <protection locked="0"/>
    </xf>
    <xf numFmtId="0" fontId="12" fillId="2" borderId="0" xfId="0" applyFont="1" applyFill="1" applyProtection="1">
      <protection hidden="1"/>
    </xf>
    <xf numFmtId="0" fontId="1" fillId="3" borderId="0" xfId="0" applyFont="1" applyFill="1" applyProtection="1">
      <protection hidden="1"/>
    </xf>
    <xf numFmtId="14" fontId="8" fillId="3" borderId="0" xfId="0" applyNumberFormat="1" applyFont="1" applyFill="1" applyProtection="1">
      <protection hidden="1"/>
    </xf>
    <xf numFmtId="0" fontId="19" fillId="3" borderId="0" xfId="0" applyFont="1" applyFill="1" applyProtection="1"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21" fillId="3" borderId="0" xfId="0" applyFont="1" applyFill="1" applyBorder="1" applyProtection="1">
      <protection hidden="1"/>
    </xf>
    <xf numFmtId="0" fontId="8" fillId="3" borderId="0" xfId="0" applyFont="1" applyFill="1" applyBorder="1" applyProtection="1">
      <protection hidden="1"/>
    </xf>
    <xf numFmtId="0" fontId="8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0" fontId="16" fillId="3" borderId="0" xfId="0" applyFont="1" applyFill="1" applyBorder="1" applyAlignment="1" applyProtection="1">
      <protection hidden="1"/>
    </xf>
    <xf numFmtId="0" fontId="16" fillId="3" borderId="0" xfId="0" applyFont="1" applyFill="1" applyProtection="1">
      <protection hidden="1"/>
    </xf>
    <xf numFmtId="0" fontId="17" fillId="3" borderId="0" xfId="0" applyFont="1" applyFill="1" applyBorder="1" applyProtection="1">
      <protection hidden="1"/>
    </xf>
    <xf numFmtId="0" fontId="24" fillId="3" borderId="1" xfId="0" applyFont="1" applyFill="1" applyBorder="1" applyProtection="1">
      <protection hidden="1"/>
    </xf>
    <xf numFmtId="0" fontId="23" fillId="3" borderId="0" xfId="0" applyFont="1" applyFill="1" applyProtection="1">
      <protection hidden="1"/>
    </xf>
    <xf numFmtId="0" fontId="20" fillId="3" borderId="0" xfId="1" applyFont="1" applyFill="1" applyAlignment="1" applyProtection="1">
      <protection hidden="1"/>
    </xf>
    <xf numFmtId="0" fontId="21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2" fillId="3" borderId="0" xfId="1" applyFont="1" applyFill="1" applyBorder="1" applyAlignment="1" applyProtection="1">
      <protection hidden="1"/>
    </xf>
    <xf numFmtId="14" fontId="10" fillId="3" borderId="0" xfId="0" applyNumberFormat="1" applyFont="1" applyFill="1" applyProtection="1">
      <protection hidden="1"/>
    </xf>
    <xf numFmtId="0" fontId="28" fillId="0" borderId="0" xfId="0" applyFont="1" applyProtection="1">
      <protection hidden="1"/>
    </xf>
    <xf numFmtId="0" fontId="28" fillId="0" borderId="0" xfId="0" applyFont="1" applyProtection="1"/>
    <xf numFmtId="166" fontId="1" fillId="3" borderId="0" xfId="0" applyNumberFormat="1" applyFont="1" applyFill="1" applyProtection="1">
      <protection hidden="1"/>
    </xf>
    <xf numFmtId="0" fontId="10" fillId="3" borderId="0" xfId="0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left"/>
      <protection hidden="1"/>
    </xf>
    <xf numFmtId="0" fontId="11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right"/>
      <protection hidden="1"/>
    </xf>
    <xf numFmtId="0" fontId="29" fillId="3" borderId="0" xfId="0" applyFont="1" applyFill="1" applyAlignment="1">
      <alignment horizontal="left"/>
    </xf>
    <xf numFmtId="0" fontId="30" fillId="3" borderId="1" xfId="0" applyFont="1" applyFill="1" applyBorder="1" applyProtection="1">
      <protection hidden="1"/>
    </xf>
    <xf numFmtId="0" fontId="10" fillId="3" borderId="4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10" fillId="3" borderId="6" xfId="0" applyNumberFormat="1" applyFont="1" applyFill="1" applyBorder="1" applyProtection="1"/>
    <xf numFmtId="165" fontId="10" fillId="3" borderId="7" xfId="0" applyNumberFormat="1" applyFont="1" applyFill="1" applyBorder="1" applyProtection="1"/>
    <xf numFmtId="167" fontId="1" fillId="3" borderId="6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9" fillId="3" borderId="10" xfId="0" applyFont="1" applyFill="1" applyBorder="1" applyAlignment="1" applyProtection="1">
      <alignment horizontal="left"/>
    </xf>
    <xf numFmtId="0" fontId="14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3" borderId="0" xfId="0" applyFont="1" applyFill="1"/>
    <xf numFmtId="166" fontId="0" fillId="3" borderId="0" xfId="0" applyNumberFormat="1" applyFill="1" applyBorder="1"/>
    <xf numFmtId="0" fontId="10" fillId="3" borderId="0" xfId="0" applyFont="1" applyFill="1" applyAlignment="1" applyProtection="1">
      <alignment horizontal="right"/>
      <protection hidden="1"/>
    </xf>
    <xf numFmtId="0" fontId="27" fillId="3" borderId="0" xfId="0" applyFont="1" applyFill="1" applyProtection="1">
      <protection hidden="1"/>
    </xf>
    <xf numFmtId="14" fontId="11" fillId="3" borderId="0" xfId="0" applyNumberFormat="1" applyFont="1" applyFill="1" applyProtection="1">
      <protection hidden="1"/>
    </xf>
    <xf numFmtId="0" fontId="10" fillId="3" borderId="0" xfId="0" applyNumberFormat="1" applyFont="1" applyFill="1" applyAlignment="1" applyProtection="1">
      <alignment horizontal="right"/>
      <protection hidden="1"/>
    </xf>
    <xf numFmtId="0" fontId="8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8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8" fillId="3" borderId="17" xfId="0" applyFont="1" applyFill="1" applyBorder="1" applyProtection="1">
      <protection hidden="1"/>
    </xf>
    <xf numFmtId="0" fontId="8" fillId="3" borderId="16" xfId="0" applyFont="1" applyFill="1" applyBorder="1" applyProtection="1">
      <protection hidden="1"/>
    </xf>
    <xf numFmtId="168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8" fontId="1" fillId="3" borderId="18" xfId="0" applyNumberFormat="1" applyFont="1" applyFill="1" applyBorder="1" applyAlignment="1" applyProtection="1">
      <alignment horizontal="right"/>
      <protection hidden="1"/>
    </xf>
    <xf numFmtId="0" fontId="8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4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10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10" fillId="3" borderId="2" xfId="0" applyFont="1" applyFill="1" applyBorder="1"/>
    <xf numFmtId="166" fontId="5" fillId="3" borderId="0" xfId="0" applyNumberFormat="1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8" fontId="3" fillId="3" borderId="1" xfId="0" applyNumberFormat="1" applyFont="1" applyFill="1" applyBorder="1" applyAlignment="1" applyProtection="1"/>
    <xf numFmtId="0" fontId="7" fillId="3" borderId="1" xfId="0" applyFont="1" applyFill="1" applyBorder="1" applyAlignment="1" applyProtection="1">
      <alignment horizontal="left"/>
    </xf>
    <xf numFmtId="0" fontId="9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7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10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7" fillId="3" borderId="1" xfId="0" applyFont="1" applyFill="1" applyBorder="1"/>
    <xf numFmtId="166" fontId="0" fillId="3" borderId="7" xfId="0" applyNumberFormat="1" applyFill="1" applyBorder="1"/>
    <xf numFmtId="166" fontId="14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30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40" fillId="3" borderId="21" xfId="0" applyFont="1" applyFill="1" applyBorder="1" applyAlignment="1">
      <alignment horizontal="left"/>
    </xf>
    <xf numFmtId="0" fontId="40" fillId="3" borderId="0" xfId="0" applyFont="1" applyFill="1" applyBorder="1" applyAlignment="1">
      <alignment horizontal="left"/>
    </xf>
    <xf numFmtId="0" fontId="40" fillId="3" borderId="22" xfId="0" applyFont="1" applyFill="1" applyBorder="1" applyAlignment="1">
      <alignment horizontal="left"/>
    </xf>
    <xf numFmtId="0" fontId="40" fillId="3" borderId="23" xfId="0" applyFont="1" applyFill="1" applyBorder="1" applyAlignment="1">
      <alignment horizontal="left"/>
    </xf>
    <xf numFmtId="0" fontId="40" fillId="3" borderId="24" xfId="0" applyFont="1" applyFill="1" applyBorder="1" applyAlignment="1">
      <alignment horizontal="left"/>
    </xf>
    <xf numFmtId="166" fontId="40" fillId="3" borderId="0" xfId="0" applyNumberFormat="1" applyFont="1" applyFill="1" applyBorder="1" applyAlignment="1">
      <alignment horizontal="left"/>
    </xf>
    <xf numFmtId="166" fontId="40" fillId="3" borderId="24" xfId="0" applyNumberFormat="1" applyFont="1" applyFill="1" applyBorder="1" applyAlignment="1">
      <alignment horizontal="left"/>
    </xf>
    <xf numFmtId="0" fontId="7" fillId="3" borderId="10" xfId="0" applyFont="1" applyFill="1" applyBorder="1" applyAlignment="1" applyProtection="1">
      <alignment horizontal="left"/>
    </xf>
    <xf numFmtId="0" fontId="28" fillId="3" borderId="0" xfId="0" applyFont="1" applyFill="1" applyBorder="1" applyAlignment="1" applyProtection="1">
      <alignment vertical="top" wrapText="1"/>
      <protection hidden="1"/>
    </xf>
    <xf numFmtId="0" fontId="24" fillId="3" borderId="1" xfId="0" applyFont="1" applyFill="1" applyBorder="1" applyAlignment="1" applyProtection="1">
      <alignment wrapText="1"/>
      <protection hidden="1"/>
    </xf>
    <xf numFmtId="0" fontId="11" fillId="3" borderId="25" xfId="0" applyFont="1" applyFill="1" applyBorder="1" applyAlignment="1" applyProtection="1">
      <protection hidden="1"/>
    </xf>
    <xf numFmtId="0" fontId="11" fillId="3" borderId="10" xfId="0" applyFont="1" applyFill="1" applyBorder="1" applyAlignment="1" applyProtection="1">
      <protection hidden="1"/>
    </xf>
    <xf numFmtId="0" fontId="11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1" fillId="3" borderId="2" xfId="0" applyFont="1" applyFill="1" applyBorder="1"/>
    <xf numFmtId="0" fontId="28" fillId="3" borderId="0" xfId="0" applyFont="1" applyFill="1" applyProtection="1"/>
    <xf numFmtId="1" fontId="10" fillId="3" borderId="0" xfId="0" applyNumberFormat="1" applyFont="1" applyFill="1" applyAlignment="1" applyProtection="1">
      <alignment horizontal="right"/>
      <protection hidden="1"/>
    </xf>
    <xf numFmtId="0" fontId="29" fillId="5" borderId="0" xfId="0" applyFont="1" applyFill="1" applyAlignment="1">
      <alignment horizontal="left"/>
    </xf>
    <xf numFmtId="0" fontId="27" fillId="3" borderId="0" xfId="0" applyFont="1" applyFill="1" applyAlignment="1" applyProtection="1">
      <alignment horizontal="left"/>
      <protection hidden="1"/>
    </xf>
    <xf numFmtId="0" fontId="8" fillId="3" borderId="0" xfId="1" applyFont="1" applyFill="1" applyBorder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10" fillId="3" borderId="3" xfId="0" applyFont="1" applyFill="1" applyBorder="1" applyAlignment="1" applyProtection="1">
      <protection hidden="1"/>
    </xf>
    <xf numFmtId="0" fontId="8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8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6" fillId="3" borderId="16" xfId="1" applyFill="1" applyBorder="1" applyAlignment="1" applyProtection="1">
      <protection hidden="1"/>
    </xf>
    <xf numFmtId="0" fontId="8" fillId="3" borderId="0" xfId="0" applyFont="1" applyFill="1" applyBorder="1" applyAlignment="1" applyProtection="1">
      <protection hidden="1"/>
    </xf>
    <xf numFmtId="166" fontId="31" fillId="3" borderId="15" xfId="0" applyNumberFormat="1" applyFont="1" applyFill="1" applyBorder="1" applyAlignment="1">
      <alignment horizontal="right"/>
    </xf>
    <xf numFmtId="0" fontId="43" fillId="3" borderId="0" xfId="0" applyFont="1" applyFill="1"/>
    <xf numFmtId="14" fontId="10" fillId="3" borderId="0" xfId="0" applyNumberFormat="1" applyFont="1" applyFill="1" applyAlignment="1" applyProtection="1">
      <alignment horizontal="right"/>
      <protection locked="0"/>
    </xf>
    <xf numFmtId="1" fontId="10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8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8" fillId="3" borderId="0" xfId="0" applyFont="1" applyFill="1" applyProtection="1">
      <protection locked="0"/>
    </xf>
    <xf numFmtId="0" fontId="44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/>
    <xf numFmtId="0" fontId="45" fillId="3" borderId="0" xfId="0" applyFont="1" applyFill="1"/>
    <xf numFmtId="14" fontId="32" fillId="3" borderId="0" xfId="0" applyNumberFormat="1" applyFont="1" applyFill="1" applyBorder="1" applyAlignment="1" applyProtection="1">
      <alignment horizontal="left"/>
      <protection locked="0"/>
    </xf>
    <xf numFmtId="0" fontId="40" fillId="0" borderId="0" xfId="0" applyFont="1" applyFill="1" applyAlignment="1">
      <alignment horizontal="left"/>
    </xf>
    <xf numFmtId="14" fontId="40" fillId="3" borderId="0" xfId="0" applyNumberFormat="1" applyFont="1" applyFill="1" applyBorder="1" applyAlignment="1" applyProtection="1">
      <alignment horizontal="left"/>
      <protection locked="0"/>
    </xf>
    <xf numFmtId="0" fontId="48" fillId="3" borderId="0" xfId="0" applyFont="1" applyFill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0" fontId="49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166" fontId="10" fillId="3" borderId="32" xfId="0" applyNumberFormat="1" applyFont="1" applyFill="1" applyBorder="1"/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16" fillId="9" borderId="0" xfId="0" applyFont="1" applyFill="1" applyProtection="1">
      <protection hidden="1"/>
    </xf>
    <xf numFmtId="0" fontId="0" fillId="9" borderId="0" xfId="0" applyFill="1"/>
    <xf numFmtId="0" fontId="13" fillId="9" borderId="0" xfId="0" applyFont="1" applyFill="1"/>
    <xf numFmtId="0" fontId="23" fillId="3" borderId="0" xfId="0" applyFont="1" applyFill="1" applyBorder="1" applyProtection="1">
      <protection hidden="1"/>
    </xf>
    <xf numFmtId="0" fontId="23" fillId="3" borderId="0" xfId="1" applyFont="1" applyFill="1" applyBorder="1" applyAlignment="1" applyProtection="1">
      <protection hidden="1"/>
    </xf>
    <xf numFmtId="0" fontId="50" fillId="3" borderId="0" xfId="0" applyFont="1" applyFill="1" applyProtection="1">
      <protection hidden="1"/>
    </xf>
    <xf numFmtId="0" fontId="48" fillId="9" borderId="0" xfId="0" applyFont="1" applyFill="1"/>
    <xf numFmtId="0" fontId="51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2" fillId="3" borderId="0" xfId="0" applyFont="1" applyFill="1" applyBorder="1" applyProtection="1">
      <protection hidden="1"/>
    </xf>
    <xf numFmtId="0" fontId="48" fillId="3" borderId="0" xfId="0" applyFont="1" applyFill="1" applyBorder="1" applyProtection="1">
      <protection hidden="1"/>
    </xf>
    <xf numFmtId="0" fontId="52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0" fontId="48" fillId="3" borderId="0" xfId="0" applyFont="1" applyFill="1" applyBorder="1" applyAlignment="1" applyProtection="1">
      <protection hidden="1"/>
    </xf>
    <xf numFmtId="166" fontId="48" fillId="3" borderId="0" xfId="0" applyNumberFormat="1" applyFont="1" applyFill="1" applyBorder="1" applyAlignment="1" applyProtection="1">
      <protection hidden="1"/>
    </xf>
    <xf numFmtId="169" fontId="48" fillId="3" borderId="0" xfId="0" applyNumberFormat="1" applyFont="1" applyFill="1" applyBorder="1" applyProtection="1">
      <protection hidden="1"/>
    </xf>
    <xf numFmtId="166" fontId="48" fillId="3" borderId="0" xfId="0" applyNumberFormat="1" applyFont="1" applyFill="1" applyBorder="1" applyAlignment="1"/>
    <xf numFmtId="44" fontId="48" fillId="0" borderId="0" xfId="0" applyNumberFormat="1" applyFont="1"/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66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/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left"/>
    </xf>
    <xf numFmtId="164" fontId="48" fillId="3" borderId="0" xfId="0" applyNumberFormat="1" applyFont="1" applyFill="1" applyBorder="1" applyAlignment="1"/>
    <xf numFmtId="0" fontId="48" fillId="3" borderId="0" xfId="0" applyFont="1" applyFill="1" applyBorder="1" applyAlignment="1">
      <alignment vertical="top" wrapText="1"/>
    </xf>
    <xf numFmtId="166" fontId="48" fillId="3" borderId="0" xfId="0" applyNumberFormat="1" applyFont="1" applyFill="1" applyBorder="1"/>
    <xf numFmtId="0" fontId="1" fillId="4" borderId="1" xfId="0" applyFont="1" applyFill="1" applyBorder="1" applyProtection="1">
      <protection locked="0"/>
    </xf>
    <xf numFmtId="0" fontId="37" fillId="3" borderId="14" xfId="0" applyFont="1" applyFill="1" applyBorder="1" applyAlignment="1">
      <alignment horizontal="center"/>
    </xf>
    <xf numFmtId="0" fontId="4" fillId="4" borderId="14" xfId="0" applyFont="1" applyFill="1" applyBorder="1" applyAlignment="1" applyProtection="1">
      <alignment horizontal="center"/>
      <protection locked="0"/>
    </xf>
    <xf numFmtId="166" fontId="0" fillId="3" borderId="58" xfId="0" applyNumberFormat="1" applyFill="1" applyBorder="1" applyAlignment="1">
      <alignment horizontal="center"/>
    </xf>
    <xf numFmtId="0" fontId="49" fillId="9" borderId="0" xfId="0" applyFont="1" applyFill="1" applyProtection="1">
      <protection hidden="1"/>
    </xf>
    <xf numFmtId="166" fontId="1" fillId="3" borderId="32" xfId="0" applyNumberFormat="1" applyFont="1" applyFill="1" applyBorder="1" applyAlignment="1">
      <alignment horizontal="right"/>
    </xf>
    <xf numFmtId="166" fontId="1" fillId="3" borderId="31" xfId="0" applyNumberFormat="1" applyFont="1" applyFill="1" applyBorder="1"/>
    <xf numFmtId="170" fontId="1" fillId="3" borderId="26" xfId="2" applyNumberFormat="1" applyFont="1" applyFill="1" applyBorder="1" applyAlignment="1">
      <alignment horizontal="right" vertical="center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37" fillId="3" borderId="25" xfId="0" applyFont="1" applyFill="1" applyBorder="1" applyAlignment="1">
      <alignment horizontal="center"/>
    </xf>
    <xf numFmtId="0" fontId="37" fillId="3" borderId="10" xfId="0" applyFont="1" applyFill="1" applyBorder="1" applyAlignment="1">
      <alignment horizontal="center"/>
    </xf>
    <xf numFmtId="0" fontId="37" fillId="3" borderId="26" xfId="0" applyFont="1" applyFill="1" applyBorder="1" applyAlignment="1">
      <alignment horizontal="center"/>
    </xf>
    <xf numFmtId="0" fontId="41" fillId="3" borderId="2" xfId="0" applyFont="1" applyFill="1" applyBorder="1" applyAlignment="1">
      <alignment vertical="top" wrapText="1"/>
    </xf>
    <xf numFmtId="0" fontId="41" fillId="3" borderId="10" xfId="0" applyFont="1" applyFill="1" applyBorder="1" applyAlignment="1">
      <alignment vertical="top" wrapText="1"/>
    </xf>
    <xf numFmtId="49" fontId="6" fillId="4" borderId="25" xfId="1" applyNumberFormat="1" applyFill="1" applyBorder="1" applyAlignment="1" applyProtection="1">
      <alignment horizontal="left"/>
      <protection locked="0"/>
    </xf>
    <xf numFmtId="49" fontId="6" fillId="4" borderId="10" xfId="1" applyNumberFormat="1" applyFill="1" applyBorder="1" applyAlignment="1" applyProtection="1">
      <alignment horizontal="left"/>
      <protection locked="0"/>
    </xf>
    <xf numFmtId="49" fontId="6" fillId="4" borderId="26" xfId="1" applyNumberFormat="1" applyFill="1" applyBorder="1" applyAlignment="1" applyProtection="1">
      <alignment horizontal="left"/>
      <protection locked="0"/>
    </xf>
    <xf numFmtId="49" fontId="0" fillId="4" borderId="1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14" fontId="11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3" borderId="38" xfId="0" applyFont="1" applyFill="1" applyBorder="1" applyAlignment="1">
      <alignment horizontal="right"/>
    </xf>
    <xf numFmtId="0" fontId="11" fillId="3" borderId="52" xfId="0" applyFont="1" applyFill="1" applyBorder="1" applyAlignment="1">
      <alignment horizontal="right"/>
    </xf>
    <xf numFmtId="0" fontId="11" fillId="3" borderId="53" xfId="0" applyFont="1" applyFill="1" applyBorder="1" applyAlignment="1">
      <alignment horizontal="right"/>
    </xf>
    <xf numFmtId="0" fontId="11" fillId="3" borderId="54" xfId="0" applyFont="1" applyFill="1" applyBorder="1" applyAlignment="1">
      <alignment horizontal="right"/>
    </xf>
    <xf numFmtId="0" fontId="4" fillId="8" borderId="50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49" xfId="0" applyFont="1" applyFill="1" applyBorder="1" applyAlignment="1">
      <alignment horizontal="center" vertical="top" wrapText="1"/>
    </xf>
    <xf numFmtId="0" fontId="4" fillId="8" borderId="51" xfId="0" applyFont="1" applyFill="1" applyBorder="1" applyAlignment="1">
      <alignment horizontal="center" vertical="top" wrapText="1"/>
    </xf>
    <xf numFmtId="0" fontId="4" fillId="8" borderId="19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6" fillId="3" borderId="39" xfId="0" applyFont="1" applyFill="1" applyBorder="1" applyAlignment="1">
      <alignment horizontal="center" vertical="top" wrapText="1"/>
    </xf>
    <xf numFmtId="0" fontId="36" fillId="3" borderId="40" xfId="0" applyFont="1" applyFill="1" applyBorder="1" applyAlignment="1">
      <alignment horizontal="center" vertical="top" wrapText="1"/>
    </xf>
    <xf numFmtId="0" fontId="38" fillId="3" borderId="21" xfId="0" applyFont="1" applyFill="1" applyBorder="1" applyAlignment="1">
      <alignment horizontal="left" vertical="top" wrapText="1"/>
    </xf>
    <xf numFmtId="0" fontId="38" fillId="3" borderId="0" xfId="0" applyFont="1" applyFill="1" applyBorder="1" applyAlignment="1">
      <alignment horizontal="left" vertical="top" wrapText="1"/>
    </xf>
    <xf numFmtId="0" fontId="36" fillId="0" borderId="39" xfId="0" applyFont="1" applyFill="1" applyBorder="1" applyAlignment="1">
      <alignment horizontal="center" vertical="top" wrapText="1"/>
    </xf>
    <xf numFmtId="0" fontId="36" fillId="0" borderId="40" xfId="0" applyFont="1" applyFill="1" applyBorder="1" applyAlignment="1">
      <alignment horizontal="center" vertical="top" wrapText="1"/>
    </xf>
    <xf numFmtId="0" fontId="34" fillId="7" borderId="41" xfId="0" applyFont="1" applyFill="1" applyBorder="1" applyAlignment="1">
      <alignment horizontal="left" vertical="top" wrapText="1"/>
    </xf>
    <xf numFmtId="0" fontId="34" fillId="7" borderId="40" xfId="0" applyFont="1" applyFill="1" applyBorder="1" applyAlignment="1">
      <alignment horizontal="left" vertical="top" wrapText="1"/>
    </xf>
    <xf numFmtId="0" fontId="29" fillId="3" borderId="3" xfId="0" applyFont="1" applyFill="1" applyBorder="1" applyAlignment="1">
      <alignment horizontal="right"/>
    </xf>
    <xf numFmtId="0" fontId="14" fillId="3" borderId="42" xfId="0" applyFont="1" applyFill="1" applyBorder="1" applyAlignment="1">
      <alignment horizontal="right"/>
    </xf>
    <xf numFmtId="0" fontId="14" fillId="3" borderId="43" xfId="0" applyFont="1" applyFill="1" applyBorder="1" applyAlignment="1">
      <alignment horizontal="right"/>
    </xf>
    <xf numFmtId="0" fontId="14" fillId="3" borderId="44" xfId="0" applyFont="1" applyFill="1" applyBorder="1" applyAlignment="1">
      <alignment horizontal="right"/>
    </xf>
    <xf numFmtId="0" fontId="14" fillId="3" borderId="45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4" fillId="3" borderId="46" xfId="0" applyFont="1" applyFill="1" applyBorder="1" applyAlignment="1">
      <alignment horizontal="right"/>
    </xf>
    <xf numFmtId="0" fontId="10" fillId="3" borderId="39" xfId="0" applyFont="1" applyFill="1" applyBorder="1" applyAlignment="1" applyProtection="1">
      <alignment horizontal="right"/>
    </xf>
    <xf numFmtId="0" fontId="10" fillId="3" borderId="47" xfId="0" applyFont="1" applyFill="1" applyBorder="1" applyAlignment="1" applyProtection="1">
      <alignment horizontal="right"/>
    </xf>
    <xf numFmtId="166" fontId="14" fillId="3" borderId="48" xfId="0" applyNumberFormat="1" applyFont="1" applyFill="1" applyBorder="1" applyAlignment="1">
      <alignment horizontal="right"/>
    </xf>
    <xf numFmtId="166" fontId="14" fillId="3" borderId="49" xfId="0" applyNumberFormat="1" applyFont="1" applyFill="1" applyBorder="1" applyAlignment="1">
      <alignment horizontal="right"/>
    </xf>
    <xf numFmtId="0" fontId="8" fillId="3" borderId="33" xfId="0" applyFont="1" applyFill="1" applyBorder="1" applyAlignment="1">
      <alignment horizontal="right"/>
    </xf>
    <xf numFmtId="0" fontId="8" fillId="3" borderId="34" xfId="0" applyFont="1" applyFill="1" applyBorder="1" applyAlignment="1">
      <alignment horizontal="right"/>
    </xf>
    <xf numFmtId="0" fontId="8" fillId="3" borderId="35" xfId="0" applyFont="1" applyFill="1" applyBorder="1" applyAlignment="1">
      <alignment horizontal="right"/>
    </xf>
    <xf numFmtId="168" fontId="0" fillId="4" borderId="25" xfId="0" applyNumberFormat="1" applyFill="1" applyBorder="1" applyAlignment="1" applyProtection="1">
      <alignment horizontal="left"/>
      <protection locked="0"/>
    </xf>
    <xf numFmtId="168" fontId="0" fillId="4" borderId="10" xfId="0" applyNumberFormat="1" applyFill="1" applyBorder="1" applyAlignment="1" applyProtection="1">
      <alignment horizontal="left"/>
      <protection locked="0"/>
    </xf>
    <xf numFmtId="0" fontId="27" fillId="3" borderId="36" xfId="0" applyFont="1" applyFill="1" applyBorder="1" applyAlignment="1">
      <alignment horizontal="left"/>
    </xf>
    <xf numFmtId="0" fontId="27" fillId="3" borderId="37" xfId="0" applyFont="1" applyFill="1" applyBorder="1" applyAlignment="1">
      <alignment horizontal="left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47" fillId="3" borderId="21" xfId="0" applyFont="1" applyFill="1" applyBorder="1" applyAlignment="1">
      <alignment horizontal="center" vertical="top" wrapText="1"/>
    </xf>
    <xf numFmtId="0" fontId="45" fillId="0" borderId="0" xfId="0" applyFont="1"/>
    <xf numFmtId="0" fontId="45" fillId="0" borderId="0" xfId="0" applyFont="1" applyBorder="1"/>
    <xf numFmtId="0" fontId="45" fillId="0" borderId="21" xfId="0" applyFont="1" applyBorder="1"/>
    <xf numFmtId="0" fontId="45" fillId="0" borderId="22" xfId="0" applyFont="1" applyBorder="1"/>
    <xf numFmtId="0" fontId="34" fillId="7" borderId="23" xfId="0" applyFont="1" applyFill="1" applyBorder="1" applyAlignment="1">
      <alignment horizontal="left" vertical="top" wrapText="1"/>
    </xf>
    <xf numFmtId="0" fontId="34" fillId="7" borderId="0" xfId="0" applyFont="1" applyFill="1" applyBorder="1" applyAlignment="1">
      <alignment horizontal="left" vertical="top" wrapText="1"/>
    </xf>
    <xf numFmtId="0" fontId="14" fillId="3" borderId="39" xfId="0" applyFont="1" applyFill="1" applyBorder="1" applyAlignment="1">
      <alignment horizontal="right"/>
    </xf>
    <xf numFmtId="0" fontId="14" fillId="3" borderId="41" xfId="0" applyFont="1" applyFill="1" applyBorder="1" applyAlignment="1">
      <alignment horizontal="right"/>
    </xf>
    <xf numFmtId="0" fontId="14" fillId="3" borderId="47" xfId="0" applyFont="1" applyFill="1" applyBorder="1" applyAlignment="1">
      <alignment horizontal="right"/>
    </xf>
    <xf numFmtId="0" fontId="10" fillId="3" borderId="39" xfId="0" applyFont="1" applyFill="1" applyBorder="1" applyAlignment="1">
      <alignment horizontal="right"/>
    </xf>
    <xf numFmtId="0" fontId="10" fillId="3" borderId="41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right"/>
    </xf>
    <xf numFmtId="0" fontId="11" fillId="3" borderId="42" xfId="0" applyFont="1" applyFill="1" applyBorder="1" applyAlignment="1">
      <alignment horizontal="right"/>
    </xf>
    <xf numFmtId="0" fontId="11" fillId="3" borderId="43" xfId="0" applyFont="1" applyFill="1" applyBorder="1" applyAlignment="1">
      <alignment horizontal="right"/>
    </xf>
    <xf numFmtId="0" fontId="11" fillId="3" borderId="44" xfId="0" applyFont="1" applyFill="1" applyBorder="1" applyAlignment="1">
      <alignment horizontal="right"/>
    </xf>
    <xf numFmtId="0" fontId="1" fillId="3" borderId="39" xfId="0" applyFont="1" applyFill="1" applyBorder="1" applyAlignment="1">
      <alignment horizontal="right"/>
    </xf>
    <xf numFmtId="0" fontId="11" fillId="3" borderId="41" xfId="0" applyFont="1" applyFill="1" applyBorder="1" applyAlignment="1">
      <alignment horizontal="right"/>
    </xf>
    <xf numFmtId="0" fontId="11" fillId="3" borderId="40" xfId="0" applyFont="1" applyFill="1" applyBorder="1" applyAlignment="1">
      <alignment horizontal="right"/>
    </xf>
    <xf numFmtId="0" fontId="34" fillId="6" borderId="21" xfId="0" applyFont="1" applyFill="1" applyBorder="1" applyAlignment="1">
      <alignment horizontal="left" vertical="top" wrapText="1"/>
    </xf>
    <xf numFmtId="0" fontId="34" fillId="6" borderId="0" xfId="0" applyFont="1" applyFill="1" applyBorder="1" applyAlignment="1">
      <alignment horizontal="left" vertical="top" wrapText="1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11" fillId="4" borderId="13" xfId="0" applyFont="1" applyFill="1" applyBorder="1" applyAlignment="1" applyProtection="1">
      <alignment horizontal="left" vertical="top" wrapText="1" shrinkToFit="1"/>
      <protection locked="0"/>
    </xf>
    <xf numFmtId="0" fontId="11" fillId="4" borderId="14" xfId="0" applyFont="1" applyFill="1" applyBorder="1" applyAlignment="1" applyProtection="1">
      <alignment horizontal="left" vertical="top" wrapText="1" shrinkToFit="1"/>
      <protection locked="0"/>
    </xf>
    <xf numFmtId="0" fontId="11" fillId="4" borderId="15" xfId="0" applyFont="1" applyFill="1" applyBorder="1" applyAlignment="1" applyProtection="1">
      <alignment horizontal="left" vertical="top" wrapText="1" shrinkToFit="1"/>
      <protection locked="0"/>
    </xf>
    <xf numFmtId="0" fontId="11" fillId="4" borderId="16" xfId="0" applyFont="1" applyFill="1" applyBorder="1" applyAlignment="1" applyProtection="1">
      <alignment horizontal="left" vertical="top" wrapText="1" shrinkToFit="1"/>
      <protection locked="0"/>
    </xf>
    <xf numFmtId="0" fontId="11" fillId="4" borderId="0" xfId="0" applyFont="1" applyFill="1" applyBorder="1" applyAlignment="1" applyProtection="1">
      <alignment horizontal="left" vertical="top" wrapText="1" shrinkToFit="1"/>
      <protection locked="0"/>
    </xf>
    <xf numFmtId="0" fontId="11" fillId="4" borderId="17" xfId="0" applyFont="1" applyFill="1" applyBorder="1" applyAlignment="1" applyProtection="1">
      <alignment horizontal="left" vertical="top" wrapText="1" shrinkToFit="1"/>
      <protection locked="0"/>
    </xf>
    <xf numFmtId="0" fontId="11" fillId="4" borderId="18" xfId="0" applyFont="1" applyFill="1" applyBorder="1" applyAlignment="1" applyProtection="1">
      <alignment horizontal="left" vertical="top" wrapText="1" shrinkToFit="1"/>
      <protection locked="0"/>
    </xf>
    <xf numFmtId="0" fontId="11" fillId="4" borderId="19" xfId="0" applyFont="1" applyFill="1" applyBorder="1" applyAlignment="1" applyProtection="1">
      <alignment horizontal="left" vertical="top" wrapText="1" shrinkToFit="1"/>
      <protection locked="0"/>
    </xf>
    <xf numFmtId="0" fontId="11" fillId="4" borderId="20" xfId="0" applyFont="1" applyFill="1" applyBorder="1" applyAlignment="1" applyProtection="1">
      <alignment horizontal="left" vertical="top" wrapText="1" shrinkToFit="1"/>
      <protection locked="0"/>
    </xf>
    <xf numFmtId="0" fontId="34" fillId="3" borderId="0" xfId="0" applyFont="1" applyFill="1" applyBorder="1" applyAlignment="1">
      <alignment horizontal="left" vertical="top" wrapText="1"/>
    </xf>
    <xf numFmtId="0" fontId="10" fillId="3" borderId="1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25" fillId="3" borderId="25" xfId="0" applyFont="1" applyFill="1" applyBorder="1" applyAlignment="1" applyProtection="1">
      <alignment horizontal="right"/>
      <protection hidden="1"/>
    </xf>
    <xf numFmtId="0" fontId="25" fillId="3" borderId="26" xfId="0" applyFont="1" applyFill="1" applyBorder="1" applyAlignment="1" applyProtection="1">
      <alignment horizontal="right"/>
      <protection hidden="1"/>
    </xf>
    <xf numFmtId="0" fontId="11" fillId="3" borderId="25" xfId="0" applyFont="1" applyFill="1" applyBorder="1" applyAlignment="1" applyProtection="1">
      <alignment horizontal="left"/>
      <protection hidden="1"/>
    </xf>
    <xf numFmtId="0" fontId="11" fillId="3" borderId="10" xfId="0" applyFont="1" applyFill="1" applyBorder="1" applyAlignment="1" applyProtection="1">
      <alignment horizontal="left"/>
      <protection hidden="1"/>
    </xf>
    <xf numFmtId="0" fontId="11" fillId="3" borderId="26" xfId="0" applyFont="1" applyFill="1" applyBorder="1" applyAlignment="1" applyProtection="1">
      <alignment horizontal="left"/>
      <protection hidden="1"/>
    </xf>
    <xf numFmtId="166" fontId="11" fillId="0" borderId="1" xfId="0" applyNumberFormat="1" applyFont="1" applyFill="1" applyBorder="1" applyAlignment="1" applyProtection="1">
      <protection hidden="1"/>
    </xf>
    <xf numFmtId="166" fontId="11" fillId="0" borderId="25" xfId="0" applyNumberFormat="1" applyFont="1" applyFill="1" applyBorder="1" applyAlignment="1" applyProtection="1">
      <alignment horizontal="right"/>
      <protection hidden="1"/>
    </xf>
    <xf numFmtId="166" fontId="11" fillId="0" borderId="26" xfId="0" applyNumberFormat="1" applyFont="1" applyFill="1" applyBorder="1" applyAlignment="1" applyProtection="1">
      <alignment horizontal="right"/>
      <protection hidden="1"/>
    </xf>
    <xf numFmtId="166" fontId="26" fillId="0" borderId="1" xfId="0" applyNumberFormat="1" applyFont="1" applyFill="1" applyBorder="1" applyAlignment="1" applyProtection="1">
      <protection hidden="1"/>
    </xf>
    <xf numFmtId="166" fontId="25" fillId="3" borderId="1" xfId="0" applyNumberFormat="1" applyFont="1" applyFill="1" applyBorder="1" applyAlignment="1" applyProtection="1">
      <protection hidden="1"/>
    </xf>
    <xf numFmtId="0" fontId="1" fillId="3" borderId="56" xfId="0" applyFont="1" applyFill="1" applyBorder="1" applyAlignment="1" applyProtection="1">
      <alignment horizontal="right"/>
      <protection hidden="1"/>
    </xf>
    <xf numFmtId="0" fontId="11" fillId="0" borderId="57" xfId="0" applyFont="1" applyFill="1" applyBorder="1" applyAlignment="1" applyProtection="1">
      <alignment horizontal="right"/>
      <protection hidden="1"/>
    </xf>
    <xf numFmtId="0" fontId="11" fillId="0" borderId="36" xfId="0" applyFont="1" applyFill="1" applyBorder="1" applyAlignment="1" applyProtection="1">
      <alignment horizontal="right"/>
      <protection hidden="1"/>
    </xf>
    <xf numFmtId="0" fontId="11" fillId="0" borderId="37" xfId="0" applyFont="1" applyFill="1" applyBorder="1" applyAlignment="1" applyProtection="1">
      <alignment horizontal="right"/>
      <protection hidden="1"/>
    </xf>
    <xf numFmtId="0" fontId="53" fillId="3" borderId="25" xfId="0" applyFont="1" applyFill="1" applyBorder="1" applyAlignment="1" applyProtection="1">
      <alignment horizontal="right"/>
      <protection hidden="1"/>
    </xf>
    <xf numFmtId="0" fontId="53" fillId="3" borderId="26" xfId="0" applyFont="1" applyFill="1" applyBorder="1" applyAlignment="1" applyProtection="1">
      <alignment horizontal="right"/>
      <protection hidden="1"/>
    </xf>
    <xf numFmtId="0" fontId="26" fillId="0" borderId="1" xfId="0" applyFont="1" applyFill="1" applyBorder="1" applyAlignment="1" applyProtection="1">
      <alignment horizontal="right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6" fillId="3" borderId="0" xfId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24" fillId="3" borderId="25" xfId="0" applyFont="1" applyFill="1" applyBorder="1" applyAlignment="1" applyProtection="1">
      <alignment horizontal="center"/>
      <protection hidden="1"/>
    </xf>
    <xf numFmtId="0" fontId="24" fillId="3" borderId="26" xfId="0" applyFont="1" applyFill="1" applyBorder="1" applyAlignment="1" applyProtection="1">
      <alignment horizontal="center"/>
      <protection hidden="1"/>
    </xf>
    <xf numFmtId="0" fontId="44" fillId="3" borderId="0" xfId="0" applyFont="1" applyFill="1" applyBorder="1" applyAlignment="1" applyProtection="1">
      <alignment horizontal="left" vertical="top" wrapText="1"/>
      <protection hidden="1"/>
    </xf>
    <xf numFmtId="166" fontId="35" fillId="3" borderId="47" xfId="0" applyNumberFormat="1" applyFont="1" applyFill="1" applyBorder="1" applyAlignment="1" applyProtection="1">
      <alignment horizontal="right"/>
      <protection hidden="1"/>
    </xf>
    <xf numFmtId="166" fontId="35" fillId="3" borderId="7" xfId="0" applyNumberFormat="1" applyFont="1" applyFill="1" applyBorder="1" applyAlignment="1" applyProtection="1">
      <alignment horizontal="right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26" fillId="4" borderId="1" xfId="0" applyFont="1" applyFill="1" applyBorder="1" applyAlignment="1" applyProtection="1">
      <alignment horizontal="center"/>
      <protection hidden="1"/>
    </xf>
    <xf numFmtId="0" fontId="35" fillId="3" borderId="55" xfId="0" applyFont="1" applyFill="1" applyBorder="1" applyAlignment="1" applyProtection="1">
      <alignment horizontal="right"/>
      <protection hidden="1"/>
    </xf>
    <xf numFmtId="0" fontId="35" fillId="3" borderId="6" xfId="0" applyFont="1" applyFill="1" applyBorder="1" applyAlignment="1" applyProtection="1">
      <alignment horizontal="right"/>
      <protection hidden="1"/>
    </xf>
    <xf numFmtId="0" fontId="35" fillId="3" borderId="7" xfId="0" applyFont="1" applyFill="1" applyBorder="1" applyAlignment="1" applyProtection="1">
      <alignment horizontal="right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166" fontId="26" fillId="4" borderId="1" xfId="0" applyNumberFormat="1" applyFont="1" applyFill="1" applyBorder="1" applyAlignment="1" applyProtection="1">
      <protection hidden="1"/>
    </xf>
    <xf numFmtId="166" fontId="11" fillId="0" borderId="25" xfId="0" applyNumberFormat="1" applyFont="1" applyFill="1" applyBorder="1" applyAlignment="1" applyProtection="1">
      <protection hidden="1"/>
    </xf>
    <xf numFmtId="166" fontId="11" fillId="0" borderId="26" xfId="0" applyNumberFormat="1" applyFont="1" applyFill="1" applyBorder="1" applyAlignment="1" applyProtection="1">
      <protection hidden="1"/>
    </xf>
    <xf numFmtId="0" fontId="11" fillId="0" borderId="25" xfId="0" applyFont="1" applyFill="1" applyBorder="1" applyAlignment="1" applyProtection="1">
      <alignment horizontal="right"/>
      <protection hidden="1"/>
    </xf>
    <xf numFmtId="0" fontId="11" fillId="0" borderId="10" xfId="0" applyFont="1" applyFill="1" applyBorder="1" applyAlignment="1" applyProtection="1">
      <alignment horizontal="right"/>
      <protection hidden="1"/>
    </xf>
    <xf numFmtId="0" fontId="11" fillId="0" borderId="26" xfId="0" applyFont="1" applyFill="1" applyBorder="1" applyAlignment="1" applyProtection="1">
      <alignment horizontal="right"/>
      <protection hidden="1"/>
    </xf>
    <xf numFmtId="0" fontId="11" fillId="3" borderId="1" xfId="0" applyFont="1" applyFill="1" applyBorder="1" applyAlignment="1" applyProtection="1">
      <alignment horizontal="center"/>
      <protection hidden="1"/>
    </xf>
    <xf numFmtId="169" fontId="49" fillId="0" borderId="25" xfId="0" applyNumberFormat="1" applyFont="1" applyFill="1" applyBorder="1" applyAlignment="1" applyProtection="1">
      <alignment horizontal="right"/>
      <protection hidden="1"/>
    </xf>
    <xf numFmtId="169" fontId="49" fillId="0" borderId="26" xfId="0" applyNumberFormat="1" applyFont="1" applyFill="1" applyBorder="1" applyAlignment="1" applyProtection="1">
      <alignment horizontal="right"/>
      <protection hidden="1"/>
    </xf>
    <xf numFmtId="0" fontId="10" fillId="0" borderId="25" xfId="0" applyFont="1" applyFill="1" applyBorder="1" applyAlignment="1" applyProtection="1">
      <alignment horizontal="left"/>
      <protection hidden="1"/>
    </xf>
    <xf numFmtId="0" fontId="10" fillId="0" borderId="10" xfId="0" applyFont="1" applyFill="1" applyBorder="1" applyAlignment="1" applyProtection="1">
      <alignment horizontal="left"/>
      <protection hidden="1"/>
    </xf>
    <xf numFmtId="0" fontId="10" fillId="0" borderId="26" xfId="0" applyFont="1" applyFill="1" applyBorder="1" applyAlignment="1" applyProtection="1">
      <alignment horizontal="left"/>
      <protection hidden="1"/>
    </xf>
    <xf numFmtId="166" fontId="11" fillId="0" borderId="25" xfId="0" applyNumberFormat="1" applyFont="1" applyFill="1" applyBorder="1" applyAlignment="1" applyProtection="1">
      <alignment horizontal="center"/>
      <protection hidden="1"/>
    </xf>
    <xf numFmtId="166" fontId="11" fillId="0" borderId="26" xfId="0" applyNumberFormat="1" applyFont="1" applyFill="1" applyBorder="1" applyAlignment="1" applyProtection="1">
      <alignment horizontal="center"/>
      <protection hidden="1"/>
    </xf>
    <xf numFmtId="0" fontId="11" fillId="3" borderId="25" xfId="0" applyFont="1" applyFill="1" applyBorder="1" applyAlignment="1" applyProtection="1">
      <alignment horizontal="right"/>
      <protection hidden="1"/>
    </xf>
    <xf numFmtId="0" fontId="11" fillId="3" borderId="10" xfId="0" applyFont="1" applyFill="1" applyBorder="1" applyAlignment="1" applyProtection="1">
      <alignment horizontal="right"/>
      <protection hidden="1"/>
    </xf>
    <xf numFmtId="0" fontId="11" fillId="3" borderId="26" xfId="0" applyFont="1" applyFill="1" applyBorder="1" applyAlignment="1" applyProtection="1">
      <alignment horizontal="right"/>
      <protection hidden="1"/>
    </xf>
    <xf numFmtId="14" fontId="10" fillId="3" borderId="14" xfId="0" applyNumberFormat="1" applyFont="1" applyFill="1" applyBorder="1" applyAlignment="1" applyProtection="1">
      <alignment horizontal="center"/>
      <protection hidden="1"/>
    </xf>
    <xf numFmtId="0" fontId="10" fillId="3" borderId="14" xfId="0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37" fillId="3" borderId="0" xfId="0" applyFont="1" applyFill="1" applyBorder="1" applyAlignment="1" applyProtection="1">
      <alignment horizontal="left" vertical="top" wrapText="1"/>
      <protection hidden="1"/>
    </xf>
    <xf numFmtId="166" fontId="49" fillId="0" borderId="1" xfId="0" applyNumberFormat="1" applyFont="1" applyFill="1" applyBorder="1" applyAlignment="1" applyProtection="1">
      <protection hidden="1"/>
    </xf>
    <xf numFmtId="0" fontId="53" fillId="3" borderId="56" xfId="0" applyFont="1" applyFill="1" applyBorder="1" applyAlignment="1" applyProtection="1">
      <alignment horizontal="right"/>
      <protection hidden="1"/>
    </xf>
    <xf numFmtId="0" fontId="46" fillId="3" borderId="0" xfId="0" applyFont="1" applyFill="1" applyBorder="1" applyAlignment="1" applyProtection="1">
      <alignment horizontal="left"/>
      <protection hidden="1"/>
    </xf>
    <xf numFmtId="0" fontId="42" fillId="3" borderId="0" xfId="0" applyFont="1" applyFill="1" applyBorder="1" applyAlignment="1" applyProtection="1">
      <alignment horizontal="left" vertical="top" wrapText="1"/>
      <protection locked="0"/>
    </xf>
    <xf numFmtId="166" fontId="15" fillId="3" borderId="0" xfId="0" applyNumberFormat="1" applyFont="1" applyFill="1" applyBorder="1" applyAlignment="1" applyProtection="1">
      <alignment horizontal="right"/>
      <protection hidden="1"/>
    </xf>
    <xf numFmtId="0" fontId="15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24" fillId="3" borderId="1" xfId="0" applyFont="1" applyFill="1" applyBorder="1" applyAlignment="1" applyProtection="1">
      <alignment horizontal="center"/>
      <protection hidden="1"/>
    </xf>
    <xf numFmtId="0" fontId="8" fillId="3" borderId="0" xfId="0" applyNumberFormat="1" applyFont="1" applyFill="1" applyBorder="1" applyAlignment="1" applyProtection="1">
      <alignment horizontal="left"/>
      <protection hidden="1"/>
    </xf>
    <xf numFmtId="0" fontId="8" fillId="3" borderId="17" xfId="0" applyNumberFormat="1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24" fillId="3" borderId="25" xfId="0" applyFont="1" applyFill="1" applyBorder="1" applyAlignment="1" applyProtection="1">
      <alignment horizontal="left"/>
      <protection hidden="1"/>
    </xf>
    <xf numFmtId="0" fontId="24" fillId="3" borderId="26" xfId="0" applyFont="1" applyFill="1" applyBorder="1" applyAlignment="1" applyProtection="1">
      <alignment horizontal="left"/>
      <protection hidden="1"/>
    </xf>
    <xf numFmtId="169" fontId="49" fillId="3" borderId="0" xfId="0" applyNumberFormat="1" applyFont="1" applyFill="1" applyBorder="1" applyProtection="1">
      <protection hidden="1"/>
    </xf>
    <xf numFmtId="44" fontId="49" fillId="0" borderId="0" xfId="0" applyNumberFormat="1" applyFont="1"/>
    <xf numFmtId="0" fontId="49" fillId="3" borderId="0" xfId="0" applyFont="1" applyFill="1" applyBorder="1" applyAlignment="1"/>
    <xf numFmtId="166" fontId="49" fillId="3" borderId="0" xfId="0" applyNumberFormat="1" applyFont="1" applyFill="1" applyBorder="1" applyAlignment="1"/>
    <xf numFmtId="0" fontId="49" fillId="3" borderId="0" xfId="0" applyFont="1" applyFill="1" applyBorder="1" applyAlignment="1">
      <alignment horizontal="left"/>
    </xf>
    <xf numFmtId="0" fontId="1" fillId="3" borderId="25" xfId="0" applyFont="1" applyFill="1" applyBorder="1" applyAlignment="1" applyProtection="1">
      <protection hidden="1"/>
    </xf>
    <xf numFmtId="0" fontId="1" fillId="3" borderId="10" xfId="0" applyFont="1" applyFill="1" applyBorder="1" applyAlignment="1" applyProtection="1">
      <alignment horizontal="right"/>
      <protection hidden="1"/>
    </xf>
    <xf numFmtId="0" fontId="1" fillId="3" borderId="0" xfId="0" applyFont="1" applyFill="1" applyBorder="1" applyAlignment="1" applyProtection="1">
      <protection hidden="1"/>
    </xf>
    <xf numFmtId="0" fontId="11" fillId="3" borderId="14" xfId="0" applyFont="1" applyFill="1" applyBorder="1" applyAlignment="1" applyProtection="1">
      <protection hidden="1"/>
    </xf>
    <xf numFmtId="0" fontId="11" fillId="3" borderId="14" xfId="0" applyFont="1" applyFill="1" applyBorder="1" applyProtection="1">
      <protection hidden="1"/>
    </xf>
    <xf numFmtId="14" fontId="10" fillId="3" borderId="14" xfId="0" applyNumberFormat="1" applyFont="1" applyFill="1" applyBorder="1" applyProtection="1">
      <protection hidden="1"/>
    </xf>
    <xf numFmtId="0" fontId="11" fillId="3" borderId="0" xfId="0" applyFont="1" applyFill="1" applyBorder="1" applyAlignment="1" applyProtection="1">
      <alignment horizontal="right"/>
      <protection hidden="1"/>
    </xf>
    <xf numFmtId="0" fontId="11" fillId="3" borderId="14" xfId="0" applyFont="1" applyFill="1" applyBorder="1" applyAlignment="1" applyProtection="1">
      <alignment horizontal="right"/>
      <protection hidden="1"/>
    </xf>
    <xf numFmtId="166" fontId="49" fillId="0" borderId="25" xfId="0" applyNumberFormat="1" applyFont="1" applyFill="1" applyBorder="1" applyAlignment="1" applyProtection="1">
      <alignment horizontal="right"/>
      <protection hidden="1"/>
    </xf>
    <xf numFmtId="166" fontId="49" fillId="0" borderId="26" xfId="0" applyNumberFormat="1" applyFont="1" applyFill="1" applyBorder="1" applyAlignment="1" applyProtection="1">
      <alignment horizontal="righ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0</xdr:rowOff>
    </xdr:from>
    <xdr:to>
      <xdr:col>7</xdr:col>
      <xdr:colOff>1663700</xdr:colOff>
      <xdr:row>8</xdr:row>
      <xdr:rowOff>50800</xdr:rowOff>
    </xdr:to>
    <xdr:pic>
      <xdr:nvPicPr>
        <xdr:cNvPr id="1364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0"/>
          <a:ext cx="65468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209550</xdr:colOff>
      <xdr:row>3</xdr:row>
      <xdr:rowOff>107950</xdr:rowOff>
    </xdr:to>
    <xdr:pic>
      <xdr:nvPicPr>
        <xdr:cNvPr id="1140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447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549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508000</xdr:colOff>
      <xdr:row>3</xdr:row>
      <xdr:rowOff>107950</xdr:rowOff>
    </xdr:to>
    <xdr:pic>
      <xdr:nvPicPr>
        <xdr:cNvPr id="935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7</xdr:col>
      <xdr:colOff>1079500</xdr:colOff>
      <xdr:row>3</xdr:row>
      <xdr:rowOff>107950</xdr:rowOff>
    </xdr:to>
    <xdr:pic>
      <xdr:nvPicPr>
        <xdr:cNvPr id="1652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4767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77"/>
  <sheetViews>
    <sheetView tabSelected="1" topLeftCell="B1" zoomScaleNormal="100" workbookViewId="0">
      <selection activeCell="B13" sqref="B13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3" width="10.85546875" style="1" bestFit="1" customWidth="1"/>
    <col min="4" max="4" width="8.85546875" style="1" customWidth="1"/>
    <col min="5" max="5" width="7.42578125" style="1" customWidth="1"/>
    <col min="6" max="6" width="8" style="1" customWidth="1"/>
    <col min="7" max="7" width="7.42578125" style="1" customWidth="1"/>
    <col min="8" max="8" width="27.42578125" style="1" customWidth="1"/>
    <col min="9" max="9" width="6.42578125" style="1" customWidth="1"/>
    <col min="10" max="10" width="8.42578125" style="1" customWidth="1"/>
    <col min="11" max="11" width="13.85546875" style="1" customWidth="1"/>
    <col min="12" max="12" width="14.140625" style="1" customWidth="1"/>
    <col min="13" max="13" width="23.85546875" style="1" customWidth="1"/>
    <col min="14" max="14" width="0" style="7" hidden="1" customWidth="1"/>
    <col min="15" max="15" width="10.5703125" style="7" hidden="1" customWidth="1"/>
    <col min="16" max="17" width="0" style="7" hidden="1" customWidth="1"/>
    <col min="18" max="18" width="9.140625" style="163"/>
    <col min="19" max="47" width="9.140625" style="164"/>
    <col min="48" max="16384" width="9.140625" style="1"/>
  </cols>
  <sheetData>
    <row r="1" spans="1:47" s="2" customFormat="1">
      <c r="I1" s="17"/>
      <c r="J1" s="17"/>
      <c r="K1" s="17"/>
      <c r="L1" s="17"/>
      <c r="M1" s="3"/>
      <c r="N1" s="7"/>
      <c r="O1" s="7"/>
      <c r="P1" s="7"/>
      <c r="Q1" s="7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</row>
    <row r="2" spans="1:47" s="2" customFormat="1" ht="5.25" customHeight="1">
      <c r="I2" s="17"/>
      <c r="J2" s="17"/>
      <c r="K2" s="17"/>
      <c r="L2" s="17"/>
      <c r="M2" s="3"/>
      <c r="N2" s="7"/>
      <c r="O2" s="7"/>
      <c r="P2" s="7"/>
      <c r="Q2" s="7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</row>
    <row r="3" spans="1:47" ht="9" customHeight="1">
      <c r="B3" s="2"/>
      <c r="C3" s="2"/>
      <c r="D3" s="2"/>
      <c r="E3" s="2"/>
      <c r="F3" s="2"/>
      <c r="G3" s="2"/>
      <c r="H3" s="2"/>
      <c r="I3" s="17"/>
      <c r="J3" s="17"/>
      <c r="K3" s="17"/>
      <c r="L3" s="17"/>
      <c r="M3" s="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</row>
    <row r="4" spans="1:47" ht="15">
      <c r="A4" s="49" t="s">
        <v>168</v>
      </c>
      <c r="B4" s="2"/>
      <c r="C4" s="2"/>
      <c r="D4" s="2"/>
      <c r="E4" s="2"/>
      <c r="F4" s="2"/>
      <c r="G4" s="2"/>
      <c r="H4" s="2"/>
      <c r="I4" s="17"/>
      <c r="J4" s="17"/>
      <c r="K4" s="104" t="s">
        <v>302</v>
      </c>
      <c r="L4" s="17"/>
      <c r="M4" s="3"/>
    </row>
    <row r="5" spans="1:47" ht="6" customHeight="1">
      <c r="B5" s="2"/>
      <c r="C5" s="2"/>
      <c r="D5" s="2"/>
      <c r="E5" s="2"/>
      <c r="F5" s="2"/>
      <c r="G5" s="2"/>
      <c r="H5" s="2"/>
      <c r="I5" s="17"/>
      <c r="J5" s="17"/>
      <c r="K5" s="17"/>
      <c r="L5" s="17"/>
      <c r="M5" s="3"/>
    </row>
    <row r="6" spans="1:47" ht="15.75" customHeight="1">
      <c r="B6" s="2"/>
      <c r="C6" s="2"/>
      <c r="D6" s="2"/>
      <c r="E6" s="2"/>
      <c r="F6" s="2"/>
      <c r="G6" s="2"/>
      <c r="H6" s="2"/>
      <c r="I6" s="17"/>
      <c r="J6" s="17"/>
      <c r="K6" s="3"/>
      <c r="L6" s="17"/>
      <c r="M6" s="3"/>
    </row>
    <row r="7" spans="1:47" ht="6" hidden="1" customHeight="1">
      <c r="B7" s="3"/>
      <c r="C7" s="3"/>
      <c r="D7" s="3"/>
      <c r="E7" s="3"/>
      <c r="F7" s="3"/>
      <c r="G7" s="3"/>
      <c r="H7" s="3"/>
      <c r="I7" s="17"/>
      <c r="J7" s="17"/>
      <c r="K7" s="17"/>
      <c r="L7" s="17"/>
      <c r="M7" s="2"/>
    </row>
    <row r="8" spans="1:47" ht="2.25" hidden="1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47" ht="16.5" customHeight="1">
      <c r="B9" s="140" t="s">
        <v>209</v>
      </c>
      <c r="C9" s="3"/>
      <c r="D9" s="3"/>
      <c r="E9" s="3"/>
      <c r="F9" s="3"/>
      <c r="G9" s="2"/>
      <c r="H9" s="3"/>
      <c r="I9" s="3"/>
      <c r="J9" s="3"/>
      <c r="K9" s="3"/>
      <c r="L9" s="3"/>
      <c r="M9" s="3"/>
    </row>
    <row r="10" spans="1:47" ht="45" customHeight="1" thickBot="1">
      <c r="B10" s="233" t="s">
        <v>135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3"/>
    </row>
    <row r="11" spans="1:47" s="2" customFormat="1" ht="25.5" customHeight="1" thickBot="1">
      <c r="B11" s="237" t="s">
        <v>132</v>
      </c>
      <c r="C11" s="237"/>
      <c r="D11" s="237"/>
      <c r="E11" s="238"/>
      <c r="F11" s="235" t="s">
        <v>131</v>
      </c>
      <c r="G11" s="236"/>
      <c r="H11" s="231" t="s">
        <v>134</v>
      </c>
      <c r="I11" s="232"/>
      <c r="J11" s="3"/>
      <c r="K11" s="3" t="s">
        <v>99</v>
      </c>
      <c r="L11" s="127"/>
      <c r="N11" s="12"/>
      <c r="O11" s="12"/>
      <c r="P11" s="12"/>
      <c r="Q11" s="12"/>
      <c r="R11" s="163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</row>
    <row r="12" spans="1:47" ht="31.5" customHeight="1">
      <c r="B12" s="51" t="s">
        <v>133</v>
      </c>
      <c r="C12" s="52" t="s">
        <v>46</v>
      </c>
      <c r="D12" s="52" t="s">
        <v>50</v>
      </c>
      <c r="E12" s="53" t="s">
        <v>10</v>
      </c>
      <c r="F12" s="52" t="s">
        <v>61</v>
      </c>
      <c r="G12" s="52" t="s">
        <v>62</v>
      </c>
      <c r="H12" s="53" t="s">
        <v>9</v>
      </c>
      <c r="I12" s="52" t="s">
        <v>47</v>
      </c>
      <c r="J12" s="52" t="s">
        <v>49</v>
      </c>
      <c r="K12" s="52" t="s">
        <v>45</v>
      </c>
      <c r="L12" s="52" t="s">
        <v>42</v>
      </c>
      <c r="M12" s="3"/>
      <c r="Q12" s="7" t="s">
        <v>254</v>
      </c>
      <c r="S12" s="165"/>
    </row>
    <row r="13" spans="1:47">
      <c r="B13" s="194" t="s">
        <v>48</v>
      </c>
      <c r="C13" s="6" t="s">
        <v>6</v>
      </c>
      <c r="D13" s="54">
        <f>VLOOKUP(B13,[0]!prijslijst,2,TRUE)</f>
        <v>0</v>
      </c>
      <c r="E13" s="5">
        <v>0</v>
      </c>
      <c r="F13" s="5">
        <v>0</v>
      </c>
      <c r="G13" s="5">
        <v>0</v>
      </c>
      <c r="H13" s="6" t="s">
        <v>48</v>
      </c>
      <c r="I13" s="5"/>
      <c r="J13" s="38">
        <f>(F13*G13)/1000000</f>
        <v>0</v>
      </c>
      <c r="K13" s="55">
        <f>IF(J13=0,0,(IF(J13&lt;0.5,0.5*D13*E13,J13*D13*E13)))</f>
        <v>0</v>
      </c>
      <c r="L13" s="55">
        <f>IF(J13=0,0,IF(F13&lt;500,E13*N13,E13*O13))</f>
        <v>0</v>
      </c>
      <c r="M13" s="65" t="str">
        <f>IF(J13&gt;5,"Raam &gt; 5 m2: svp contact",IF(J13&lt;0.5,IF(J13=0,"","Minimale prijs is 0,5 m2 per ruit"),""))</f>
        <v/>
      </c>
      <c r="N13" s="21">
        <f>VLOOKUP(H13,[0]!roosterprijslijst,2,TRUE)</f>
        <v>0</v>
      </c>
      <c r="O13" s="21" t="e">
        <f>VLOOKUP(H13,[0]!roosterprijslijst,2,TRUE)+(P13*(VLOOKUP(H13,[0]!roosterprijslijst,3,TRUE)))</f>
        <v>#NUM!</v>
      </c>
      <c r="P13" s="21" t="e">
        <f>CEILING((F13-500)/100,1)</f>
        <v>#NUM!</v>
      </c>
      <c r="Q13" s="7">
        <f>J13*E13</f>
        <v>0</v>
      </c>
      <c r="S13" s="165"/>
    </row>
    <row r="14" spans="1:47">
      <c r="B14" s="5" t="s">
        <v>48</v>
      </c>
      <c r="C14" s="6" t="s">
        <v>6</v>
      </c>
      <c r="D14" s="54">
        <f>VLOOKUP(B14,[0]!prijslijst,2,TRUE)</f>
        <v>0</v>
      </c>
      <c r="E14" s="5">
        <v>0</v>
      </c>
      <c r="F14" s="5">
        <v>0</v>
      </c>
      <c r="G14" s="5">
        <v>0</v>
      </c>
      <c r="H14" s="6" t="s">
        <v>48</v>
      </c>
      <c r="I14" s="5"/>
      <c r="J14" s="38">
        <f t="shared" ref="J14:J31" si="0">(F14*G14)/1000000</f>
        <v>0</v>
      </c>
      <c r="K14" s="55">
        <f t="shared" ref="K14:K31" si="1">IF(J14=0,0,(IF(J14&lt;0.5,0.5*D14*E14,J14*D14*E14)))</f>
        <v>0</v>
      </c>
      <c r="L14" s="55">
        <f t="shared" ref="L14:L31" si="2">IF(J14=0,0,IF(F14&lt;500,E14*N14,E14*O14))</f>
        <v>0</v>
      </c>
      <c r="M14" s="65" t="str">
        <f t="shared" ref="M14:M31" si="3">IF(J14&gt;5,"Raam &gt; 5 m2: svp contact",IF(J14&lt;0.5,IF(J14=0,"","Minimale prijs is 0,5 m2 per ruit"),""))</f>
        <v/>
      </c>
      <c r="N14" s="21">
        <f>VLOOKUP(H14,[0]!roosterprijslijst,2,TRUE)</f>
        <v>0</v>
      </c>
      <c r="O14" s="21" t="e">
        <f>VLOOKUP(H14,[0]!roosterprijslijst,2,TRUE)+(P14*(VLOOKUP(H14,[0]!roosterprijslijst,3,TRUE)))</f>
        <v>#NUM!</v>
      </c>
      <c r="P14" s="21" t="e">
        <f t="shared" ref="P14:P31" si="4">CEILING((F14-500)/100,1)</f>
        <v>#NUM!</v>
      </c>
      <c r="Q14" s="7">
        <f t="shared" ref="Q14:Q31" si="5">J14*E14</f>
        <v>0</v>
      </c>
      <c r="S14" s="165"/>
    </row>
    <row r="15" spans="1:47">
      <c r="B15" s="5" t="s">
        <v>48</v>
      </c>
      <c r="C15" s="6" t="s">
        <v>6</v>
      </c>
      <c r="D15" s="54">
        <f>VLOOKUP(B15,[0]!prijslijst,2,TRUE)</f>
        <v>0</v>
      </c>
      <c r="E15" s="5">
        <v>0</v>
      </c>
      <c r="F15" s="5">
        <v>0</v>
      </c>
      <c r="G15" s="5">
        <v>0</v>
      </c>
      <c r="H15" s="6" t="s">
        <v>48</v>
      </c>
      <c r="I15" s="5"/>
      <c r="J15" s="38">
        <f t="shared" si="0"/>
        <v>0</v>
      </c>
      <c r="K15" s="55">
        <f t="shared" si="1"/>
        <v>0</v>
      </c>
      <c r="L15" s="55">
        <f t="shared" si="2"/>
        <v>0</v>
      </c>
      <c r="M15" s="65" t="str">
        <f t="shared" si="3"/>
        <v/>
      </c>
      <c r="N15" s="21">
        <f>VLOOKUP(H15,[0]!roosterprijslijst,2,TRUE)</f>
        <v>0</v>
      </c>
      <c r="O15" s="21" t="e">
        <f>VLOOKUP(H15,[0]!roosterprijslijst,2,TRUE)+(P15*(VLOOKUP(H15,[0]!roosterprijslijst,3,TRUE)))</f>
        <v>#NUM!</v>
      </c>
      <c r="P15" s="21" t="e">
        <f t="shared" si="4"/>
        <v>#NUM!</v>
      </c>
      <c r="Q15" s="7">
        <f t="shared" si="5"/>
        <v>0</v>
      </c>
      <c r="S15" s="165"/>
    </row>
    <row r="16" spans="1:47">
      <c r="B16" s="5" t="s">
        <v>48</v>
      </c>
      <c r="C16" s="6" t="s">
        <v>6</v>
      </c>
      <c r="D16" s="54">
        <f>VLOOKUP(B16,[0]!prijslijst,2,TRUE)</f>
        <v>0</v>
      </c>
      <c r="E16" s="5">
        <v>0</v>
      </c>
      <c r="F16" s="5">
        <v>0</v>
      </c>
      <c r="G16" s="5">
        <v>0</v>
      </c>
      <c r="H16" s="6" t="s">
        <v>48</v>
      </c>
      <c r="I16" s="5"/>
      <c r="J16" s="38">
        <f t="shared" si="0"/>
        <v>0</v>
      </c>
      <c r="K16" s="55">
        <f t="shared" si="1"/>
        <v>0</v>
      </c>
      <c r="L16" s="55">
        <f t="shared" si="2"/>
        <v>0</v>
      </c>
      <c r="M16" s="65" t="str">
        <f t="shared" si="3"/>
        <v/>
      </c>
      <c r="N16" s="21">
        <f>VLOOKUP(H16,[0]!roosterprijslijst,2,TRUE)</f>
        <v>0</v>
      </c>
      <c r="O16" s="21" t="e">
        <f>VLOOKUP(H16,[0]!roosterprijslijst,2,TRUE)+(P16*(VLOOKUP(H16,[0]!roosterprijslijst,3,TRUE)))</f>
        <v>#NUM!</v>
      </c>
      <c r="P16" s="21" t="e">
        <f t="shared" si="4"/>
        <v>#NUM!</v>
      </c>
      <c r="Q16" s="7">
        <f t="shared" si="5"/>
        <v>0</v>
      </c>
      <c r="S16" s="165"/>
    </row>
    <row r="17" spans="2:19">
      <c r="B17" s="5" t="s">
        <v>48</v>
      </c>
      <c r="C17" s="6" t="s">
        <v>6</v>
      </c>
      <c r="D17" s="54">
        <f>VLOOKUP(B17,[0]!prijslijst,2,TRUE)</f>
        <v>0</v>
      </c>
      <c r="E17" s="5">
        <v>0</v>
      </c>
      <c r="F17" s="5">
        <v>0</v>
      </c>
      <c r="G17" s="5">
        <v>0</v>
      </c>
      <c r="H17" s="6" t="s">
        <v>48</v>
      </c>
      <c r="I17" s="5"/>
      <c r="J17" s="38">
        <f t="shared" si="0"/>
        <v>0</v>
      </c>
      <c r="K17" s="55">
        <f t="shared" si="1"/>
        <v>0</v>
      </c>
      <c r="L17" s="55">
        <f t="shared" si="2"/>
        <v>0</v>
      </c>
      <c r="M17" s="65" t="str">
        <f t="shared" si="3"/>
        <v/>
      </c>
      <c r="N17" s="21">
        <f>VLOOKUP(H17,[0]!roosterprijslijst,2,TRUE)</f>
        <v>0</v>
      </c>
      <c r="O17" s="21" t="e">
        <f>VLOOKUP(H17,[0]!roosterprijslijst,2,TRUE)+(P17*(VLOOKUP(H17,[0]!roosterprijslijst,3,TRUE)))</f>
        <v>#NUM!</v>
      </c>
      <c r="P17" s="21" t="e">
        <f t="shared" si="4"/>
        <v>#NUM!</v>
      </c>
      <c r="Q17" s="7">
        <f t="shared" si="5"/>
        <v>0</v>
      </c>
      <c r="S17" s="165"/>
    </row>
    <row r="18" spans="2:19">
      <c r="B18" s="5" t="s">
        <v>48</v>
      </c>
      <c r="C18" s="6" t="s">
        <v>6</v>
      </c>
      <c r="D18" s="54">
        <f>VLOOKUP(B18,[0]!prijslijst,2,TRUE)</f>
        <v>0</v>
      </c>
      <c r="E18" s="5">
        <v>0</v>
      </c>
      <c r="F18" s="5">
        <v>0</v>
      </c>
      <c r="G18" s="5">
        <v>0</v>
      </c>
      <c r="H18" s="6" t="s">
        <v>48</v>
      </c>
      <c r="I18" s="5"/>
      <c r="J18" s="38">
        <f t="shared" si="0"/>
        <v>0</v>
      </c>
      <c r="K18" s="55">
        <f t="shared" si="1"/>
        <v>0</v>
      </c>
      <c r="L18" s="55">
        <f t="shared" si="2"/>
        <v>0</v>
      </c>
      <c r="M18" s="65" t="str">
        <f t="shared" si="3"/>
        <v/>
      </c>
      <c r="N18" s="21">
        <f>VLOOKUP(H18,[0]!roosterprijslijst,2,TRUE)</f>
        <v>0</v>
      </c>
      <c r="O18" s="21" t="e">
        <f>VLOOKUP(H18,[0]!roosterprijslijst,2,TRUE)+(P18*(VLOOKUP(H18,[0]!roosterprijslijst,3,TRUE)))</f>
        <v>#NUM!</v>
      </c>
      <c r="P18" s="21" t="e">
        <f t="shared" si="4"/>
        <v>#NUM!</v>
      </c>
      <c r="Q18" s="7">
        <f t="shared" si="5"/>
        <v>0</v>
      </c>
      <c r="S18" s="165"/>
    </row>
    <row r="19" spans="2:19">
      <c r="B19" s="5" t="s">
        <v>48</v>
      </c>
      <c r="C19" s="6" t="s">
        <v>6</v>
      </c>
      <c r="D19" s="54">
        <f>VLOOKUP(B19,[0]!prijslijst,2,TRUE)</f>
        <v>0</v>
      </c>
      <c r="E19" s="5">
        <v>0</v>
      </c>
      <c r="F19" s="5">
        <v>0</v>
      </c>
      <c r="G19" s="5">
        <v>0</v>
      </c>
      <c r="H19" s="6" t="s">
        <v>48</v>
      </c>
      <c r="I19" s="5"/>
      <c r="J19" s="38">
        <f t="shared" si="0"/>
        <v>0</v>
      </c>
      <c r="K19" s="55">
        <f t="shared" si="1"/>
        <v>0</v>
      </c>
      <c r="L19" s="55">
        <f t="shared" si="2"/>
        <v>0</v>
      </c>
      <c r="M19" s="65" t="str">
        <f t="shared" si="3"/>
        <v/>
      </c>
      <c r="N19" s="21">
        <f>VLOOKUP(H19,[0]!roosterprijslijst,2,TRUE)</f>
        <v>0</v>
      </c>
      <c r="O19" s="21" t="e">
        <f>VLOOKUP(H19,[0]!roosterprijslijst,2,TRUE)+(P19*(VLOOKUP(H19,[0]!roosterprijslijst,3,TRUE)))</f>
        <v>#NUM!</v>
      </c>
      <c r="P19" s="21" t="e">
        <f t="shared" si="4"/>
        <v>#NUM!</v>
      </c>
      <c r="Q19" s="7">
        <f t="shared" si="5"/>
        <v>0</v>
      </c>
      <c r="S19" s="165"/>
    </row>
    <row r="20" spans="2:19">
      <c r="B20" s="5" t="s">
        <v>48</v>
      </c>
      <c r="C20" s="6" t="s">
        <v>6</v>
      </c>
      <c r="D20" s="54">
        <f>VLOOKUP(B20,[0]!prijslijst,2,TRUE)</f>
        <v>0</v>
      </c>
      <c r="E20" s="5">
        <v>0</v>
      </c>
      <c r="F20" s="5">
        <v>0</v>
      </c>
      <c r="G20" s="5">
        <v>0</v>
      </c>
      <c r="H20" s="6" t="s">
        <v>48</v>
      </c>
      <c r="I20" s="5"/>
      <c r="J20" s="38">
        <f t="shared" si="0"/>
        <v>0</v>
      </c>
      <c r="K20" s="55">
        <f t="shared" si="1"/>
        <v>0</v>
      </c>
      <c r="L20" s="55">
        <f t="shared" si="2"/>
        <v>0</v>
      </c>
      <c r="M20" s="65" t="str">
        <f t="shared" si="3"/>
        <v/>
      </c>
      <c r="N20" s="21">
        <f>VLOOKUP(H20,[0]!roosterprijslijst,2,TRUE)</f>
        <v>0</v>
      </c>
      <c r="O20" s="21" t="e">
        <f>VLOOKUP(H20,[0]!roosterprijslijst,2,TRUE)+(P20*(VLOOKUP(H20,[0]!roosterprijslijst,3,TRUE)))</f>
        <v>#NUM!</v>
      </c>
      <c r="P20" s="21" t="e">
        <f t="shared" si="4"/>
        <v>#NUM!</v>
      </c>
      <c r="Q20" s="7">
        <f t="shared" si="5"/>
        <v>0</v>
      </c>
      <c r="S20" s="165"/>
    </row>
    <row r="21" spans="2:19">
      <c r="B21" s="5" t="s">
        <v>48</v>
      </c>
      <c r="C21" s="6" t="s">
        <v>6</v>
      </c>
      <c r="D21" s="54">
        <f>VLOOKUP(B21,[0]!prijslijst,2,TRUE)</f>
        <v>0</v>
      </c>
      <c r="E21" s="5">
        <v>0</v>
      </c>
      <c r="F21" s="5">
        <v>0</v>
      </c>
      <c r="G21" s="5">
        <v>0</v>
      </c>
      <c r="H21" s="6" t="s">
        <v>48</v>
      </c>
      <c r="I21" s="5"/>
      <c r="J21" s="38">
        <f t="shared" si="0"/>
        <v>0</v>
      </c>
      <c r="K21" s="55">
        <f t="shared" si="1"/>
        <v>0</v>
      </c>
      <c r="L21" s="55">
        <f t="shared" si="2"/>
        <v>0</v>
      </c>
      <c r="M21" s="65" t="str">
        <f t="shared" si="3"/>
        <v/>
      </c>
      <c r="N21" s="21">
        <f>VLOOKUP(H21,[0]!roosterprijslijst,2,TRUE)</f>
        <v>0</v>
      </c>
      <c r="O21" s="21" t="e">
        <f>VLOOKUP(H21,[0]!roosterprijslijst,2,TRUE)+(P21*(VLOOKUP(H21,[0]!roosterprijslijst,3,TRUE)))</f>
        <v>#NUM!</v>
      </c>
      <c r="P21" s="21" t="e">
        <f t="shared" si="4"/>
        <v>#NUM!</v>
      </c>
      <c r="Q21" s="7">
        <f t="shared" si="5"/>
        <v>0</v>
      </c>
      <c r="S21" s="165"/>
    </row>
    <row r="22" spans="2:19">
      <c r="B22" s="5" t="s">
        <v>48</v>
      </c>
      <c r="C22" s="6" t="s">
        <v>6</v>
      </c>
      <c r="D22" s="54">
        <f>VLOOKUP(B22,[0]!prijslijst,2,TRUE)</f>
        <v>0</v>
      </c>
      <c r="E22" s="5">
        <v>0</v>
      </c>
      <c r="F22" s="5">
        <v>0</v>
      </c>
      <c r="G22" s="5">
        <v>0</v>
      </c>
      <c r="H22" s="6" t="s">
        <v>48</v>
      </c>
      <c r="I22" s="5"/>
      <c r="J22" s="38">
        <f t="shared" si="0"/>
        <v>0</v>
      </c>
      <c r="K22" s="55">
        <f t="shared" si="1"/>
        <v>0</v>
      </c>
      <c r="L22" s="55">
        <f t="shared" si="2"/>
        <v>0</v>
      </c>
      <c r="M22" s="65" t="str">
        <f t="shared" si="3"/>
        <v/>
      </c>
      <c r="N22" s="21">
        <f>VLOOKUP(H22,[0]!roosterprijslijst,2,TRUE)</f>
        <v>0</v>
      </c>
      <c r="O22" s="21" t="e">
        <f>VLOOKUP(H22,[0]!roosterprijslijst,2,TRUE)+(P22*(VLOOKUP(H22,[0]!roosterprijslijst,3,TRUE)))</f>
        <v>#NUM!</v>
      </c>
      <c r="P22" s="21" t="e">
        <f t="shared" si="4"/>
        <v>#NUM!</v>
      </c>
      <c r="Q22" s="7">
        <f t="shared" si="5"/>
        <v>0</v>
      </c>
      <c r="S22" s="165"/>
    </row>
    <row r="23" spans="2:19">
      <c r="B23" s="5" t="s">
        <v>48</v>
      </c>
      <c r="C23" s="6" t="s">
        <v>6</v>
      </c>
      <c r="D23" s="54">
        <f>VLOOKUP(B23,[0]!prijslijst,2,TRUE)</f>
        <v>0</v>
      </c>
      <c r="E23" s="5">
        <v>0</v>
      </c>
      <c r="F23" s="5">
        <v>0</v>
      </c>
      <c r="G23" s="5">
        <v>0</v>
      </c>
      <c r="H23" s="6" t="s">
        <v>48</v>
      </c>
      <c r="I23" s="5"/>
      <c r="J23" s="38">
        <f t="shared" si="0"/>
        <v>0</v>
      </c>
      <c r="K23" s="55">
        <f t="shared" si="1"/>
        <v>0</v>
      </c>
      <c r="L23" s="55">
        <f t="shared" si="2"/>
        <v>0</v>
      </c>
      <c r="M23" s="65" t="str">
        <f t="shared" si="3"/>
        <v/>
      </c>
      <c r="N23" s="21">
        <f>VLOOKUP(H23,[0]!roosterprijslijst,2,TRUE)</f>
        <v>0</v>
      </c>
      <c r="O23" s="21" t="e">
        <f>VLOOKUP(H23,[0]!roosterprijslijst,2,TRUE)+(P23*(VLOOKUP(H23,[0]!roosterprijslijst,3,TRUE)))</f>
        <v>#NUM!</v>
      </c>
      <c r="P23" s="21" t="e">
        <f t="shared" si="4"/>
        <v>#NUM!</v>
      </c>
      <c r="Q23" s="7">
        <f t="shared" si="5"/>
        <v>0</v>
      </c>
      <c r="S23" s="165"/>
    </row>
    <row r="24" spans="2:19">
      <c r="B24" s="5" t="s">
        <v>48</v>
      </c>
      <c r="C24" s="6" t="s">
        <v>6</v>
      </c>
      <c r="D24" s="54">
        <f>VLOOKUP(B24,[0]!prijslijst,2,TRUE)</f>
        <v>0</v>
      </c>
      <c r="E24" s="5">
        <v>0</v>
      </c>
      <c r="F24" s="5">
        <v>0</v>
      </c>
      <c r="G24" s="5">
        <v>0</v>
      </c>
      <c r="H24" s="6" t="s">
        <v>48</v>
      </c>
      <c r="I24" s="5"/>
      <c r="J24" s="38">
        <f t="shared" si="0"/>
        <v>0</v>
      </c>
      <c r="K24" s="55">
        <f t="shared" si="1"/>
        <v>0</v>
      </c>
      <c r="L24" s="55">
        <f t="shared" si="2"/>
        <v>0</v>
      </c>
      <c r="M24" s="65" t="str">
        <f t="shared" si="3"/>
        <v/>
      </c>
      <c r="N24" s="21">
        <f>VLOOKUP(H24,[0]!roosterprijslijst,2,TRUE)</f>
        <v>0</v>
      </c>
      <c r="O24" s="21" t="e">
        <f>VLOOKUP(H24,[0]!roosterprijslijst,2,TRUE)+(P24*(VLOOKUP(H24,[0]!roosterprijslijst,3,TRUE)))</f>
        <v>#NUM!</v>
      </c>
      <c r="P24" s="21" t="e">
        <f t="shared" si="4"/>
        <v>#NUM!</v>
      </c>
      <c r="Q24" s="7">
        <f t="shared" si="5"/>
        <v>0</v>
      </c>
      <c r="S24" s="165"/>
    </row>
    <row r="25" spans="2:19">
      <c r="B25" s="5" t="s">
        <v>48</v>
      </c>
      <c r="C25" s="6" t="s">
        <v>6</v>
      </c>
      <c r="D25" s="54">
        <f>VLOOKUP(B25,[0]!prijslijst,2,TRUE)</f>
        <v>0</v>
      </c>
      <c r="E25" s="5">
        <v>0</v>
      </c>
      <c r="F25" s="5">
        <v>0</v>
      </c>
      <c r="G25" s="5">
        <v>0</v>
      </c>
      <c r="H25" s="6" t="s">
        <v>48</v>
      </c>
      <c r="I25" s="5"/>
      <c r="J25" s="38">
        <f t="shared" si="0"/>
        <v>0</v>
      </c>
      <c r="K25" s="55">
        <f t="shared" si="1"/>
        <v>0</v>
      </c>
      <c r="L25" s="55">
        <f t="shared" si="2"/>
        <v>0</v>
      </c>
      <c r="M25" s="65" t="str">
        <f t="shared" si="3"/>
        <v/>
      </c>
      <c r="N25" s="21">
        <f>VLOOKUP(H25,[0]!roosterprijslijst,2,TRUE)</f>
        <v>0</v>
      </c>
      <c r="O25" s="21" t="e">
        <f>VLOOKUP(H25,[0]!roosterprijslijst,2,TRUE)+(P25*(VLOOKUP(H25,[0]!roosterprijslijst,3,TRUE)))</f>
        <v>#NUM!</v>
      </c>
      <c r="P25" s="21" t="e">
        <f t="shared" si="4"/>
        <v>#NUM!</v>
      </c>
      <c r="Q25" s="7">
        <f t="shared" si="5"/>
        <v>0</v>
      </c>
      <c r="S25" s="165"/>
    </row>
    <row r="26" spans="2:19">
      <c r="B26" s="5" t="s">
        <v>48</v>
      </c>
      <c r="C26" s="6" t="s">
        <v>6</v>
      </c>
      <c r="D26" s="54">
        <f>VLOOKUP(B26,[0]!prijslijst,2,TRUE)</f>
        <v>0</v>
      </c>
      <c r="E26" s="5">
        <v>0</v>
      </c>
      <c r="F26" s="5">
        <v>0</v>
      </c>
      <c r="G26" s="5">
        <v>0</v>
      </c>
      <c r="H26" s="6" t="s">
        <v>48</v>
      </c>
      <c r="I26" s="5"/>
      <c r="J26" s="38">
        <f t="shared" si="0"/>
        <v>0</v>
      </c>
      <c r="K26" s="55">
        <f t="shared" si="1"/>
        <v>0</v>
      </c>
      <c r="L26" s="55">
        <f t="shared" si="2"/>
        <v>0</v>
      </c>
      <c r="M26" s="65" t="str">
        <f t="shared" si="3"/>
        <v/>
      </c>
      <c r="N26" s="21">
        <f>VLOOKUP(H26,[0]!roosterprijslijst,2,TRUE)</f>
        <v>0</v>
      </c>
      <c r="O26" s="21" t="e">
        <f>VLOOKUP(H26,[0]!roosterprijslijst,2,TRUE)+(P26*(VLOOKUP(H26,[0]!roosterprijslijst,3,TRUE)))</f>
        <v>#NUM!</v>
      </c>
      <c r="P26" s="21" t="e">
        <f t="shared" si="4"/>
        <v>#NUM!</v>
      </c>
      <c r="Q26" s="7">
        <f t="shared" si="5"/>
        <v>0</v>
      </c>
      <c r="S26" s="165"/>
    </row>
    <row r="27" spans="2:19">
      <c r="B27" s="5" t="s">
        <v>48</v>
      </c>
      <c r="C27" s="6" t="s">
        <v>6</v>
      </c>
      <c r="D27" s="54">
        <f>VLOOKUP(B27,[0]!prijslijst,2,TRUE)</f>
        <v>0</v>
      </c>
      <c r="E27" s="5">
        <v>0</v>
      </c>
      <c r="F27" s="5">
        <v>0</v>
      </c>
      <c r="G27" s="5">
        <v>0</v>
      </c>
      <c r="H27" s="6" t="s">
        <v>48</v>
      </c>
      <c r="I27" s="5"/>
      <c r="J27" s="38">
        <f t="shared" si="0"/>
        <v>0</v>
      </c>
      <c r="K27" s="55">
        <f t="shared" si="1"/>
        <v>0</v>
      </c>
      <c r="L27" s="55">
        <f t="shared" si="2"/>
        <v>0</v>
      </c>
      <c r="M27" s="65" t="str">
        <f t="shared" si="3"/>
        <v/>
      </c>
      <c r="N27" s="21">
        <f>VLOOKUP(H27,[0]!roosterprijslijst,2,TRUE)</f>
        <v>0</v>
      </c>
      <c r="O27" s="21" t="e">
        <f>VLOOKUP(H27,[0]!roosterprijslijst,2,TRUE)+(P27*(VLOOKUP(H27,[0]!roosterprijslijst,3,TRUE)))</f>
        <v>#NUM!</v>
      </c>
      <c r="P27" s="21" t="e">
        <f t="shared" si="4"/>
        <v>#NUM!</v>
      </c>
      <c r="Q27" s="7">
        <f t="shared" si="5"/>
        <v>0</v>
      </c>
      <c r="S27" s="165"/>
    </row>
    <row r="28" spans="2:19">
      <c r="B28" s="5" t="s">
        <v>48</v>
      </c>
      <c r="C28" s="6" t="s">
        <v>6</v>
      </c>
      <c r="D28" s="54">
        <f>VLOOKUP(B28,[0]!prijslijst,2,TRUE)</f>
        <v>0</v>
      </c>
      <c r="E28" s="5">
        <v>0</v>
      </c>
      <c r="F28" s="5">
        <v>0</v>
      </c>
      <c r="G28" s="5">
        <v>0</v>
      </c>
      <c r="H28" s="6" t="s">
        <v>48</v>
      </c>
      <c r="I28" s="5"/>
      <c r="J28" s="38">
        <f t="shared" si="0"/>
        <v>0</v>
      </c>
      <c r="K28" s="55">
        <f t="shared" si="1"/>
        <v>0</v>
      </c>
      <c r="L28" s="55">
        <f t="shared" si="2"/>
        <v>0</v>
      </c>
      <c r="M28" s="65" t="str">
        <f t="shared" si="3"/>
        <v/>
      </c>
      <c r="N28" s="21">
        <f>VLOOKUP(H28,[0]!roosterprijslijst,2,TRUE)</f>
        <v>0</v>
      </c>
      <c r="O28" s="21" t="e">
        <f>VLOOKUP(H28,[0]!roosterprijslijst,2,TRUE)+(P28*(VLOOKUP(H28,[0]!roosterprijslijst,3,TRUE)))</f>
        <v>#NUM!</v>
      </c>
      <c r="P28" s="21" t="e">
        <f t="shared" si="4"/>
        <v>#NUM!</v>
      </c>
      <c r="Q28" s="7">
        <f t="shared" si="5"/>
        <v>0</v>
      </c>
      <c r="S28" s="165"/>
    </row>
    <row r="29" spans="2:19">
      <c r="B29" s="5" t="s">
        <v>48</v>
      </c>
      <c r="C29" s="6" t="s">
        <v>6</v>
      </c>
      <c r="D29" s="54">
        <f>VLOOKUP(B29,[0]!prijslijst,2,TRUE)</f>
        <v>0</v>
      </c>
      <c r="E29" s="5">
        <v>0</v>
      </c>
      <c r="F29" s="5">
        <v>0</v>
      </c>
      <c r="G29" s="5">
        <v>0</v>
      </c>
      <c r="H29" s="6" t="s">
        <v>48</v>
      </c>
      <c r="I29" s="5"/>
      <c r="J29" s="38">
        <f t="shared" si="0"/>
        <v>0</v>
      </c>
      <c r="K29" s="55">
        <f t="shared" si="1"/>
        <v>0</v>
      </c>
      <c r="L29" s="55">
        <f t="shared" si="2"/>
        <v>0</v>
      </c>
      <c r="M29" s="65" t="str">
        <f t="shared" si="3"/>
        <v/>
      </c>
      <c r="N29" s="21">
        <f>VLOOKUP(H29,[0]!roosterprijslijst,2,TRUE)</f>
        <v>0</v>
      </c>
      <c r="O29" s="21" t="e">
        <f>VLOOKUP(H29,[0]!roosterprijslijst,2,TRUE)+(P29*(VLOOKUP(H29,[0]!roosterprijslijst,3,TRUE)))</f>
        <v>#NUM!</v>
      </c>
      <c r="P29" s="21" t="e">
        <f t="shared" si="4"/>
        <v>#NUM!</v>
      </c>
      <c r="Q29" s="7">
        <f t="shared" si="5"/>
        <v>0</v>
      </c>
      <c r="S29" s="165"/>
    </row>
    <row r="30" spans="2:19">
      <c r="B30" s="5" t="s">
        <v>48</v>
      </c>
      <c r="C30" s="6" t="s">
        <v>6</v>
      </c>
      <c r="D30" s="54">
        <f>VLOOKUP(B30,[0]!prijslijst,2,TRUE)</f>
        <v>0</v>
      </c>
      <c r="E30" s="5">
        <v>0</v>
      </c>
      <c r="F30" s="5">
        <v>0</v>
      </c>
      <c r="G30" s="5">
        <v>0</v>
      </c>
      <c r="H30" s="6" t="s">
        <v>48</v>
      </c>
      <c r="I30" s="5"/>
      <c r="J30" s="38">
        <f t="shared" si="0"/>
        <v>0</v>
      </c>
      <c r="K30" s="55">
        <f t="shared" si="1"/>
        <v>0</v>
      </c>
      <c r="L30" s="55">
        <f t="shared" si="2"/>
        <v>0</v>
      </c>
      <c r="M30" s="65" t="str">
        <f t="shared" si="3"/>
        <v/>
      </c>
      <c r="N30" s="21">
        <f>VLOOKUP(H30,[0]!roosterprijslijst,2,TRUE)</f>
        <v>0</v>
      </c>
      <c r="O30" s="21" t="e">
        <f>VLOOKUP(H30,[0]!roosterprijslijst,2,TRUE)+(P30*(VLOOKUP(H30,[0]!roosterprijslijst,3,TRUE)))</f>
        <v>#NUM!</v>
      </c>
      <c r="P30" s="21" t="e">
        <f t="shared" si="4"/>
        <v>#NUM!</v>
      </c>
      <c r="Q30" s="7">
        <f t="shared" si="5"/>
        <v>0</v>
      </c>
      <c r="S30" s="165"/>
    </row>
    <row r="31" spans="2:19" ht="13.5" thickBot="1">
      <c r="B31" s="5" t="s">
        <v>48</v>
      </c>
      <c r="C31" s="6" t="s">
        <v>6</v>
      </c>
      <c r="D31" s="54">
        <f>VLOOKUP(B31,[0]!prijslijst,2,TRUE)</f>
        <v>0</v>
      </c>
      <c r="E31" s="5">
        <v>0</v>
      </c>
      <c r="F31" s="5">
        <v>0</v>
      </c>
      <c r="G31" s="5">
        <v>0</v>
      </c>
      <c r="H31" s="6" t="s">
        <v>48</v>
      </c>
      <c r="I31" s="20"/>
      <c r="J31" s="38">
        <f t="shared" si="0"/>
        <v>0</v>
      </c>
      <c r="K31" s="55">
        <f t="shared" si="1"/>
        <v>0</v>
      </c>
      <c r="L31" s="55">
        <f t="shared" si="2"/>
        <v>0</v>
      </c>
      <c r="M31" s="65" t="str">
        <f t="shared" si="3"/>
        <v/>
      </c>
      <c r="N31" s="21">
        <f>VLOOKUP(H31,[0]!roosterprijslijst,2,TRUE)</f>
        <v>0</v>
      </c>
      <c r="O31" s="21" t="e">
        <f>VLOOKUP(H31,[0]!roosterprijslijst,2,TRUE)+(P31*(VLOOKUP(H31,[0]!roosterprijslijst,3,TRUE)))</f>
        <v>#NUM!</v>
      </c>
      <c r="P31" s="21" t="e">
        <f t="shared" si="4"/>
        <v>#NUM!</v>
      </c>
      <c r="Q31" s="7">
        <f t="shared" si="5"/>
        <v>0</v>
      </c>
      <c r="S31" s="165"/>
    </row>
    <row r="32" spans="2:19" ht="17.25" customHeight="1" thickBot="1">
      <c r="B32" s="237" t="s">
        <v>136</v>
      </c>
      <c r="C32" s="237"/>
      <c r="D32" s="237"/>
      <c r="E32" s="237"/>
      <c r="F32" s="237"/>
      <c r="G32" s="238"/>
      <c r="H32" s="246" t="s">
        <v>78</v>
      </c>
      <c r="I32" s="247"/>
      <c r="J32" s="58"/>
      <c r="K32" s="56">
        <f>SUM(K13:K31)</f>
        <v>0</v>
      </c>
      <c r="L32" s="57">
        <f>SUM(L13:L31)</f>
        <v>0</v>
      </c>
      <c r="M32" s="65"/>
      <c r="N32" s="21"/>
      <c r="O32" s="21"/>
      <c r="P32" s="21"/>
      <c r="Q32" s="7">
        <f>SUM(Q13:Q31)</f>
        <v>0</v>
      </c>
      <c r="S32" s="165"/>
    </row>
    <row r="33" spans="2:19" ht="15.75">
      <c r="B33" s="62" t="s">
        <v>58</v>
      </c>
      <c r="C33" s="63"/>
      <c r="D33" s="63"/>
      <c r="E33" s="63"/>
      <c r="F33" s="63"/>
      <c r="G33" s="64"/>
      <c r="H33" s="240" t="s">
        <v>30</v>
      </c>
      <c r="I33" s="241"/>
      <c r="J33" s="241"/>
      <c r="K33" s="242"/>
      <c r="L33" s="248">
        <f>K32+L32</f>
        <v>0</v>
      </c>
      <c r="M33" s="66"/>
      <c r="S33" s="165"/>
    </row>
    <row r="34" spans="2:19">
      <c r="B34" s="110" t="s">
        <v>52</v>
      </c>
      <c r="C34" s="111"/>
      <c r="D34" s="111"/>
      <c r="E34" s="111"/>
      <c r="F34" s="111"/>
      <c r="G34" s="112"/>
      <c r="H34" s="243"/>
      <c r="I34" s="244"/>
      <c r="J34" s="244"/>
      <c r="K34" s="245"/>
      <c r="L34" s="249"/>
      <c r="M34" s="66"/>
      <c r="S34" s="165"/>
    </row>
    <row r="35" spans="2:19" ht="15" customHeight="1" thickBot="1">
      <c r="B35" s="113" t="s">
        <v>163</v>
      </c>
      <c r="C35" s="114"/>
      <c r="D35" s="114"/>
      <c r="E35" s="115"/>
      <c r="F35" s="115"/>
      <c r="G35" s="116"/>
      <c r="H35" s="239"/>
      <c r="I35" s="239"/>
      <c r="J35" s="239"/>
      <c r="K35" s="239"/>
      <c r="L35" s="139"/>
      <c r="M35" s="66"/>
      <c r="S35" s="165"/>
    </row>
    <row r="36" spans="2:19" ht="15.75" thickBot="1">
      <c r="B36" s="255" t="s">
        <v>166</v>
      </c>
      <c r="C36" s="255"/>
      <c r="D36" s="256"/>
      <c r="E36" s="101" t="s">
        <v>161</v>
      </c>
      <c r="F36" s="101" t="s">
        <v>147</v>
      </c>
      <c r="G36" s="3"/>
      <c r="H36" s="250" t="s">
        <v>59</v>
      </c>
      <c r="I36" s="251"/>
      <c r="J36" s="251"/>
      <c r="K36" s="252"/>
      <c r="L36" s="200">
        <f>L33*0.015</f>
        <v>0</v>
      </c>
      <c r="M36" s="66"/>
      <c r="S36" s="165"/>
    </row>
    <row r="37" spans="2:19" ht="15" customHeight="1">
      <c r="B37" s="202" t="s">
        <v>160</v>
      </c>
      <c r="C37" s="203"/>
      <c r="D37" s="204"/>
      <c r="E37" s="98">
        <v>3.6</v>
      </c>
      <c r="F37" s="100">
        <f>blad3!G25</f>
        <v>0</v>
      </c>
      <c r="G37" s="99" t="s">
        <v>162</v>
      </c>
      <c r="H37" s="277" t="str">
        <f>IF($L$33=0," ",IF($F$40='blad 1'!$A$2,"Beglazingskit Bloem Easyseal Prof. 310 ml wit"," "))</f>
        <v xml:space="preserve"> </v>
      </c>
      <c r="I37" s="278"/>
      <c r="J37" s="278"/>
      <c r="K37" s="279"/>
      <c r="L37" s="160" t="str">
        <f>IF($L$33=0,"",IF($F$40='blad 1'!$A$2,F37*E37,""))</f>
        <v/>
      </c>
      <c r="M37" s="66"/>
      <c r="S37" s="165"/>
    </row>
    <row r="38" spans="2:19" ht="12.75" customHeight="1">
      <c r="B38" s="202" t="s">
        <v>193</v>
      </c>
      <c r="C38" s="203"/>
      <c r="D38" s="204"/>
      <c r="E38" s="98">
        <v>3</v>
      </c>
      <c r="F38" s="100">
        <f>(blad3!G26)/20</f>
        <v>0</v>
      </c>
      <c r="G38" s="99" t="s">
        <v>162</v>
      </c>
      <c r="H38" s="218" t="str">
        <f>IF($L$33=0," ",IF($F$40='blad 1'!$A$2,"Beglazingsband 3 mm rol 20 m1"," "))</f>
        <v xml:space="preserve"> </v>
      </c>
      <c r="I38" s="219"/>
      <c r="J38" s="219"/>
      <c r="K38" s="220"/>
      <c r="L38" s="158" t="str">
        <f>IF($L$33=0,"",IF($F$40='blad 1'!$A$2,F38*E38,""))</f>
        <v/>
      </c>
      <c r="M38" s="66"/>
      <c r="S38" s="165"/>
    </row>
    <row r="39" spans="2:19" ht="12.75" customHeight="1">
      <c r="B39" s="202" t="s">
        <v>121</v>
      </c>
      <c r="C39" s="203"/>
      <c r="D39" s="204"/>
      <c r="E39" s="98">
        <v>1</v>
      </c>
      <c r="F39" s="100">
        <f>blad3!C23</f>
        <v>0</v>
      </c>
      <c r="G39" s="99" t="s">
        <v>162</v>
      </c>
      <c r="H39" s="218" t="str">
        <f>IF($L$33=0," ",IF($F$40='blad 1'!$A$2,"Setje(s) beglazingsblokjes"," "))</f>
        <v xml:space="preserve"> </v>
      </c>
      <c r="I39" s="219"/>
      <c r="J39" s="219"/>
      <c r="K39" s="220"/>
      <c r="L39" s="158" t="str">
        <f>IF($L$33=0,"",IF($F$40='blad 1'!$A$2,F39*E39,""))</f>
        <v/>
      </c>
      <c r="M39" s="66"/>
      <c r="S39" s="165"/>
    </row>
    <row r="40" spans="2:19" ht="15" thickBot="1">
      <c r="B40" s="205" t="s">
        <v>123</v>
      </c>
      <c r="C40" s="206"/>
      <c r="D40" s="206"/>
      <c r="E40" s="207"/>
      <c r="F40" s="100" t="s">
        <v>7</v>
      </c>
      <c r="G40" s="99" t="s">
        <v>162</v>
      </c>
      <c r="H40" s="221" t="str">
        <f>IF($L$33=0," ",IF($F$40='blad 1'!$A$2,"Bezorgkosten beglazingsmateriaal"," "))</f>
        <v xml:space="preserve"> </v>
      </c>
      <c r="I40" s="222"/>
      <c r="J40" s="222"/>
      <c r="K40" s="223"/>
      <c r="L40" s="159" t="str">
        <f>IF(L33=0,"",IF(SUM(L37:L39)&gt;=150,"gratis",IF(F40='blad 1'!A2,6.5,"")))</f>
        <v/>
      </c>
      <c r="M40" s="66"/>
      <c r="S40" s="165"/>
    </row>
    <row r="41" spans="2:19" ht="15" thickBot="1">
      <c r="B41" s="195"/>
      <c r="C41" s="195"/>
      <c r="D41" s="195"/>
      <c r="E41" s="195"/>
      <c r="F41" s="196"/>
      <c r="G41" s="99"/>
      <c r="H41" s="164"/>
      <c r="I41" s="164"/>
      <c r="J41" s="164"/>
      <c r="K41" s="164"/>
      <c r="L41" s="197"/>
      <c r="M41" s="66"/>
      <c r="S41" s="165"/>
    </row>
    <row r="42" spans="2:19" ht="17.25" customHeight="1" thickBot="1">
      <c r="B42" s="224" t="s">
        <v>299</v>
      </c>
      <c r="C42" s="225"/>
      <c r="D42" s="225"/>
      <c r="E42" s="225"/>
      <c r="F42" s="225"/>
      <c r="G42" s="226"/>
      <c r="H42" s="257" t="s">
        <v>63</v>
      </c>
      <c r="I42" s="258"/>
      <c r="J42" s="258"/>
      <c r="K42" s="259"/>
      <c r="L42" s="161">
        <f>SUM(L33:L40)</f>
        <v>0</v>
      </c>
      <c r="M42" s="66"/>
      <c r="S42" s="165"/>
    </row>
    <row r="43" spans="2:19" ht="21" customHeight="1" thickBot="1">
      <c r="B43" s="227"/>
      <c r="C43" s="228"/>
      <c r="D43" s="228"/>
      <c r="E43" s="228"/>
      <c r="F43" s="228"/>
      <c r="G43" s="228"/>
      <c r="H43" s="280" t="s">
        <v>303</v>
      </c>
      <c r="I43" s="281"/>
      <c r="J43" s="281"/>
      <c r="K43" s="282"/>
      <c r="L43" s="201" t="str">
        <f>IF(L42&lt;400,"€ 18,95",IF(L42&gt;=400,"€ 0,00"))</f>
        <v>€ 18,95</v>
      </c>
      <c r="M43" s="66"/>
      <c r="S43" s="165"/>
    </row>
    <row r="44" spans="2:19" ht="14.25" customHeight="1" thickBot="1">
      <c r="B44" s="264" t="s">
        <v>235</v>
      </c>
      <c r="C44" s="265"/>
      <c r="D44" s="265"/>
      <c r="E44" s="265"/>
      <c r="F44" s="265"/>
      <c r="G44" s="266"/>
      <c r="H44" s="229" t="str">
        <f>'blad 2'!X10</f>
        <v>Korting</v>
      </c>
      <c r="I44" s="230"/>
      <c r="J44" s="230"/>
      <c r="K44" s="230"/>
      <c r="L44" s="199">
        <f>IF('blad 2'!V10=0,0,K32*'blad 2'!W10)</f>
        <v>0</v>
      </c>
      <c r="M44" s="66"/>
      <c r="S44" s="165"/>
    </row>
    <row r="45" spans="2:19" ht="18" customHeight="1" thickBot="1">
      <c r="B45" s="267"/>
      <c r="C45" s="265"/>
      <c r="D45" s="265"/>
      <c r="E45" s="265"/>
      <c r="F45" s="265"/>
      <c r="G45" s="268"/>
      <c r="H45" s="271" t="s">
        <v>63</v>
      </c>
      <c r="I45" s="272"/>
      <c r="J45" s="272"/>
      <c r="K45" s="273"/>
      <c r="L45" s="103">
        <f>L42+L43-L44</f>
        <v>18.95</v>
      </c>
      <c r="M45" s="66"/>
      <c r="S45" s="165"/>
    </row>
    <row r="46" spans="2:19" ht="18" customHeight="1" thickBot="1">
      <c r="B46" s="267"/>
      <c r="C46" s="266"/>
      <c r="D46" s="266"/>
      <c r="E46" s="266"/>
      <c r="F46" s="266"/>
      <c r="G46" s="268"/>
      <c r="H46" s="274" t="s">
        <v>300</v>
      </c>
      <c r="I46" s="275"/>
      <c r="J46" s="275"/>
      <c r="K46" s="276"/>
      <c r="L46" s="102">
        <f>L45*0.21</f>
        <v>3.9794999999999998</v>
      </c>
      <c r="M46" s="4"/>
    </row>
    <row r="47" spans="2:19" ht="18.75" customHeight="1" thickBot="1">
      <c r="B47" s="298"/>
      <c r="C47" s="298"/>
      <c r="D47" s="298"/>
      <c r="E47" s="298"/>
      <c r="F47" s="298"/>
      <c r="G47" s="298"/>
      <c r="H47" s="271" t="s">
        <v>31</v>
      </c>
      <c r="I47" s="272"/>
      <c r="J47" s="272"/>
      <c r="K47" s="273"/>
      <c r="L47" s="103">
        <f>SUM(L45:L46)</f>
        <v>22.929499999999997</v>
      </c>
      <c r="M47" s="90"/>
    </row>
    <row r="48" spans="2:19" ht="14.25" customHeight="1" thickBot="1">
      <c r="B48" s="269" t="s">
        <v>234</v>
      </c>
      <c r="C48" s="270"/>
      <c r="D48" s="270"/>
      <c r="E48" s="270"/>
      <c r="F48" s="270"/>
      <c r="G48" s="270"/>
      <c r="H48" s="97" t="s">
        <v>167</v>
      </c>
      <c r="I48" s="14"/>
      <c r="J48" s="15"/>
      <c r="K48" s="15"/>
      <c r="L48" s="16"/>
      <c r="M48" s="3"/>
      <c r="R48" s="198"/>
    </row>
    <row r="49" spans="2:13" ht="13.5" customHeight="1">
      <c r="B49" s="59" t="s">
        <v>80</v>
      </c>
      <c r="C49" s="213"/>
      <c r="D49" s="213"/>
      <c r="E49" s="213"/>
      <c r="F49" s="214"/>
      <c r="G49" s="91" t="s">
        <v>140</v>
      </c>
      <c r="H49" s="260" t="s">
        <v>60</v>
      </c>
      <c r="I49" s="261"/>
      <c r="J49" s="3"/>
      <c r="K49" s="3"/>
      <c r="L49" s="3"/>
      <c r="M49" s="96"/>
    </row>
    <row r="50" spans="2:13" ht="14.25" customHeight="1">
      <c r="B50" s="13" t="s">
        <v>81</v>
      </c>
      <c r="C50" s="213"/>
      <c r="D50" s="213"/>
      <c r="E50" s="213"/>
      <c r="F50" s="214"/>
      <c r="G50" s="92" t="s">
        <v>140</v>
      </c>
      <c r="H50" s="289"/>
      <c r="I50" s="290"/>
      <c r="J50" s="290"/>
      <c r="K50" s="290"/>
      <c r="L50" s="291"/>
      <c r="M50" s="96"/>
    </row>
    <row r="51" spans="2:13" ht="12.75" customHeight="1">
      <c r="B51" s="13" t="s">
        <v>0</v>
      </c>
      <c r="C51" s="213"/>
      <c r="D51" s="213"/>
      <c r="E51" s="213"/>
      <c r="F51" s="214"/>
      <c r="G51" s="92" t="s">
        <v>140</v>
      </c>
      <c r="H51" s="292"/>
      <c r="I51" s="293"/>
      <c r="J51" s="293"/>
      <c r="K51" s="293"/>
      <c r="L51" s="294"/>
      <c r="M51" s="96"/>
    </row>
    <row r="52" spans="2:13">
      <c r="B52" s="13" t="s">
        <v>1</v>
      </c>
      <c r="C52" s="213"/>
      <c r="D52" s="213"/>
      <c r="E52" s="213"/>
      <c r="F52" s="214"/>
      <c r="G52" s="92" t="s">
        <v>140</v>
      </c>
      <c r="H52" s="292"/>
      <c r="I52" s="293"/>
      <c r="J52" s="293"/>
      <c r="K52" s="293"/>
      <c r="L52" s="294"/>
      <c r="M52" s="96"/>
    </row>
    <row r="53" spans="2:13">
      <c r="B53" s="13" t="s">
        <v>2</v>
      </c>
      <c r="C53" s="262" t="s">
        <v>6</v>
      </c>
      <c r="D53" s="263"/>
      <c r="E53" s="263"/>
      <c r="F53" s="263"/>
      <c r="G53" s="91" t="s">
        <v>140</v>
      </c>
      <c r="H53" s="292"/>
      <c r="I53" s="293"/>
      <c r="J53" s="293"/>
      <c r="K53" s="293"/>
      <c r="L53" s="294"/>
      <c r="M53" s="96"/>
    </row>
    <row r="54" spans="2:13" ht="14.25" customHeight="1">
      <c r="B54" s="13" t="s">
        <v>3</v>
      </c>
      <c r="C54" s="253"/>
      <c r="D54" s="254"/>
      <c r="E54" s="254"/>
      <c r="F54" s="254"/>
      <c r="G54" s="93" t="s">
        <v>140</v>
      </c>
      <c r="H54" s="292"/>
      <c r="I54" s="293"/>
      <c r="J54" s="293"/>
      <c r="K54" s="293"/>
      <c r="L54" s="294"/>
      <c r="M54" s="96"/>
    </row>
    <row r="55" spans="2:13">
      <c r="B55" s="13" t="s">
        <v>4</v>
      </c>
      <c r="C55" s="253"/>
      <c r="D55" s="254"/>
      <c r="E55" s="254"/>
      <c r="F55" s="254"/>
      <c r="G55" s="93"/>
      <c r="H55" s="292"/>
      <c r="I55" s="293"/>
      <c r="J55" s="293"/>
      <c r="K55" s="293"/>
      <c r="L55" s="294"/>
      <c r="M55" s="96"/>
    </row>
    <row r="56" spans="2:13">
      <c r="B56" s="13" t="s">
        <v>5</v>
      </c>
      <c r="C56" s="210"/>
      <c r="D56" s="211"/>
      <c r="E56" s="211"/>
      <c r="F56" s="212"/>
      <c r="G56" s="92" t="s">
        <v>140</v>
      </c>
      <c r="H56" s="292"/>
      <c r="I56" s="293"/>
      <c r="J56" s="293"/>
      <c r="K56" s="293"/>
      <c r="L56" s="294"/>
      <c r="M56" s="96"/>
    </row>
    <row r="57" spans="2:13">
      <c r="B57" s="13" t="s">
        <v>36</v>
      </c>
      <c r="C57" s="8"/>
      <c r="D57" s="94" t="s">
        <v>137</v>
      </c>
      <c r="E57" s="95"/>
      <c r="F57" s="95"/>
      <c r="G57" s="61"/>
      <c r="H57" s="292"/>
      <c r="I57" s="293"/>
      <c r="J57" s="293"/>
      <c r="K57" s="293"/>
      <c r="L57" s="294"/>
      <c r="M57" s="96"/>
    </row>
    <row r="58" spans="2:13">
      <c r="B58" s="13" t="s">
        <v>177</v>
      </c>
      <c r="C58" s="8" t="s">
        <v>6</v>
      </c>
      <c r="D58" s="215" t="s">
        <v>184</v>
      </c>
      <c r="E58" s="216"/>
      <c r="F58" s="217"/>
      <c r="G58" s="117" t="s">
        <v>140</v>
      </c>
      <c r="H58" s="292"/>
      <c r="I58" s="293"/>
      <c r="J58" s="293"/>
      <c r="K58" s="293"/>
      <c r="L58" s="294"/>
      <c r="M58" s="96"/>
    </row>
    <row r="59" spans="2:13" ht="14.25" customHeight="1">
      <c r="B59" s="208" t="str">
        <f>IF(C58='blad 2'!T13,"U heeft gekozen voor bezorgen. Indien het afleveradres afwijkt van het factuuradres, kunt u hieronder het juiste afleveradres invullen.",IF(C58='blad 2'!T14,"U heeft gekozen voor afhalen. Kies een locatie. U ontvangt van Glasdiscount het afhaaladres en afhaaldatum", ""))</f>
        <v/>
      </c>
      <c r="C59" s="209"/>
      <c r="D59" s="209"/>
      <c r="E59" s="209"/>
      <c r="F59" s="209"/>
      <c r="G59" s="117"/>
      <c r="H59" s="292"/>
      <c r="I59" s="293"/>
      <c r="J59" s="293"/>
      <c r="K59" s="293"/>
      <c r="L59" s="294"/>
      <c r="M59" s="96"/>
    </row>
    <row r="60" spans="2:13" ht="14.25" customHeight="1">
      <c r="B60" s="89" t="s">
        <v>169</v>
      </c>
      <c r="C60" s="285" t="s">
        <v>6</v>
      </c>
      <c r="D60" s="286"/>
      <c r="E60" s="286"/>
      <c r="F60" s="286"/>
      <c r="G60" s="123" t="s">
        <v>140</v>
      </c>
      <c r="H60" s="292"/>
      <c r="I60" s="293"/>
      <c r="J60" s="293"/>
      <c r="K60" s="293"/>
      <c r="L60" s="294"/>
      <c r="M60" s="96"/>
    </row>
    <row r="61" spans="2:13" ht="17.25" customHeight="1">
      <c r="B61" s="124" t="s">
        <v>80</v>
      </c>
      <c r="C61" s="285"/>
      <c r="D61" s="286"/>
      <c r="E61" s="286"/>
      <c r="F61" s="288"/>
      <c r="G61" s="123" t="str">
        <f>IF($C$60='blad 1'!$A$2,"*", " ")</f>
        <v xml:space="preserve"> </v>
      </c>
      <c r="H61" s="292"/>
      <c r="I61" s="293"/>
      <c r="J61" s="293"/>
      <c r="K61" s="293"/>
      <c r="L61" s="294"/>
      <c r="M61" s="96"/>
    </row>
    <row r="62" spans="2:13">
      <c r="B62" s="13" t="s">
        <v>96</v>
      </c>
      <c r="C62" s="214"/>
      <c r="D62" s="287"/>
      <c r="E62" s="287"/>
      <c r="F62" s="287"/>
      <c r="G62" s="123" t="str">
        <f>IF($C$60='blad 1'!$A$2,"*", " ")</f>
        <v xml:space="preserve"> </v>
      </c>
      <c r="H62" s="292"/>
      <c r="I62" s="293"/>
      <c r="J62" s="293"/>
      <c r="K62" s="293"/>
      <c r="L62" s="294"/>
      <c r="M62" s="96"/>
    </row>
    <row r="63" spans="2:13">
      <c r="B63" s="13" t="s">
        <v>0</v>
      </c>
      <c r="C63" s="214"/>
      <c r="D63" s="287"/>
      <c r="E63" s="287"/>
      <c r="F63" s="287"/>
      <c r="G63" s="123" t="str">
        <f>IF($C$60='blad 1'!$A$2,"*", " ")</f>
        <v xml:space="preserve"> </v>
      </c>
      <c r="H63" s="292"/>
      <c r="I63" s="293"/>
      <c r="J63" s="293"/>
      <c r="K63" s="293"/>
      <c r="L63" s="294"/>
      <c r="M63" s="96"/>
    </row>
    <row r="64" spans="2:13">
      <c r="B64" s="13" t="s">
        <v>98</v>
      </c>
      <c r="C64" s="214"/>
      <c r="D64" s="287"/>
      <c r="E64" s="287"/>
      <c r="F64" s="287"/>
      <c r="G64" s="123" t="str">
        <f>IF($C$60='blad 1'!$A$2,"*", " ")</f>
        <v xml:space="preserve"> </v>
      </c>
      <c r="H64" s="292"/>
      <c r="I64" s="293"/>
      <c r="J64" s="293"/>
      <c r="K64" s="293"/>
      <c r="L64" s="294"/>
      <c r="M64" s="96"/>
    </row>
    <row r="65" spans="2:166" ht="14.25" customHeight="1">
      <c r="B65" s="13" t="s">
        <v>51</v>
      </c>
      <c r="C65" s="262" t="s">
        <v>6</v>
      </c>
      <c r="D65" s="263"/>
      <c r="E65" s="263"/>
      <c r="F65" s="263"/>
      <c r="G65" s="123" t="str">
        <f>IF($C$60='blad 1'!$A$2,"*", " ")</f>
        <v xml:space="preserve"> </v>
      </c>
      <c r="H65" s="292"/>
      <c r="I65" s="293"/>
      <c r="J65" s="293"/>
      <c r="K65" s="293"/>
      <c r="L65" s="294"/>
      <c r="M65" s="96"/>
    </row>
    <row r="66" spans="2:166" ht="13.5" thickBot="1">
      <c r="B66" s="60" t="s">
        <v>138</v>
      </c>
      <c r="C66" s="253"/>
      <c r="D66" s="254"/>
      <c r="E66" s="254"/>
      <c r="F66" s="254"/>
      <c r="G66" s="123" t="str">
        <f>IF($C$60='blad 1'!$A$2,"*", " ")</f>
        <v xml:space="preserve"> </v>
      </c>
      <c r="H66" s="295"/>
      <c r="I66" s="296"/>
      <c r="J66" s="296"/>
      <c r="K66" s="296"/>
      <c r="L66" s="297"/>
      <c r="M66" s="96"/>
    </row>
    <row r="67" spans="2:166">
      <c r="B67" s="17"/>
      <c r="C67" s="18"/>
      <c r="D67" s="18"/>
      <c r="E67" s="18"/>
      <c r="F67" s="18"/>
      <c r="G67" s="18"/>
      <c r="H67" s="96"/>
      <c r="I67" s="96"/>
      <c r="J67" s="96"/>
      <c r="K67" s="96"/>
      <c r="L67" s="96"/>
      <c r="M67" s="96"/>
    </row>
    <row r="68" spans="2:166" s="2" customFormat="1">
      <c r="B68" s="17"/>
      <c r="C68" s="18"/>
      <c r="D68" s="18"/>
      <c r="E68" s="153" t="s">
        <v>170</v>
      </c>
      <c r="F68" s="153"/>
      <c r="G68" s="153"/>
      <c r="H68" s="96"/>
      <c r="I68" s="96"/>
      <c r="J68" s="96"/>
      <c r="K68" s="96"/>
      <c r="L68" s="96"/>
      <c r="M68" s="17"/>
      <c r="N68" s="7"/>
      <c r="O68" s="7"/>
      <c r="P68" s="7"/>
      <c r="Q68" s="7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</row>
    <row r="69" spans="2:166" s="2" customFormat="1">
      <c r="B69" s="17"/>
      <c r="C69" s="18"/>
      <c r="D69" s="18"/>
      <c r="E69" s="152" t="s">
        <v>171</v>
      </c>
      <c r="F69" s="152"/>
      <c r="G69" s="152"/>
      <c r="H69" s="96"/>
      <c r="I69" s="96"/>
      <c r="J69" s="96"/>
      <c r="K69" s="96"/>
      <c r="L69" s="96"/>
      <c r="M69" s="19"/>
      <c r="N69" s="7"/>
      <c r="O69" s="7"/>
      <c r="P69" s="7"/>
      <c r="Q69" s="7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</row>
    <row r="70" spans="2:166" s="2" customFormat="1">
      <c r="B70" s="17"/>
      <c r="C70" s="18"/>
      <c r="D70" s="18"/>
      <c r="E70" s="151" t="s">
        <v>172</v>
      </c>
      <c r="F70" s="105"/>
      <c r="G70" s="105"/>
      <c r="H70" s="153"/>
      <c r="I70" s="153"/>
      <c r="J70" s="153"/>
      <c r="K70" s="153"/>
      <c r="L70" s="153"/>
      <c r="M70" s="19"/>
      <c r="N70" s="7"/>
      <c r="O70" s="7"/>
      <c r="P70" s="7"/>
      <c r="Q70" s="7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</row>
    <row r="71" spans="2:166" s="2" customFormat="1" ht="18">
      <c r="B71" s="17"/>
      <c r="C71" s="18"/>
      <c r="D71" s="18"/>
      <c r="E71" s="105" t="s">
        <v>174</v>
      </c>
      <c r="F71" s="105"/>
      <c r="G71" s="105"/>
      <c r="H71" s="152"/>
      <c r="I71" s="152"/>
      <c r="J71" s="152"/>
      <c r="K71" s="152"/>
      <c r="L71" s="152"/>
      <c r="M71" s="19"/>
      <c r="N71" s="7"/>
      <c r="O71" s="7"/>
      <c r="P71" s="7"/>
      <c r="Q71" s="7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</row>
    <row r="72" spans="2:166" s="2" customFormat="1">
      <c r="B72" s="17"/>
      <c r="C72" s="18"/>
      <c r="D72" s="18"/>
      <c r="E72" s="18"/>
      <c r="F72" s="18"/>
      <c r="G72" s="18"/>
      <c r="H72" s="105"/>
      <c r="I72" s="105"/>
      <c r="J72" s="105"/>
      <c r="K72" s="105"/>
      <c r="L72" s="105"/>
      <c r="M72" s="19"/>
      <c r="N72" s="7"/>
      <c r="O72" s="7"/>
      <c r="P72" s="7"/>
      <c r="Q72" s="7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</row>
    <row r="73" spans="2:166" s="2" customFormat="1">
      <c r="B73" s="17"/>
      <c r="C73" s="18"/>
      <c r="D73" s="18"/>
      <c r="E73" s="18"/>
      <c r="F73" s="18"/>
      <c r="G73" s="18"/>
      <c r="H73" s="105"/>
      <c r="I73" s="105"/>
      <c r="J73" s="105"/>
      <c r="K73" s="105"/>
      <c r="L73" s="105"/>
      <c r="M73" s="19"/>
      <c r="N73" s="7"/>
      <c r="O73" s="7"/>
      <c r="P73" s="7"/>
      <c r="Q73" s="7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</row>
    <row r="74" spans="2:166" s="2" customFormat="1" ht="41.25" customHeight="1">
      <c r="B74" s="283" t="s">
        <v>187</v>
      </c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19"/>
      <c r="N74" s="7"/>
      <c r="O74" s="7"/>
      <c r="P74" s="7"/>
      <c r="Q74" s="7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</row>
    <row r="75" spans="2:166" ht="47.25" customHeight="1">
      <c r="H75" s="10"/>
      <c r="I75" s="10"/>
      <c r="J75" s="10"/>
      <c r="K75" s="10"/>
      <c r="L75" s="10"/>
      <c r="M75" s="10"/>
      <c r="N75" s="9"/>
    </row>
    <row r="76" spans="2:166" ht="52.5" customHeight="1">
      <c r="H76" s="10"/>
      <c r="I76" s="10"/>
      <c r="J76" s="10"/>
      <c r="K76" s="10"/>
      <c r="L76" s="10"/>
      <c r="M76" s="11"/>
      <c r="N76" s="9"/>
    </row>
    <row r="77" spans="2:166">
      <c r="H77" s="11"/>
      <c r="I77" s="11"/>
      <c r="J77" s="11"/>
      <c r="K77" s="11"/>
      <c r="L77" s="11"/>
    </row>
  </sheetData>
  <sheetProtection password="E729" sheet="1" objects="1" scenarios="1" selectLockedCells="1"/>
  <mergeCells count="49">
    <mergeCell ref="B74:L74"/>
    <mergeCell ref="C65:F65"/>
    <mergeCell ref="C66:F66"/>
    <mergeCell ref="C60:F60"/>
    <mergeCell ref="C62:F62"/>
    <mergeCell ref="C63:F63"/>
    <mergeCell ref="C64:F64"/>
    <mergeCell ref="C61:F61"/>
    <mergeCell ref="H50:L66"/>
    <mergeCell ref="H36:K36"/>
    <mergeCell ref="C54:F54"/>
    <mergeCell ref="C55:F55"/>
    <mergeCell ref="B36:D36"/>
    <mergeCell ref="H42:K42"/>
    <mergeCell ref="H49:I49"/>
    <mergeCell ref="H38:K38"/>
    <mergeCell ref="C53:F53"/>
    <mergeCell ref="C49:F49"/>
    <mergeCell ref="B37:D37"/>
    <mergeCell ref="B44:G46"/>
    <mergeCell ref="B48:G48"/>
    <mergeCell ref="H45:K45"/>
    <mergeCell ref="H46:K46"/>
    <mergeCell ref="H47:K47"/>
    <mergeCell ref="H37:K37"/>
    <mergeCell ref="H11:I11"/>
    <mergeCell ref="B10:L10"/>
    <mergeCell ref="F11:G11"/>
    <mergeCell ref="B11:E11"/>
    <mergeCell ref="H35:K35"/>
    <mergeCell ref="H33:K34"/>
    <mergeCell ref="H32:I32"/>
    <mergeCell ref="B32:G32"/>
    <mergeCell ref="L33:L34"/>
    <mergeCell ref="H39:K39"/>
    <mergeCell ref="H40:K40"/>
    <mergeCell ref="C51:F51"/>
    <mergeCell ref="C52:F52"/>
    <mergeCell ref="B42:G43"/>
    <mergeCell ref="H44:K44"/>
    <mergeCell ref="H43:K43"/>
    <mergeCell ref="B47:G47"/>
    <mergeCell ref="B38:D38"/>
    <mergeCell ref="B39:D39"/>
    <mergeCell ref="B40:E40"/>
    <mergeCell ref="B59:F59"/>
    <mergeCell ref="C56:F56"/>
    <mergeCell ref="C50:F50"/>
    <mergeCell ref="D58:F58"/>
  </mergeCells>
  <phoneticPr fontId="2" type="noConversion"/>
  <dataValidations xWindow="475" yWindow="712" count="18">
    <dataValidation type="list" allowBlank="1" showInputMessage="1" showErrorMessage="1" errorTitle="Onjuiste keuze" promptTitle="Selecteer ja of nee" prompt="U kunt hier aangeven of u een afwijkend afleveradres wenst. " sqref="C60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3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5:F65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3:F53">
      <formula1>Provincie</formula1>
    </dataValidation>
    <dataValidation type="list" allowBlank="1" showInputMessage="1" showErrorMessage="1" sqref="C58">
      <formula1>bezorgenafhalen</formula1>
    </dataValidation>
    <dataValidation type="list" allowBlank="1" showInputMessage="1" showErrorMessage="1" sqref="D58:F58">
      <formula1>afhalen</formula1>
    </dataValidation>
    <dataValidation allowBlank="1" showInputMessage="1" showErrorMessage="1" errorTitle="Onjuiste keuze" promptTitle="Selecteer ja of nee" prompt="U kunt hier aangeven of u een afwijkend afleveradres wenst. " sqref="C61:F61"/>
    <dataValidation type="list" allowBlank="1" showInputMessage="1" showErrorMessage="1" promptTitle="Beglazingsmaterialen bestellen" prompt="Selecteer NEE indien u de beglazingsmaterialen niet wilt bestellen." sqref="F40:F41">
      <formula1>janeeselectie</formula1>
    </dataValidation>
    <dataValidation allowBlank="1" showInputMessage="1" showErrorMessage="1" promptTitle="Beglazingsmaterialen bestellen" prompt="Selecteer NEE indien u de beglazingsmaterialen niet wilt bestellen." sqref="G37:G41"/>
    <dataValidation allowBlank="1" showErrorMessage="1" promptTitle="Aantal" prompt="Voer het aantal ruiten in" sqref="E13:E31"/>
    <dataValidation allowBlank="1" showErrorMessage="1" promptTitle="Afwijkende RAL kleur" prompt="Indien u een niet standaard RAL-kleur wenst dient u die hier in te voeren" sqref="I14:I31"/>
    <dataValidation type="list" showInputMessage="1" showErrorMessage="1" sqref="J9 J11">
      <formula1>janeeselectie</formula1>
    </dataValidation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13:H31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13:C31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13:F31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13:G31">
      <formula1>0</formula1>
      <formula2>2700</formula2>
    </dataValidation>
    <dataValidation type="list" allowBlank="1" showErrorMessage="1" errorTitle="Foutieve invoer" error="Kies uit de lijst" promptTitle="Kies soort en samenstelling" prompt="Selecteer uw keuze uit de lijst" sqref="B13:B31">
      <formula1>soortglas</formula1>
    </dataValidation>
    <dataValidation allowBlank="1" showInputMessage="1" showErrorMessage="1" promptTitle="Afwijkende RAL kleur" prompt="Indien u een niet standaard RAL-kleur wenst moet u die hier in te voeren" sqref="I13"/>
  </dataValidations>
  <pageMargins left="0.59055118110236227" right="0.59055118110236227" top="0.42" bottom="0.56000000000000005" header="0.3" footer="0.33"/>
  <pageSetup paperSize="9" scale="83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6" max="16383" man="1"/>
  </rowBreaks>
  <ignoredErrors>
    <ignoredError sqref="P14" evalError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0"/>
  <sheetViews>
    <sheetView workbookViewId="0">
      <selection activeCell="D15" sqref="D15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12.42578125" style="22" customWidth="1"/>
    <col min="7" max="7" width="28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7.1406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129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41509</v>
      </c>
    </row>
    <row r="5" spans="1:13">
      <c r="A5" s="45" t="s">
        <v>99</v>
      </c>
      <c r="B5" s="47"/>
      <c r="C5" s="47"/>
      <c r="D5" s="70">
        <f>Offerteblad!L11</f>
        <v>0</v>
      </c>
      <c r="H5" s="135" t="str">
        <f>offerte!I6</f>
        <v>Voorsterweg 20</v>
      </c>
      <c r="I5" s="135"/>
      <c r="J5" s="135"/>
    </row>
    <row r="6" spans="1:13">
      <c r="H6" s="135" t="str">
        <f>offerte!I7</f>
        <v>7371 GC Loenen Gld.</v>
      </c>
      <c r="I6" s="136"/>
      <c r="J6" s="136"/>
    </row>
    <row r="7" spans="1:13">
      <c r="A7" s="22" t="s">
        <v>128</v>
      </c>
      <c r="D7" s="88" t="str">
        <f>IF(Offerteblad!C57="", "zsm",Offerteblad!C57)</f>
        <v>zsm</v>
      </c>
      <c r="H7" s="321" t="s">
        <v>239</v>
      </c>
      <c r="I7" s="322"/>
      <c r="J7" s="322"/>
    </row>
    <row r="8" spans="1:13">
      <c r="H8" s="321" t="s">
        <v>200</v>
      </c>
      <c r="I8" s="322"/>
      <c r="J8" s="322"/>
    </row>
    <row r="9" spans="1:13">
      <c r="A9" s="22" t="s">
        <v>95</v>
      </c>
      <c r="D9" s="72">
        <f>IF(Offerteblad!C61="",Offerteblad!C49,Offerteblad!C61)</f>
        <v>0</v>
      </c>
      <c r="E9" s="73"/>
      <c r="F9" s="73"/>
      <c r="G9" s="133"/>
      <c r="H9" s="322" t="s">
        <v>199</v>
      </c>
      <c r="I9" s="322"/>
      <c r="J9" s="322"/>
    </row>
    <row r="10" spans="1:13" ht="15">
      <c r="C10" s="28"/>
      <c r="D10" s="75">
        <f>IF(Offerteblad!C62="",Offerteblad!C50,Offerteblad!C62)</f>
        <v>0</v>
      </c>
      <c r="E10" s="27"/>
      <c r="F10" s="27"/>
      <c r="G10" s="76"/>
      <c r="H10" s="137" t="s">
        <v>94</v>
      </c>
      <c r="I10" s="138"/>
      <c r="J10" s="138"/>
    </row>
    <row r="11" spans="1:13" ht="15">
      <c r="C11" s="28"/>
      <c r="D11" s="77">
        <f>IF(Offerteblad!C63="", Offerteblad!C51,Offerteblad!C63)</f>
        <v>0</v>
      </c>
      <c r="E11" s="375">
        <f>IF(Offerteblad!C64="",Offerteblad!C52,Offerteblad!C64)</f>
        <v>0</v>
      </c>
      <c r="F11" s="375"/>
      <c r="G11" s="376"/>
      <c r="H11" s="132"/>
      <c r="I11" s="27"/>
      <c r="J11" s="27"/>
    </row>
    <row r="12" spans="1:13" ht="15">
      <c r="A12" s="320" t="s">
        <v>130</v>
      </c>
      <c r="B12" s="320"/>
      <c r="C12" s="320"/>
      <c r="D12" s="78">
        <f>IF(Offerteblad!C66="",Offerteblad!C54,Offerteblad!C66)</f>
        <v>0</v>
      </c>
      <c r="E12" s="79"/>
      <c r="F12" s="27"/>
      <c r="G12" s="76"/>
      <c r="H12" s="79"/>
      <c r="M12" s="27"/>
    </row>
    <row r="13" spans="1:13" ht="15">
      <c r="C13" s="29"/>
      <c r="D13" s="81">
        <f>Offerteblad!C55</f>
        <v>0</v>
      </c>
      <c r="E13" s="82"/>
      <c r="F13" s="82"/>
      <c r="G13" s="134"/>
      <c r="H13" s="79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>
      <c r="C16" s="30" t="s">
        <v>48</v>
      </c>
      <c r="E16" s="131" t="s">
        <v>88</v>
      </c>
      <c r="F16" s="130"/>
      <c r="G16" s="31" t="s">
        <v>6</v>
      </c>
      <c r="H16" s="32" t="s">
        <v>48</v>
      </c>
      <c r="J16" s="377"/>
      <c r="K16" s="378"/>
    </row>
    <row r="17" spans="1:16" ht="15">
      <c r="A17" s="374" t="s">
        <v>10</v>
      </c>
      <c r="B17" s="374"/>
      <c r="C17" s="379" t="s">
        <v>204</v>
      </c>
      <c r="D17" s="380"/>
      <c r="E17" s="33" t="s">
        <v>54</v>
      </c>
      <c r="F17" s="33" t="s">
        <v>207</v>
      </c>
      <c r="G17" s="33" t="s">
        <v>205</v>
      </c>
      <c r="H17" s="84"/>
      <c r="I17" s="84"/>
      <c r="J17" s="34"/>
      <c r="K17" s="27"/>
      <c r="P17" s="22" t="s">
        <v>202</v>
      </c>
    </row>
    <row r="18" spans="1:16" ht="15">
      <c r="A18" s="373" t="str">
        <f>IF(Offerteblad!E13=0,"",Offerteblad!E13)</f>
        <v/>
      </c>
      <c r="B18" s="373"/>
      <c r="C18" s="300" t="str">
        <f>IF(Offerteblad!H13='blad 2'!$E$2,"",Offerteblad!H13)</f>
        <v/>
      </c>
      <c r="D18" s="300"/>
      <c r="E18" s="37" t="str">
        <f>IF(Offerteblad!F13= 0, "",Offerteblad!F13)</f>
        <v/>
      </c>
      <c r="F18" s="37" t="str">
        <f>IF(Offerteblad!I13=0,"",Offerteblad!I13)</f>
        <v/>
      </c>
      <c r="G18" s="37" t="str">
        <f>IF(Offerteblad!I13 = 0, "",Offerteblad!I13)</f>
        <v/>
      </c>
      <c r="H18" s="85"/>
      <c r="I18" s="85"/>
      <c r="K18" s="129"/>
      <c r="P18" s="22">
        <f>VLOOKUP(Offerteblad!H13,'blad 2'!$E$2:$H$36,4,TRUE)</f>
        <v>0</v>
      </c>
    </row>
    <row r="19" spans="1:16" ht="15">
      <c r="A19" s="373" t="str">
        <f>IF(Offerteblad!E14=0,"",Offerteblad!E14)</f>
        <v/>
      </c>
      <c r="B19" s="373"/>
      <c r="C19" s="300" t="str">
        <f>IF(Offerteblad!H14='blad 2'!$E$2,"",Offerteblad!H14)</f>
        <v/>
      </c>
      <c r="D19" s="300"/>
      <c r="E19" s="37" t="str">
        <f>IF(Offerteblad!F14= 0, "",Offerteblad!F14)</f>
        <v/>
      </c>
      <c r="F19" s="37" t="str">
        <f>IF(Offerteblad!I14=0,"",Offerteblad!I14)</f>
        <v/>
      </c>
      <c r="G19" s="37" t="str">
        <f>IF(Offerteblad!I14 = 0, "",Offerteblad!I14)</f>
        <v/>
      </c>
      <c r="H19" s="85"/>
      <c r="I19" s="85"/>
      <c r="K19" s="129"/>
      <c r="P19" s="22">
        <f>VLOOKUP(Offerteblad!H14,'blad 2'!$E$2:$H$36,4,TRUE)</f>
        <v>0</v>
      </c>
    </row>
    <row r="20" spans="1:16" ht="15">
      <c r="A20" s="373" t="str">
        <f>IF(Offerteblad!E15=0,"",Offerteblad!E15)</f>
        <v/>
      </c>
      <c r="B20" s="373"/>
      <c r="C20" s="300" t="str">
        <f>IF(Offerteblad!H15='blad 2'!$E$2,"",Offerteblad!H15)</f>
        <v/>
      </c>
      <c r="D20" s="300"/>
      <c r="E20" s="37" t="str">
        <f>IF(Offerteblad!F15= 0, "",Offerteblad!F15)</f>
        <v/>
      </c>
      <c r="F20" s="37" t="str">
        <f>IF(Offerteblad!I15=0,"",Offerteblad!I15)</f>
        <v/>
      </c>
      <c r="G20" s="37" t="str">
        <f>IF(Offerteblad!I15 = 0, "",Offerteblad!I15)</f>
        <v/>
      </c>
      <c r="H20" s="85"/>
      <c r="I20" s="85"/>
      <c r="K20" s="129"/>
      <c r="P20" s="22">
        <f>VLOOKUP(Offerteblad!H15,'blad 2'!$E$2:$H$36,4,TRUE)</f>
        <v>0</v>
      </c>
    </row>
    <row r="21" spans="1:16" ht="15">
      <c r="A21" s="373" t="str">
        <f>IF(Offerteblad!E16=0,"",Offerteblad!E16)</f>
        <v/>
      </c>
      <c r="B21" s="373"/>
      <c r="C21" s="300" t="str">
        <f>IF(Offerteblad!H16='blad 2'!$E$2,"",Offerteblad!H16)</f>
        <v/>
      </c>
      <c r="D21" s="300"/>
      <c r="E21" s="37" t="str">
        <f>IF(Offerteblad!F16= 0, "",Offerteblad!F16)</f>
        <v/>
      </c>
      <c r="F21" s="37" t="str">
        <f>IF(Offerteblad!I16=0,"",Offerteblad!I16)</f>
        <v/>
      </c>
      <c r="G21" s="37" t="str">
        <f>IF(Offerteblad!I16 = 0, "",Offerteblad!I16)</f>
        <v/>
      </c>
      <c r="H21" s="85"/>
      <c r="I21" s="85"/>
      <c r="K21" s="129"/>
      <c r="P21" s="22">
        <f>VLOOKUP(Offerteblad!H16,'blad 2'!$E$2:$H$36,4,TRUE)</f>
        <v>0</v>
      </c>
    </row>
    <row r="22" spans="1:16" ht="15">
      <c r="A22" s="373" t="str">
        <f>IF(Offerteblad!E17=0,"",Offerteblad!E17)</f>
        <v/>
      </c>
      <c r="B22" s="373"/>
      <c r="C22" s="300" t="str">
        <f>IF(Offerteblad!H17='blad 2'!$E$2,"",Offerteblad!H17)</f>
        <v/>
      </c>
      <c r="D22" s="300"/>
      <c r="E22" s="37" t="str">
        <f>IF(Offerteblad!F17= 0, "",Offerteblad!F17)</f>
        <v/>
      </c>
      <c r="F22" s="37" t="str">
        <f>IF(Offerteblad!I17=0,"",Offerteblad!I17)</f>
        <v/>
      </c>
      <c r="G22" s="37" t="str">
        <f>IF(Offerteblad!I17 = 0, "",Offerteblad!I17)</f>
        <v/>
      </c>
      <c r="H22" s="85"/>
      <c r="I22" s="85"/>
      <c r="K22" s="129"/>
      <c r="P22" s="22">
        <f>VLOOKUP(Offerteblad!H17,'blad 2'!$E$2:$H$36,4,TRUE)</f>
        <v>0</v>
      </c>
    </row>
    <row r="23" spans="1:16" ht="15">
      <c r="A23" s="373" t="str">
        <f>IF(Offerteblad!E18=0,"",Offerteblad!E18)</f>
        <v/>
      </c>
      <c r="B23" s="373"/>
      <c r="C23" s="300" t="str">
        <f>IF(Offerteblad!H18='blad 2'!$E$2,"",Offerteblad!H18)</f>
        <v/>
      </c>
      <c r="D23" s="300"/>
      <c r="E23" s="37" t="str">
        <f>IF(Offerteblad!F18= 0, "",Offerteblad!F18)</f>
        <v/>
      </c>
      <c r="F23" s="37" t="str">
        <f>IF(Offerteblad!I18=0,"",Offerteblad!I18)</f>
        <v/>
      </c>
      <c r="G23" s="37" t="str">
        <f>IF(Offerteblad!I18 = 0, "",Offerteblad!I18)</f>
        <v/>
      </c>
      <c r="H23" s="85"/>
      <c r="I23" s="85"/>
      <c r="K23" s="129"/>
      <c r="P23" s="22">
        <f>VLOOKUP(Offerteblad!H18,'blad 2'!$E$2:$H$36,4,TRUE)</f>
        <v>0</v>
      </c>
    </row>
    <row r="24" spans="1:16" ht="15">
      <c r="A24" s="373" t="str">
        <f>IF(Offerteblad!E19=0,"",Offerteblad!E19)</f>
        <v/>
      </c>
      <c r="B24" s="373"/>
      <c r="C24" s="300" t="str">
        <f>IF(Offerteblad!H19='blad 2'!$E$2,"",Offerteblad!H19)</f>
        <v/>
      </c>
      <c r="D24" s="300"/>
      <c r="E24" s="37" t="str">
        <f>IF(Offerteblad!F19= 0, "",Offerteblad!F19)</f>
        <v/>
      </c>
      <c r="F24" s="37" t="str">
        <f>IF(Offerteblad!I19=0,"",Offerteblad!I19)</f>
        <v/>
      </c>
      <c r="G24" s="37" t="str">
        <f>IF(Offerteblad!I19 = 0, "",Offerteblad!I19)</f>
        <v/>
      </c>
      <c r="H24" s="85"/>
      <c r="I24" s="85"/>
      <c r="K24" s="129"/>
      <c r="P24" s="22">
        <f>VLOOKUP(Offerteblad!H19,'blad 2'!$E$2:$H$36,4,TRUE)</f>
        <v>0</v>
      </c>
    </row>
    <row r="25" spans="1:16" ht="15">
      <c r="A25" s="373" t="str">
        <f>IF(Offerteblad!E20=0,"",Offerteblad!E20)</f>
        <v/>
      </c>
      <c r="B25" s="373"/>
      <c r="C25" s="300" t="str">
        <f>IF(Offerteblad!H20='blad 2'!$E$2,"",Offerteblad!H20)</f>
        <v/>
      </c>
      <c r="D25" s="300"/>
      <c r="E25" s="37" t="str">
        <f>IF(Offerteblad!F20= 0, "",Offerteblad!F20)</f>
        <v/>
      </c>
      <c r="F25" s="37" t="str">
        <f>IF(Offerteblad!I20=0,"",Offerteblad!I20)</f>
        <v/>
      </c>
      <c r="G25" s="37" t="str">
        <f>IF(Offerteblad!I20 = 0, "",Offerteblad!I20)</f>
        <v/>
      </c>
      <c r="H25" s="85"/>
      <c r="I25" s="85"/>
      <c r="K25" s="129"/>
      <c r="P25" s="22">
        <f>VLOOKUP(Offerteblad!H20,'blad 2'!$E$2:$H$36,4,TRUE)</f>
        <v>0</v>
      </c>
    </row>
    <row r="26" spans="1:16" ht="15">
      <c r="A26" s="373" t="str">
        <f>IF(Offerteblad!E21=0,"",Offerteblad!E21)</f>
        <v/>
      </c>
      <c r="B26" s="373"/>
      <c r="C26" s="300" t="str">
        <f>IF(Offerteblad!H21='blad 2'!$E$2,"",Offerteblad!H21)</f>
        <v/>
      </c>
      <c r="D26" s="300"/>
      <c r="E26" s="37" t="str">
        <f>IF(Offerteblad!F21= 0, "",Offerteblad!F21)</f>
        <v/>
      </c>
      <c r="F26" s="37" t="str">
        <f>IF(Offerteblad!I21=0,"",Offerteblad!I21)</f>
        <v/>
      </c>
      <c r="G26" s="37" t="str">
        <f>IF(Offerteblad!I21 = 0, "",Offerteblad!I21)</f>
        <v/>
      </c>
      <c r="H26" s="85"/>
      <c r="I26" s="85"/>
      <c r="K26" s="129"/>
      <c r="P26" s="22">
        <f>VLOOKUP(Offerteblad!H21,'blad 2'!$E$2:$H$36,4,TRUE)</f>
        <v>0</v>
      </c>
    </row>
    <row r="27" spans="1:16" ht="15">
      <c r="A27" s="373" t="str">
        <f>IF(Offerteblad!E22=0,"",Offerteblad!E22)</f>
        <v/>
      </c>
      <c r="B27" s="373"/>
      <c r="C27" s="300" t="str">
        <f>IF(Offerteblad!H22='blad 2'!$E$2,"",Offerteblad!H22)</f>
        <v/>
      </c>
      <c r="D27" s="300"/>
      <c r="E27" s="37" t="str">
        <f>IF(Offerteblad!F22= 0, "",Offerteblad!F22)</f>
        <v/>
      </c>
      <c r="F27" s="37" t="str">
        <f>IF(Offerteblad!I22=0,"",Offerteblad!I22)</f>
        <v/>
      </c>
      <c r="G27" s="37" t="str">
        <f>IF(Offerteblad!I22 = 0, "",Offerteblad!I22)</f>
        <v/>
      </c>
      <c r="H27" s="85"/>
      <c r="I27" s="85"/>
      <c r="K27" s="129"/>
      <c r="P27" s="22">
        <f>VLOOKUP(Offerteblad!H22,'blad 2'!$E$2:$H$36,4,TRUE)</f>
        <v>0</v>
      </c>
    </row>
    <row r="28" spans="1:16" ht="15">
      <c r="A28" s="373" t="str">
        <f>IF(Offerteblad!E23=0,"",Offerteblad!E23)</f>
        <v/>
      </c>
      <c r="B28" s="373"/>
      <c r="C28" s="300" t="str">
        <f>IF(Offerteblad!H23='blad 2'!$E$2,"",Offerteblad!H23)</f>
        <v/>
      </c>
      <c r="D28" s="300"/>
      <c r="E28" s="37" t="str">
        <f>IF(Offerteblad!F23= 0, "",Offerteblad!F23)</f>
        <v/>
      </c>
      <c r="F28" s="37" t="str">
        <f>IF(Offerteblad!I23=0,"",Offerteblad!I23)</f>
        <v/>
      </c>
      <c r="G28" s="37" t="str">
        <f>IF(Offerteblad!I23 = 0, "",Offerteblad!I23)</f>
        <v/>
      </c>
      <c r="H28" s="85"/>
      <c r="I28" s="85"/>
      <c r="K28" s="129"/>
      <c r="P28" s="22">
        <f>VLOOKUP(Offerteblad!H23,'blad 2'!$E$2:$H$36,4,TRUE)</f>
        <v>0</v>
      </c>
    </row>
    <row r="29" spans="1:16" ht="15">
      <c r="A29" s="373" t="str">
        <f>IF(Offerteblad!E24=0,"",Offerteblad!E24)</f>
        <v/>
      </c>
      <c r="B29" s="373"/>
      <c r="C29" s="300" t="str">
        <f>IF(Offerteblad!H24='blad 2'!$E$2,"",Offerteblad!H24)</f>
        <v/>
      </c>
      <c r="D29" s="300"/>
      <c r="E29" s="37" t="str">
        <f>IF(Offerteblad!F24= 0, "",Offerteblad!F24)</f>
        <v/>
      </c>
      <c r="F29" s="37" t="str">
        <f>IF(Offerteblad!I24=0,"",Offerteblad!I24)</f>
        <v/>
      </c>
      <c r="G29" s="37" t="str">
        <f>IF(Offerteblad!I24 = 0, "",Offerteblad!I24)</f>
        <v/>
      </c>
      <c r="H29" s="85"/>
      <c r="I29" s="85"/>
      <c r="K29" s="129"/>
      <c r="P29" s="22">
        <f>VLOOKUP(Offerteblad!H24,'blad 2'!$E$2:$H$36,4,TRUE)</f>
        <v>0</v>
      </c>
    </row>
    <row r="30" spans="1:16" ht="15">
      <c r="A30" s="373" t="str">
        <f>IF(Offerteblad!E25=0,"",Offerteblad!E25)</f>
        <v/>
      </c>
      <c r="B30" s="373"/>
      <c r="C30" s="300" t="str">
        <f>IF(Offerteblad!H25='blad 2'!$E$2,"",Offerteblad!H25)</f>
        <v/>
      </c>
      <c r="D30" s="300"/>
      <c r="E30" s="37" t="str">
        <f>IF(Offerteblad!F25= 0, "",Offerteblad!F25)</f>
        <v/>
      </c>
      <c r="F30" s="37" t="str">
        <f>IF(Offerteblad!I25=0,"",Offerteblad!I25)</f>
        <v/>
      </c>
      <c r="G30" s="37" t="str">
        <f>IF(Offerteblad!I25 = 0, "",Offerteblad!I25)</f>
        <v/>
      </c>
      <c r="H30" s="85"/>
      <c r="I30" s="85"/>
      <c r="K30" s="129"/>
      <c r="P30" s="22">
        <f>VLOOKUP(Offerteblad!H25,'blad 2'!$E$2:$H$36,4,TRUE)</f>
        <v>0</v>
      </c>
    </row>
    <row r="31" spans="1:16" ht="15">
      <c r="A31" s="373" t="str">
        <f>IF(Offerteblad!E26=0,"",Offerteblad!E26)</f>
        <v/>
      </c>
      <c r="B31" s="373"/>
      <c r="C31" s="300" t="str">
        <f>IF(Offerteblad!H26='blad 2'!$E$2,"",Offerteblad!H26)</f>
        <v/>
      </c>
      <c r="D31" s="300"/>
      <c r="E31" s="37" t="str">
        <f>IF(Offerteblad!F26= 0, "",Offerteblad!F26)</f>
        <v/>
      </c>
      <c r="F31" s="37" t="str">
        <f>IF(Offerteblad!I26=0,"",Offerteblad!I26)</f>
        <v/>
      </c>
      <c r="G31" s="37" t="str">
        <f>IF(Offerteblad!I26 = 0, "",Offerteblad!I26)</f>
        <v/>
      </c>
      <c r="H31" s="85"/>
      <c r="I31" s="85"/>
      <c r="K31" s="129"/>
      <c r="P31" s="22">
        <f>VLOOKUP(Offerteblad!H26,'blad 2'!$E$2:$H$36,4,TRUE)</f>
        <v>0</v>
      </c>
    </row>
    <row r="32" spans="1:16" ht="15">
      <c r="A32" s="373" t="str">
        <f>IF(Offerteblad!E27=0,"",Offerteblad!E27)</f>
        <v/>
      </c>
      <c r="B32" s="373"/>
      <c r="C32" s="300" t="str">
        <f>IF(Offerteblad!H27='blad 2'!$E$2,"",Offerteblad!H27)</f>
        <v/>
      </c>
      <c r="D32" s="300"/>
      <c r="E32" s="37" t="str">
        <f>IF(Offerteblad!F27= 0, "",Offerteblad!F27)</f>
        <v/>
      </c>
      <c r="F32" s="37" t="str">
        <f>IF(Offerteblad!I27=0,"",Offerteblad!I27)</f>
        <v/>
      </c>
      <c r="G32" s="37" t="str">
        <f>IF(Offerteblad!I27 = 0, "",Offerteblad!I27)</f>
        <v/>
      </c>
      <c r="H32" s="85"/>
      <c r="I32" s="85"/>
      <c r="K32" s="129"/>
      <c r="P32" s="22">
        <f>VLOOKUP(Offerteblad!H27,'blad 2'!$E$2:$H$36,4,TRUE)</f>
        <v>0</v>
      </c>
    </row>
    <row r="33" spans="1:16" ht="15">
      <c r="A33" s="373" t="str">
        <f>IF(Offerteblad!E28=0,"",Offerteblad!E28)</f>
        <v/>
      </c>
      <c r="B33" s="373"/>
      <c r="C33" s="300" t="str">
        <f>IF(Offerteblad!H28='blad 2'!$E$2,"",Offerteblad!H28)</f>
        <v/>
      </c>
      <c r="D33" s="300"/>
      <c r="E33" s="37" t="str">
        <f>IF(Offerteblad!F28= 0, "",Offerteblad!F28)</f>
        <v/>
      </c>
      <c r="F33" s="37" t="str">
        <f>IF(Offerteblad!I28=0,"",Offerteblad!I28)</f>
        <v/>
      </c>
      <c r="G33" s="37" t="str">
        <f>IF(Offerteblad!I28 = 0, "",Offerteblad!I28)</f>
        <v/>
      </c>
      <c r="H33" s="85"/>
      <c r="I33" s="85"/>
      <c r="K33" s="129"/>
      <c r="P33" s="22">
        <f>VLOOKUP(Offerteblad!H28,'blad 2'!$E$2:$H$36,4,TRUE)</f>
        <v>0</v>
      </c>
    </row>
    <row r="34" spans="1:16" ht="15">
      <c r="A34" s="373" t="str">
        <f>IF(Offerteblad!E29=0,"",Offerteblad!E29)</f>
        <v/>
      </c>
      <c r="B34" s="373"/>
      <c r="C34" s="300" t="str">
        <f>IF(Offerteblad!H29='blad 2'!$E$2,"",Offerteblad!H29)</f>
        <v/>
      </c>
      <c r="D34" s="300"/>
      <c r="E34" s="37" t="str">
        <f>IF(Offerteblad!F29= 0, "",Offerteblad!F29)</f>
        <v/>
      </c>
      <c r="F34" s="37" t="str">
        <f>IF(Offerteblad!I29=0,"",Offerteblad!I29)</f>
        <v/>
      </c>
      <c r="G34" s="37" t="str">
        <f>IF(Offerteblad!I29 = 0, "",Offerteblad!I29)</f>
        <v/>
      </c>
      <c r="H34" s="85"/>
      <c r="I34" s="85"/>
      <c r="K34" s="129"/>
      <c r="P34" s="22">
        <f>VLOOKUP(Offerteblad!H29,'blad 2'!$E$2:$H$36,4,TRUE)</f>
        <v>0</v>
      </c>
    </row>
    <row r="35" spans="1:16" ht="15">
      <c r="A35" s="373" t="str">
        <f>IF(Offerteblad!E30=0,"",Offerteblad!E30)</f>
        <v/>
      </c>
      <c r="B35" s="373"/>
      <c r="C35" s="300" t="str">
        <f>IF(Offerteblad!H30='blad 2'!$E$2,"",Offerteblad!H30)</f>
        <v/>
      </c>
      <c r="D35" s="300"/>
      <c r="E35" s="37" t="str">
        <f>IF(Offerteblad!F30= 0, "",Offerteblad!F30)</f>
        <v/>
      </c>
      <c r="F35" s="37" t="str">
        <f>IF(Offerteblad!I30=0,"",Offerteblad!I30)</f>
        <v/>
      </c>
      <c r="G35" s="37" t="str">
        <f>IF(Offerteblad!I30 = 0, "",Offerteblad!I30)</f>
        <v/>
      </c>
      <c r="H35" s="85"/>
      <c r="I35" s="85"/>
      <c r="K35" s="129"/>
      <c r="P35" s="22">
        <f>VLOOKUP(Offerteblad!H30,'blad 2'!$E$2:$H$36,4,TRUE)</f>
        <v>0</v>
      </c>
    </row>
    <row r="36" spans="1:16" ht="15">
      <c r="A36" s="373" t="str">
        <f>IF(Offerteblad!E31=0,"",Offerteblad!E31)</f>
        <v/>
      </c>
      <c r="B36" s="373"/>
      <c r="C36" s="300" t="str">
        <f>IF(Offerteblad!H31='blad 2'!$E$2,"",Offerteblad!H31)</f>
        <v/>
      </c>
      <c r="D36" s="300"/>
      <c r="E36" s="37" t="str">
        <f>IF(Offerteblad!F31= 0, "",Offerteblad!F31)</f>
        <v/>
      </c>
      <c r="F36" s="37" t="str">
        <f>IF(Offerteblad!I31=0,"",Offerteblad!I31)</f>
        <v/>
      </c>
      <c r="G36" s="37" t="str">
        <f>IF(Offerteblad!I31 = 0, "",Offerteblad!I31)</f>
        <v/>
      </c>
      <c r="H36" s="85"/>
      <c r="I36" s="85"/>
      <c r="K36" s="129"/>
      <c r="P36" s="22">
        <f>VLOOKUP(Offerteblad!H31,'blad 2'!$E$2:$H$36,4,TRUE)</f>
        <v>0</v>
      </c>
    </row>
    <row r="37" spans="1:16">
      <c r="C37" s="32" t="s">
        <v>6</v>
      </c>
      <c r="H37" s="372"/>
      <c r="I37" s="372"/>
      <c r="J37" s="86"/>
      <c r="K37" s="86"/>
    </row>
    <row r="38" spans="1:16">
      <c r="A38" s="45" t="s">
        <v>206</v>
      </c>
      <c r="C38" s="31"/>
      <c r="H38" s="371"/>
      <c r="I38" s="371"/>
      <c r="J38" s="370"/>
      <c r="K38" s="370"/>
    </row>
    <row r="39" spans="1:16">
      <c r="A39" s="45"/>
    </row>
    <row r="40" spans="1:16" ht="15">
      <c r="A40" s="41"/>
    </row>
  </sheetData>
  <sheetProtection password="E729" sheet="1" selectLockedCells="1" selectUnlockedCells="1"/>
  <mergeCells count="49">
    <mergeCell ref="A12:C12"/>
    <mergeCell ref="A22:B22"/>
    <mergeCell ref="A17:B17"/>
    <mergeCell ref="C17:D17"/>
    <mergeCell ref="A18:B18"/>
    <mergeCell ref="A19:B19"/>
    <mergeCell ref="A20:B20"/>
    <mergeCell ref="A21:B21"/>
    <mergeCell ref="C22:D22"/>
    <mergeCell ref="C18:D18"/>
    <mergeCell ref="C19:D19"/>
    <mergeCell ref="C20:D20"/>
    <mergeCell ref="C21:D21"/>
    <mergeCell ref="H7:J7"/>
    <mergeCell ref="H8:J8"/>
    <mergeCell ref="H9:J9"/>
    <mergeCell ref="E11:G11"/>
    <mergeCell ref="J16:K16"/>
    <mergeCell ref="A23:B23"/>
    <mergeCell ref="A24:B24"/>
    <mergeCell ref="A25:B25"/>
    <mergeCell ref="A36:B36"/>
    <mergeCell ref="A34:B34"/>
    <mergeCell ref="A35:B35"/>
    <mergeCell ref="A32:B32"/>
    <mergeCell ref="A33:B33"/>
    <mergeCell ref="A31:B31"/>
    <mergeCell ref="A26:B26"/>
    <mergeCell ref="A27:B27"/>
    <mergeCell ref="A28:B28"/>
    <mergeCell ref="A29:B29"/>
    <mergeCell ref="A30:B30"/>
    <mergeCell ref="J38:K38"/>
    <mergeCell ref="H38:I38"/>
    <mergeCell ref="C35:D35"/>
    <mergeCell ref="H37:I37"/>
    <mergeCell ref="C36:D36"/>
    <mergeCell ref="C34:D34"/>
    <mergeCell ref="C27:D27"/>
    <mergeCell ref="C28:D28"/>
    <mergeCell ref="C32:D32"/>
    <mergeCell ref="C33:D33"/>
    <mergeCell ref="C31:D31"/>
    <mergeCell ref="C24:D24"/>
    <mergeCell ref="C25:D25"/>
    <mergeCell ref="C23:D23"/>
    <mergeCell ref="C29:D29"/>
    <mergeCell ref="C30:D30"/>
    <mergeCell ref="C26:D26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activeCell="F10" sqref="F10"/>
    </sheetView>
  </sheetViews>
  <sheetFormatPr defaultColWidth="9.140625" defaultRowHeight="12.75"/>
  <cols>
    <col min="1" max="1" width="14" style="169" bestFit="1" customWidth="1"/>
    <col min="2" max="2" width="9.140625" style="169"/>
    <col min="3" max="3" width="27.140625" style="169" bestFit="1" customWidth="1"/>
    <col min="4" max="7" width="9.140625" style="169"/>
    <col min="8" max="8" width="12.42578125" style="169" bestFit="1" customWidth="1"/>
    <col min="9" max="10" width="9.140625" style="169"/>
    <col min="11" max="11" width="20.42578125" style="169" customWidth="1"/>
    <col min="12" max="14" width="9.140625" style="169"/>
    <col min="15" max="15" width="12.42578125" style="169" customWidth="1"/>
    <col min="16" max="16384" width="9.140625" style="169"/>
  </cols>
  <sheetData>
    <row r="1" spans="1:16">
      <c r="A1" s="169" t="s">
        <v>6</v>
      </c>
      <c r="C1" s="169" t="s">
        <v>6</v>
      </c>
      <c r="D1" s="169">
        <v>0</v>
      </c>
      <c r="H1" s="169" t="s">
        <v>6</v>
      </c>
      <c r="K1" s="169" t="s">
        <v>144</v>
      </c>
    </row>
    <row r="2" spans="1:16">
      <c r="A2" s="169" t="s">
        <v>7</v>
      </c>
      <c r="C2" s="169" t="s">
        <v>15</v>
      </c>
      <c r="D2" s="169">
        <v>34.950000000000003</v>
      </c>
      <c r="H2" s="169" t="s">
        <v>19</v>
      </c>
      <c r="O2" s="170" t="s">
        <v>213</v>
      </c>
      <c r="P2" s="170" t="s">
        <v>214</v>
      </c>
    </row>
    <row r="3" spans="1:16">
      <c r="A3" s="169" t="s">
        <v>8</v>
      </c>
      <c r="C3" s="169" t="s">
        <v>16</v>
      </c>
      <c r="D3" s="169">
        <v>36.950000000000003</v>
      </c>
      <c r="H3" s="169" t="s">
        <v>25</v>
      </c>
      <c r="K3" s="169" t="s">
        <v>6</v>
      </c>
      <c r="L3" s="169">
        <v>0</v>
      </c>
      <c r="N3" s="169">
        <v>0</v>
      </c>
      <c r="O3" s="169">
        <v>0</v>
      </c>
      <c r="P3" s="169">
        <v>0</v>
      </c>
    </row>
    <row r="4" spans="1:16">
      <c r="C4" s="169" t="s">
        <v>11</v>
      </c>
      <c r="D4" s="169">
        <v>39.950000000000003</v>
      </c>
      <c r="H4" s="169" t="s">
        <v>17</v>
      </c>
      <c r="K4" s="169" t="s">
        <v>19</v>
      </c>
      <c r="L4" s="169">
        <v>1</v>
      </c>
      <c r="N4" s="169">
        <v>1</v>
      </c>
      <c r="O4" s="171" t="s">
        <v>212</v>
      </c>
      <c r="P4" s="171" t="s">
        <v>212</v>
      </c>
    </row>
    <row r="5" spans="1:16">
      <c r="C5" s="169" t="s">
        <v>12</v>
      </c>
      <c r="D5" s="169">
        <v>42.95</v>
      </c>
      <c r="H5" s="169" t="s">
        <v>20</v>
      </c>
      <c r="K5" s="169" t="s">
        <v>25</v>
      </c>
      <c r="L5" s="169">
        <v>2</v>
      </c>
      <c r="N5" s="169">
        <v>2</v>
      </c>
      <c r="O5" s="169">
        <f>IF(blad3!$I$23&lt;10,15,0)</f>
        <v>15</v>
      </c>
      <c r="P5" s="171" t="s">
        <v>212</v>
      </c>
    </row>
    <row r="6" spans="1:16">
      <c r="C6" s="169" t="s">
        <v>13</v>
      </c>
      <c r="D6" s="169">
        <v>42.95</v>
      </c>
      <c r="H6" s="169" t="s">
        <v>18</v>
      </c>
      <c r="K6" s="169" t="s">
        <v>17</v>
      </c>
      <c r="L6" s="169">
        <v>3</v>
      </c>
      <c r="N6" s="169">
        <v>3</v>
      </c>
      <c r="O6" s="169">
        <f>IF(blad3!$I$23&lt;10,25,0)</f>
        <v>25</v>
      </c>
      <c r="P6" s="171" t="s">
        <v>212</v>
      </c>
    </row>
    <row r="7" spans="1:16">
      <c r="C7" s="169" t="s">
        <v>14</v>
      </c>
      <c r="D7" s="169">
        <v>45.95</v>
      </c>
      <c r="H7" s="169" t="s">
        <v>24</v>
      </c>
      <c r="K7" s="169" t="s">
        <v>20</v>
      </c>
      <c r="L7" s="169">
        <v>1</v>
      </c>
      <c r="N7" s="169">
        <v>4</v>
      </c>
      <c r="O7" s="169">
        <v>20</v>
      </c>
      <c r="P7" s="171" t="s">
        <v>212</v>
      </c>
    </row>
    <row r="8" spans="1:16">
      <c r="B8" s="169" t="s">
        <v>37</v>
      </c>
      <c r="C8" s="169" t="s">
        <v>38</v>
      </c>
      <c r="H8" s="169" t="s">
        <v>143</v>
      </c>
      <c r="K8" s="169" t="s">
        <v>18</v>
      </c>
      <c r="L8" s="169">
        <v>3</v>
      </c>
      <c r="N8" s="169">
        <v>5</v>
      </c>
      <c r="O8" s="171">
        <v>50</v>
      </c>
      <c r="P8" s="171">
        <v>25</v>
      </c>
    </row>
    <row r="9" spans="1:16">
      <c r="H9" s="169" t="s">
        <v>141</v>
      </c>
      <c r="K9" s="169" t="s">
        <v>24</v>
      </c>
      <c r="L9" s="169">
        <v>5</v>
      </c>
    </row>
    <row r="10" spans="1:16">
      <c r="A10" s="169" t="s">
        <v>6</v>
      </c>
      <c r="B10" s="169">
        <v>0</v>
      </c>
      <c r="C10" s="169">
        <v>0</v>
      </c>
      <c r="H10" s="169" t="s">
        <v>21</v>
      </c>
      <c r="K10" s="169" t="s">
        <v>143</v>
      </c>
      <c r="L10" s="169">
        <v>2</v>
      </c>
    </row>
    <row r="11" spans="1:16">
      <c r="A11" s="169" t="s">
        <v>29</v>
      </c>
      <c r="B11" s="172">
        <v>36.5</v>
      </c>
      <c r="C11" s="172">
        <v>5.8</v>
      </c>
      <c r="H11" s="169" t="s">
        <v>22</v>
      </c>
      <c r="K11" s="169" t="s">
        <v>141</v>
      </c>
      <c r="L11" s="169">
        <v>3</v>
      </c>
    </row>
    <row r="12" spans="1:16">
      <c r="A12" s="169" t="s">
        <v>27</v>
      </c>
      <c r="B12" s="172">
        <v>34.75</v>
      </c>
      <c r="C12" s="172">
        <v>5.5</v>
      </c>
      <c r="H12" s="169" t="s">
        <v>23</v>
      </c>
      <c r="K12" s="169" t="s">
        <v>21</v>
      </c>
      <c r="L12" s="169">
        <v>1</v>
      </c>
    </row>
    <row r="13" spans="1:16">
      <c r="A13" s="169" t="s">
        <v>28</v>
      </c>
      <c r="B13" s="172">
        <v>40.75</v>
      </c>
      <c r="C13" s="172">
        <v>6.25</v>
      </c>
      <c r="H13" s="169" t="s">
        <v>142</v>
      </c>
      <c r="K13" s="169" t="s">
        <v>22</v>
      </c>
      <c r="L13" s="169">
        <v>1</v>
      </c>
    </row>
    <row r="14" spans="1:16">
      <c r="A14" s="169" t="s">
        <v>26</v>
      </c>
      <c r="B14" s="172">
        <v>0</v>
      </c>
      <c r="C14" s="172">
        <v>0</v>
      </c>
      <c r="K14" s="169" t="s">
        <v>23</v>
      </c>
      <c r="L14" s="169">
        <v>5</v>
      </c>
    </row>
    <row r="15" spans="1:16">
      <c r="K15" s="169" t="s">
        <v>142</v>
      </c>
      <c r="L15" s="169">
        <v>5</v>
      </c>
    </row>
    <row r="16" spans="1:16">
      <c r="D16" s="169">
        <f>(40.55*0.6)*1.5</f>
        <v>36.494999999999997</v>
      </c>
    </row>
    <row r="17" spans="1:9">
      <c r="D17" s="169">
        <f>1.5*(6.45*0.6)</f>
        <v>5.8049999999999997</v>
      </c>
      <c r="H17" s="169">
        <f>VLOOKUP(Offerteblad!C53,bezorgen,2,TRUE)</f>
        <v>0</v>
      </c>
      <c r="I17" s="169" t="s">
        <v>150</v>
      </c>
    </row>
    <row r="18" spans="1:9">
      <c r="H18" s="169">
        <f>VLOOKUP(Offerteblad!C65,bezorgen,2,TRUE)</f>
        <v>0</v>
      </c>
      <c r="I18" s="169" t="s">
        <v>151</v>
      </c>
    </row>
    <row r="19" spans="1:9">
      <c r="A19" s="169" t="s">
        <v>6</v>
      </c>
    </row>
    <row r="20" spans="1:9">
      <c r="A20" s="169" t="s">
        <v>33</v>
      </c>
      <c r="H20" s="169">
        <f>IF(blad3!I23&gt;=20, 0, (IF(blad3!I23&gt;=10,VLOOKUP(H17,bezorgkosten2,3,TRUE),VLOOKUP(H17,bezorgkosten,2,TRUE))))</f>
        <v>0</v>
      </c>
      <c r="I20" s="169" t="s">
        <v>149</v>
      </c>
    </row>
    <row r="21" spans="1:9">
      <c r="A21" s="169" t="s">
        <v>32</v>
      </c>
      <c r="H21" s="169">
        <f>IF(blad3!I23&gt;=20, 0, (IF(blad3!I23&gt;=10,VLOOKUP(H18,bezorgkosten2,3,TRUE),VLOOKUP(H18,bezorgkosten,2,TRUE))))</f>
        <v>0</v>
      </c>
      <c r="I21" s="169" t="s">
        <v>148</v>
      </c>
    </row>
    <row r="22" spans="1:9">
      <c r="A22" s="169" t="s">
        <v>34</v>
      </c>
    </row>
    <row r="23" spans="1:9">
      <c r="A23" s="169" t="s">
        <v>35</v>
      </c>
    </row>
    <row r="30" spans="1:9">
      <c r="A30" s="173" t="s">
        <v>185</v>
      </c>
    </row>
    <row r="31" spans="1:9">
      <c r="A31" s="169" t="s">
        <v>186</v>
      </c>
    </row>
    <row r="33" spans="1:1">
      <c r="A33" s="169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69" t="s">
        <v>191</v>
      </c>
    </row>
    <row r="35" spans="1:1">
      <c r="A35" s="169" t="s">
        <v>192</v>
      </c>
    </row>
  </sheetData>
  <sheetProtection password="E729" sheet="1" object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Z259"/>
  <sheetViews>
    <sheetView workbookViewId="0">
      <selection sqref="A1:AC47"/>
    </sheetView>
  </sheetViews>
  <sheetFormatPr defaultColWidth="9.140625" defaultRowHeight="12.75"/>
  <cols>
    <col min="1" max="1" width="44.140625" style="175" bestFit="1" customWidth="1"/>
    <col min="2" max="2" width="20.85546875" style="175" bestFit="1" customWidth="1"/>
    <col min="3" max="4" width="9.140625" style="175"/>
    <col min="5" max="5" width="33.42578125" style="175" bestFit="1" customWidth="1"/>
    <col min="6" max="6" width="21.42578125" style="175" customWidth="1"/>
    <col min="7" max="7" width="22.42578125" style="175" bestFit="1" customWidth="1"/>
    <col min="8" max="10" width="9.140625" style="175"/>
    <col min="11" max="11" width="24.85546875" style="175" customWidth="1"/>
    <col min="12" max="12" width="12" style="175" customWidth="1"/>
    <col min="13" max="14" width="9.140625" style="175"/>
    <col min="15" max="15" width="39.42578125" style="175" customWidth="1"/>
    <col min="16" max="19" width="9.140625" style="175"/>
    <col min="20" max="20" width="33.42578125" style="175" customWidth="1"/>
    <col min="21" max="16384" width="9.140625" style="175"/>
  </cols>
  <sheetData>
    <row r="1" spans="1:26" ht="51.75" customHeight="1">
      <c r="A1" s="174" t="s">
        <v>39</v>
      </c>
      <c r="B1" s="174" t="s">
        <v>44</v>
      </c>
      <c r="F1" s="176" t="s">
        <v>40</v>
      </c>
      <c r="G1" s="176" t="s">
        <v>41</v>
      </c>
      <c r="H1" s="175" t="s">
        <v>201</v>
      </c>
      <c r="K1" s="177" t="s">
        <v>64</v>
      </c>
      <c r="L1" s="177" t="s">
        <v>65</v>
      </c>
      <c r="M1" s="177" t="s">
        <v>66</v>
      </c>
      <c r="N1" s="177"/>
      <c r="O1" s="175" t="s">
        <v>125</v>
      </c>
      <c r="P1" s="175">
        <v>0</v>
      </c>
    </row>
    <row r="2" spans="1:26">
      <c r="A2" s="178" t="s">
        <v>48</v>
      </c>
      <c r="B2" s="179">
        <v>0</v>
      </c>
      <c r="C2" s="180"/>
      <c r="E2" s="175" t="s">
        <v>48</v>
      </c>
      <c r="F2" s="175">
        <v>0</v>
      </c>
      <c r="G2" s="175">
        <v>0</v>
      </c>
      <c r="H2" s="175">
        <v>0</v>
      </c>
      <c r="K2" s="175" t="s">
        <v>6</v>
      </c>
      <c r="L2" s="175">
        <v>0</v>
      </c>
      <c r="M2" s="175">
        <v>0</v>
      </c>
      <c r="O2" s="175" t="s">
        <v>126</v>
      </c>
      <c r="P2" s="181">
        <v>40</v>
      </c>
    </row>
    <row r="3" spans="1:26">
      <c r="A3" s="178" t="s">
        <v>175</v>
      </c>
      <c r="B3" s="182">
        <v>37.35</v>
      </c>
      <c r="C3" s="180"/>
      <c r="E3" s="183" t="s">
        <v>258</v>
      </c>
      <c r="F3" s="184">
        <v>37.950000000000003</v>
      </c>
      <c r="G3" s="184">
        <v>6</v>
      </c>
      <c r="H3" s="175">
        <v>80</v>
      </c>
      <c r="I3" s="185"/>
      <c r="K3" s="186" t="s">
        <v>67</v>
      </c>
      <c r="L3" s="181">
        <f t="shared" ref="L3:L13" si="0">M3/4</f>
        <v>1.4375</v>
      </c>
      <c r="M3" s="181">
        <v>5.75</v>
      </c>
      <c r="O3" s="175" t="s">
        <v>127</v>
      </c>
      <c r="P3" s="181">
        <v>3.6</v>
      </c>
      <c r="R3" s="175" t="s">
        <v>117</v>
      </c>
      <c r="T3" s="175" t="s">
        <v>176</v>
      </c>
      <c r="V3" s="175" t="s">
        <v>243</v>
      </c>
      <c r="W3" s="175">
        <v>0</v>
      </c>
      <c r="X3" s="175">
        <v>0</v>
      </c>
      <c r="Y3" s="175">
        <v>0</v>
      </c>
      <c r="Z3" s="175" t="s">
        <v>253</v>
      </c>
    </row>
    <row r="4" spans="1:26">
      <c r="A4" s="178" t="s">
        <v>101</v>
      </c>
      <c r="B4" s="182">
        <v>36.206499999999998</v>
      </c>
      <c r="C4" s="180"/>
      <c r="E4" s="183" t="s">
        <v>260</v>
      </c>
      <c r="F4" s="184">
        <v>50.6</v>
      </c>
      <c r="G4" s="184">
        <v>8.8000000000000007</v>
      </c>
      <c r="H4" s="175">
        <v>80</v>
      </c>
      <c r="I4" s="185"/>
      <c r="K4" s="186" t="s">
        <v>68</v>
      </c>
      <c r="L4" s="181">
        <f t="shared" si="0"/>
        <v>1.4750000000000001</v>
      </c>
      <c r="M4" s="181">
        <v>5.9</v>
      </c>
      <c r="O4" s="175" t="s">
        <v>124</v>
      </c>
      <c r="P4" s="181">
        <v>62.5</v>
      </c>
      <c r="R4" s="175" t="s">
        <v>118</v>
      </c>
      <c r="T4" s="175" t="s">
        <v>139</v>
      </c>
      <c r="V4" s="175" t="s">
        <v>244</v>
      </c>
      <c r="W4" s="175">
        <v>1</v>
      </c>
      <c r="X4" s="175">
        <v>0.05</v>
      </c>
      <c r="Y4" s="187">
        <v>0.05</v>
      </c>
      <c r="Z4" s="188" t="s">
        <v>248</v>
      </c>
    </row>
    <row r="5" spans="1:26">
      <c r="A5" s="186" t="s">
        <v>116</v>
      </c>
      <c r="B5" s="182">
        <v>85.085999999999999</v>
      </c>
      <c r="C5" s="180"/>
      <c r="E5" s="183" t="s">
        <v>259</v>
      </c>
      <c r="F5" s="184">
        <v>40.15</v>
      </c>
      <c r="G5" s="184">
        <v>6.6</v>
      </c>
      <c r="H5" s="175">
        <v>80</v>
      </c>
      <c r="I5" s="185"/>
      <c r="K5" s="186" t="s">
        <v>69</v>
      </c>
      <c r="L5" s="181">
        <f t="shared" si="0"/>
        <v>1.4750000000000001</v>
      </c>
      <c r="M5" s="181">
        <v>5.9</v>
      </c>
      <c r="O5" s="175" t="s">
        <v>122</v>
      </c>
      <c r="P5" s="181">
        <v>5.6</v>
      </c>
      <c r="R5" s="175" t="s">
        <v>119</v>
      </c>
      <c r="T5" s="175" t="s">
        <v>165</v>
      </c>
      <c r="V5" s="175" t="s">
        <v>245</v>
      </c>
      <c r="W5" s="175">
        <v>2</v>
      </c>
      <c r="X5" s="175">
        <v>0.1</v>
      </c>
      <c r="Y5" s="187">
        <v>0.1</v>
      </c>
      <c r="Z5" s="188" t="s">
        <v>249</v>
      </c>
    </row>
    <row r="6" spans="1:26">
      <c r="A6" s="186" t="s">
        <v>110</v>
      </c>
      <c r="B6" s="182">
        <v>35.031999999999996</v>
      </c>
      <c r="C6" s="180"/>
      <c r="E6" s="183" t="s">
        <v>261</v>
      </c>
      <c r="F6" s="184">
        <v>42.35</v>
      </c>
      <c r="G6" s="184">
        <v>6</v>
      </c>
      <c r="H6" s="175">
        <v>80</v>
      </c>
      <c r="I6" s="185"/>
      <c r="K6" s="189" t="s">
        <v>75</v>
      </c>
      <c r="L6" s="181">
        <f t="shared" si="0"/>
        <v>5.875</v>
      </c>
      <c r="M6" s="181">
        <v>23.5</v>
      </c>
      <c r="R6" s="175" t="s">
        <v>120</v>
      </c>
      <c r="T6" s="175" t="s">
        <v>125</v>
      </c>
      <c r="V6" s="175" t="s">
        <v>246</v>
      </c>
      <c r="W6" s="175">
        <v>3</v>
      </c>
      <c r="X6" s="175">
        <v>0.15</v>
      </c>
      <c r="Y6" s="187">
        <v>0.15</v>
      </c>
      <c r="Z6" s="188" t="s">
        <v>250</v>
      </c>
    </row>
    <row r="7" spans="1:26">
      <c r="A7" s="186" t="s">
        <v>111</v>
      </c>
      <c r="B7" s="182">
        <v>37.293999999999997</v>
      </c>
      <c r="C7" s="180"/>
      <c r="E7" s="183" t="s">
        <v>263</v>
      </c>
      <c r="F7" s="184">
        <v>62.7</v>
      </c>
      <c r="G7" s="184">
        <v>8.8000000000000007</v>
      </c>
      <c r="H7" s="175">
        <v>80</v>
      </c>
      <c r="I7" s="185"/>
      <c r="K7" s="189" t="s">
        <v>76</v>
      </c>
      <c r="L7" s="181">
        <f t="shared" si="0"/>
        <v>6.3125</v>
      </c>
      <c r="M7" s="181">
        <v>25.25</v>
      </c>
      <c r="V7" s="175" t="s">
        <v>247</v>
      </c>
      <c r="W7" s="175">
        <v>4</v>
      </c>
      <c r="X7" s="175">
        <v>0.2</v>
      </c>
      <c r="Y7" s="187">
        <v>0.2</v>
      </c>
      <c r="Z7" s="188" t="s">
        <v>251</v>
      </c>
    </row>
    <row r="8" spans="1:26">
      <c r="A8" s="186" t="s">
        <v>112</v>
      </c>
      <c r="B8" s="182">
        <v>39.701000000000001</v>
      </c>
      <c r="C8" s="180"/>
      <c r="E8" s="183" t="s">
        <v>262</v>
      </c>
      <c r="F8" s="184">
        <v>45</v>
      </c>
      <c r="G8" s="184">
        <v>6.6</v>
      </c>
      <c r="H8" s="175">
        <v>80</v>
      </c>
      <c r="I8" s="185"/>
      <c r="K8" s="189" t="s">
        <v>77</v>
      </c>
      <c r="L8" s="181">
        <f t="shared" si="0"/>
        <v>6.5</v>
      </c>
      <c r="M8" s="181">
        <v>26</v>
      </c>
    </row>
    <row r="9" spans="1:26">
      <c r="A9" s="186" t="s">
        <v>113</v>
      </c>
      <c r="B9" s="182">
        <v>42.354500000000002</v>
      </c>
      <c r="C9" s="180"/>
      <c r="E9" s="183" t="s">
        <v>293</v>
      </c>
      <c r="F9" s="184">
        <v>37.950000000000003</v>
      </c>
      <c r="G9" s="184">
        <v>6</v>
      </c>
      <c r="H9" s="175">
        <v>80</v>
      </c>
      <c r="I9" s="185"/>
      <c r="K9" s="189" t="s">
        <v>70</v>
      </c>
      <c r="L9" s="181">
        <f t="shared" si="0"/>
        <v>1.8125</v>
      </c>
      <c r="M9" s="181">
        <v>7.25</v>
      </c>
      <c r="V9" s="175" t="s">
        <v>252</v>
      </c>
    </row>
    <row r="10" spans="1:26">
      <c r="A10" s="186" t="s">
        <v>114</v>
      </c>
      <c r="B10" s="182">
        <v>57.463500000000003</v>
      </c>
      <c r="C10" s="180"/>
      <c r="E10" s="183" t="s">
        <v>294</v>
      </c>
      <c r="F10" s="184">
        <v>52</v>
      </c>
      <c r="G10" s="184">
        <v>8.8000000000000007</v>
      </c>
      <c r="H10" s="175">
        <v>80</v>
      </c>
      <c r="I10" s="185"/>
      <c r="K10" s="189" t="s">
        <v>71</v>
      </c>
      <c r="L10" s="181">
        <f t="shared" si="0"/>
        <v>2</v>
      </c>
      <c r="M10" s="181">
        <v>8</v>
      </c>
      <c r="V10" s="175">
        <f>IF(Offerteblad!Q32=0,0,IF(Offerteblad!Q32&lt;7.5,0,IF(Offerteblad!Q32&lt;15,1,IF(Offerteblad!Q32&lt;22.5,2,IF(Offerteblad!Q32&lt;30,3,4)))))</f>
        <v>0</v>
      </c>
      <c r="W10" s="175">
        <f>VLOOKUP(V10,W3:Z7,2,0)</f>
        <v>0</v>
      </c>
      <c r="X10" s="175" t="str">
        <f>VLOOKUP($V$10,W3:Z7,4,0)</f>
        <v>Korting</v>
      </c>
    </row>
    <row r="11" spans="1:26">
      <c r="A11" s="186" t="s">
        <v>115</v>
      </c>
      <c r="B11" s="182">
        <v>60.841999999999999</v>
      </c>
      <c r="C11" s="180"/>
      <c r="E11" s="183" t="s">
        <v>295</v>
      </c>
      <c r="F11" s="184">
        <v>37</v>
      </c>
      <c r="G11" s="184">
        <v>6.6</v>
      </c>
      <c r="H11" s="175">
        <v>80</v>
      </c>
      <c r="I11" s="185"/>
      <c r="K11" s="189" t="s">
        <v>73</v>
      </c>
      <c r="L11" s="181">
        <f t="shared" si="0"/>
        <v>2.1875</v>
      </c>
      <c r="M11" s="181">
        <v>8.75</v>
      </c>
    </row>
    <row r="12" spans="1:26">
      <c r="A12" s="186" t="s">
        <v>275</v>
      </c>
      <c r="B12" s="182">
        <v>59.25</v>
      </c>
      <c r="C12" s="180"/>
      <c r="E12" s="183" t="s">
        <v>296</v>
      </c>
      <c r="F12" s="184">
        <v>42.35</v>
      </c>
      <c r="G12" s="184">
        <v>6</v>
      </c>
      <c r="H12" s="175">
        <v>80</v>
      </c>
      <c r="I12" s="185"/>
      <c r="K12" s="189" t="s">
        <v>74</v>
      </c>
      <c r="L12" s="181">
        <f t="shared" si="0"/>
        <v>2.625</v>
      </c>
      <c r="M12" s="181">
        <v>10.5</v>
      </c>
      <c r="T12" s="175" t="s">
        <v>6</v>
      </c>
    </row>
    <row r="13" spans="1:26">
      <c r="A13" s="186" t="s">
        <v>276</v>
      </c>
      <c r="B13" s="182">
        <v>61.574999999999996</v>
      </c>
      <c r="C13" s="180"/>
      <c r="E13" s="183" t="s">
        <v>297</v>
      </c>
      <c r="F13" s="184">
        <v>62.7</v>
      </c>
      <c r="G13" s="184">
        <v>8.8000000000000007</v>
      </c>
      <c r="H13" s="175">
        <v>80</v>
      </c>
      <c r="I13" s="185"/>
      <c r="K13" s="189" t="s">
        <v>72</v>
      </c>
      <c r="L13" s="181">
        <f t="shared" si="0"/>
        <v>2.125</v>
      </c>
      <c r="M13" s="181">
        <v>8.5</v>
      </c>
      <c r="T13" s="175" t="s">
        <v>178</v>
      </c>
    </row>
    <row r="14" spans="1:26">
      <c r="A14" s="186" t="s">
        <v>273</v>
      </c>
      <c r="B14" s="182">
        <v>72.765000000000001</v>
      </c>
      <c r="C14" s="180"/>
      <c r="E14" s="183" t="s">
        <v>298</v>
      </c>
      <c r="F14" s="184">
        <v>45</v>
      </c>
      <c r="G14" s="184">
        <v>6.6</v>
      </c>
      <c r="H14" s="175">
        <v>80</v>
      </c>
      <c r="I14" s="185"/>
      <c r="T14" s="175" t="s">
        <v>179</v>
      </c>
    </row>
    <row r="15" spans="1:26">
      <c r="A15" s="186" t="s">
        <v>277</v>
      </c>
      <c r="B15" s="182">
        <v>64.08</v>
      </c>
      <c r="C15" s="180"/>
      <c r="E15" s="183" t="s">
        <v>255</v>
      </c>
      <c r="F15" s="184">
        <v>39.6</v>
      </c>
      <c r="G15" s="184">
        <v>6</v>
      </c>
      <c r="H15" s="175">
        <v>120</v>
      </c>
      <c r="I15" s="185"/>
    </row>
    <row r="16" spans="1:26">
      <c r="A16" s="186" t="s">
        <v>274</v>
      </c>
      <c r="B16" s="182">
        <v>75.27</v>
      </c>
      <c r="C16" s="180"/>
      <c r="E16" s="183" t="s">
        <v>257</v>
      </c>
      <c r="F16" s="184">
        <v>57.75</v>
      </c>
      <c r="G16" s="184">
        <v>8.8000000000000007</v>
      </c>
      <c r="H16" s="175">
        <v>120</v>
      </c>
      <c r="I16" s="185"/>
    </row>
    <row r="17" spans="1:20">
      <c r="A17" s="186" t="s">
        <v>240</v>
      </c>
      <c r="B17" s="182">
        <v>75.929999999999993</v>
      </c>
      <c r="C17" s="180"/>
      <c r="E17" s="183" t="s">
        <v>256</v>
      </c>
      <c r="F17" s="184">
        <v>42.9</v>
      </c>
      <c r="G17" s="184">
        <v>6.6</v>
      </c>
      <c r="H17" s="175">
        <v>120</v>
      </c>
      <c r="I17" s="185"/>
    </row>
    <row r="18" spans="1:20">
      <c r="A18" s="186" t="s">
        <v>241</v>
      </c>
      <c r="B18" s="182">
        <v>98.34</v>
      </c>
      <c r="C18" s="180"/>
      <c r="E18" s="191" t="s">
        <v>219</v>
      </c>
      <c r="F18" s="181">
        <v>47</v>
      </c>
      <c r="G18" s="181">
        <v>6</v>
      </c>
      <c r="H18" s="175">
        <v>75</v>
      </c>
      <c r="I18" s="185"/>
      <c r="T18" s="175" t="s">
        <v>184</v>
      </c>
    </row>
    <row r="19" spans="1:20">
      <c r="A19" s="186" t="s">
        <v>310</v>
      </c>
      <c r="B19" s="182">
        <v>87.15</v>
      </c>
      <c r="C19" s="180"/>
      <c r="E19" s="191" t="s">
        <v>220</v>
      </c>
      <c r="F19" s="181">
        <v>56.4</v>
      </c>
      <c r="G19" s="181">
        <v>7.2</v>
      </c>
      <c r="H19" s="175">
        <v>75</v>
      </c>
      <c r="I19" s="185"/>
      <c r="T19" s="175" t="s">
        <v>180</v>
      </c>
    </row>
    <row r="20" spans="1:20">
      <c r="A20" s="186" t="s">
        <v>311</v>
      </c>
      <c r="B20" s="182">
        <v>87.15</v>
      </c>
      <c r="C20" s="180"/>
      <c r="E20" s="191" t="s">
        <v>221</v>
      </c>
      <c r="F20" s="181">
        <v>50.76</v>
      </c>
      <c r="G20" s="175">
        <v>6.48</v>
      </c>
      <c r="H20" s="175">
        <v>75</v>
      </c>
      <c r="I20" s="185"/>
      <c r="T20" s="154" t="s">
        <v>182</v>
      </c>
    </row>
    <row r="21" spans="1:20">
      <c r="A21" s="186" t="s">
        <v>312</v>
      </c>
      <c r="B21" s="182">
        <v>105.14999999999999</v>
      </c>
      <c r="C21" s="180"/>
      <c r="E21" s="191" t="s">
        <v>222</v>
      </c>
      <c r="F21" s="181">
        <v>47</v>
      </c>
      <c r="G21" s="181">
        <v>6</v>
      </c>
      <c r="H21" s="175">
        <v>75</v>
      </c>
      <c r="T21" s="154" t="s">
        <v>18</v>
      </c>
    </row>
    <row r="22" spans="1:20">
      <c r="A22" s="186" t="s">
        <v>313</v>
      </c>
      <c r="B22" s="182">
        <v>105.14999999999999</v>
      </c>
      <c r="C22" s="180"/>
      <c r="E22" s="191" t="s">
        <v>224</v>
      </c>
      <c r="F22" s="181">
        <v>56.4</v>
      </c>
      <c r="G22" s="181">
        <v>7.2</v>
      </c>
      <c r="H22" s="175">
        <v>75</v>
      </c>
      <c r="T22" s="154" t="s">
        <v>305</v>
      </c>
    </row>
    <row r="23" spans="1:20">
      <c r="A23" s="186" t="s">
        <v>314</v>
      </c>
      <c r="B23" s="182">
        <v>112.005</v>
      </c>
      <c r="C23" s="180"/>
      <c r="E23" s="191" t="s">
        <v>223</v>
      </c>
      <c r="F23" s="181">
        <v>50.76</v>
      </c>
      <c r="G23" s="175">
        <v>6.48</v>
      </c>
      <c r="H23" s="175">
        <v>75</v>
      </c>
      <c r="T23" s="154" t="s">
        <v>183</v>
      </c>
    </row>
    <row r="24" spans="1:20">
      <c r="A24" s="186" t="s">
        <v>278</v>
      </c>
      <c r="B24" s="182">
        <v>52.935000000000002</v>
      </c>
      <c r="C24" s="180"/>
      <c r="E24" s="191" t="s">
        <v>225</v>
      </c>
      <c r="F24" s="181">
        <v>47</v>
      </c>
      <c r="G24" s="181">
        <v>6</v>
      </c>
      <c r="H24" s="175">
        <v>75</v>
      </c>
      <c r="T24" s="154" t="s">
        <v>181</v>
      </c>
    </row>
    <row r="25" spans="1:20">
      <c r="A25" s="186" t="s">
        <v>279</v>
      </c>
      <c r="B25" s="182">
        <v>55.664999999999999</v>
      </c>
      <c r="C25" s="180"/>
      <c r="E25" s="191" t="s">
        <v>227</v>
      </c>
      <c r="F25" s="181">
        <v>56.4</v>
      </c>
      <c r="G25" s="181">
        <v>7.2</v>
      </c>
      <c r="H25" s="175">
        <v>75</v>
      </c>
      <c r="L25" s="179"/>
      <c r="M25" s="185"/>
      <c r="T25" s="154" t="s">
        <v>306</v>
      </c>
    </row>
    <row r="26" spans="1:20">
      <c r="A26" s="186" t="s">
        <v>281</v>
      </c>
      <c r="B26" s="182">
        <v>66.885000000000005</v>
      </c>
      <c r="C26" s="180"/>
      <c r="E26" s="191" t="s">
        <v>226</v>
      </c>
      <c r="F26" s="181">
        <v>50.76</v>
      </c>
      <c r="G26" s="175">
        <v>6.48</v>
      </c>
      <c r="H26" s="175">
        <v>75</v>
      </c>
      <c r="L26" s="179"/>
      <c r="M26" s="185"/>
      <c r="T26" s="154" t="s">
        <v>307</v>
      </c>
    </row>
    <row r="27" spans="1:20">
      <c r="A27" s="186" t="s">
        <v>282</v>
      </c>
      <c r="B27" s="182">
        <v>73.724999999999994</v>
      </c>
      <c r="C27" s="180"/>
      <c r="E27" s="191" t="s">
        <v>228</v>
      </c>
      <c r="F27" s="181">
        <v>47</v>
      </c>
      <c r="G27" s="181">
        <v>6</v>
      </c>
      <c r="H27" s="175">
        <v>75</v>
      </c>
      <c r="L27" s="179"/>
      <c r="M27" s="185"/>
      <c r="T27" s="154" t="s">
        <v>308</v>
      </c>
    </row>
    <row r="28" spans="1:20">
      <c r="A28" s="186" t="s">
        <v>280</v>
      </c>
      <c r="B28" s="182">
        <v>58.650000000000006</v>
      </c>
      <c r="C28" s="180"/>
      <c r="E28" s="191" t="s">
        <v>230</v>
      </c>
      <c r="F28" s="181">
        <v>56.4</v>
      </c>
      <c r="G28" s="181">
        <v>7.2</v>
      </c>
      <c r="H28" s="175">
        <v>75</v>
      </c>
      <c r="L28" s="179"/>
      <c r="M28" s="185"/>
      <c r="T28" s="154" t="s">
        <v>309</v>
      </c>
    </row>
    <row r="29" spans="1:20">
      <c r="A29" s="186" t="s">
        <v>283</v>
      </c>
      <c r="B29" s="182">
        <v>69.87</v>
      </c>
      <c r="C29" s="180"/>
      <c r="E29" s="191" t="s">
        <v>229</v>
      </c>
      <c r="F29" s="181">
        <v>50.76</v>
      </c>
      <c r="G29" s="175">
        <v>6.48</v>
      </c>
      <c r="H29" s="175">
        <v>75</v>
      </c>
      <c r="L29" s="179"/>
      <c r="M29" s="185"/>
      <c r="T29" s="154"/>
    </row>
    <row r="30" spans="1:20">
      <c r="A30" s="186" t="s">
        <v>284</v>
      </c>
      <c r="B30" s="182">
        <v>84.974999999999994</v>
      </c>
      <c r="C30" s="180"/>
      <c r="E30" s="191" t="s">
        <v>231</v>
      </c>
      <c r="F30" s="181">
        <v>47</v>
      </c>
      <c r="G30" s="181">
        <v>6</v>
      </c>
      <c r="H30" s="175">
        <v>88</v>
      </c>
      <c r="L30" s="179"/>
      <c r="M30" s="185"/>
      <c r="T30" s="154"/>
    </row>
    <row r="31" spans="1:20">
      <c r="A31" s="186" t="s">
        <v>285</v>
      </c>
      <c r="B31" s="182">
        <v>94.844999999999999</v>
      </c>
      <c r="C31" s="180"/>
      <c r="E31" s="191" t="s">
        <v>232</v>
      </c>
      <c r="F31" s="181">
        <v>50.76</v>
      </c>
      <c r="G31" s="175">
        <v>6.48</v>
      </c>
      <c r="H31" s="175">
        <v>88</v>
      </c>
      <c r="L31" s="179"/>
      <c r="M31" s="185"/>
      <c r="T31" s="154"/>
    </row>
    <row r="32" spans="1:20">
      <c r="A32" s="186" t="s">
        <v>108</v>
      </c>
      <c r="B32" s="182">
        <v>59.681999999999995</v>
      </c>
      <c r="C32" s="180"/>
      <c r="E32" s="191" t="s">
        <v>233</v>
      </c>
      <c r="F32" s="181">
        <v>56.4</v>
      </c>
      <c r="G32" s="181">
        <v>7.2</v>
      </c>
      <c r="H32" s="175">
        <v>88</v>
      </c>
      <c r="L32" s="179"/>
      <c r="M32" s="185"/>
      <c r="T32" s="154"/>
    </row>
    <row r="33" spans="1:20">
      <c r="A33" s="186" t="s">
        <v>109</v>
      </c>
      <c r="B33" s="182">
        <v>65.25</v>
      </c>
      <c r="C33" s="180"/>
      <c r="E33" s="191"/>
      <c r="F33" s="181"/>
      <c r="G33" s="181"/>
      <c r="L33" s="179"/>
      <c r="M33" s="185"/>
      <c r="T33" s="154"/>
    </row>
    <row r="34" spans="1:20">
      <c r="A34" s="186" t="s">
        <v>102</v>
      </c>
      <c r="B34" s="182">
        <v>33.610999999999997</v>
      </c>
      <c r="C34" s="180"/>
      <c r="E34" s="191"/>
      <c r="F34" s="181"/>
      <c r="G34" s="181"/>
      <c r="L34" s="179"/>
      <c r="M34" s="185"/>
    </row>
    <row r="35" spans="1:20">
      <c r="A35" s="186" t="s">
        <v>103</v>
      </c>
      <c r="B35" s="182">
        <v>36.206499999999998</v>
      </c>
      <c r="C35" s="180"/>
      <c r="E35" s="191"/>
      <c r="F35" s="181"/>
      <c r="G35" s="181"/>
      <c r="L35" s="179"/>
      <c r="M35" s="185"/>
    </row>
    <row r="36" spans="1:20">
      <c r="A36" s="186" t="s">
        <v>104</v>
      </c>
      <c r="B36" s="182">
        <v>39.004999999999995</v>
      </c>
      <c r="C36" s="180"/>
      <c r="E36" s="191"/>
      <c r="F36" s="181"/>
      <c r="G36" s="181"/>
      <c r="L36" s="179"/>
      <c r="M36" s="185"/>
    </row>
    <row r="37" spans="1:20">
      <c r="A37" s="186" t="s">
        <v>105</v>
      </c>
      <c r="B37" s="182">
        <v>41.600500000000004</v>
      </c>
      <c r="C37" s="180"/>
      <c r="L37" s="179"/>
      <c r="M37" s="185"/>
    </row>
    <row r="38" spans="1:20">
      <c r="A38" s="186" t="s">
        <v>106</v>
      </c>
      <c r="B38" s="182">
        <v>48.560500000000005</v>
      </c>
      <c r="C38" s="180"/>
      <c r="L38" s="179"/>
      <c r="M38" s="185"/>
    </row>
    <row r="39" spans="1:20">
      <c r="A39" s="186" t="s">
        <v>107</v>
      </c>
      <c r="B39" s="182">
        <v>51.359000000000002</v>
      </c>
      <c r="C39" s="180"/>
      <c r="L39" s="179"/>
      <c r="M39" s="185"/>
    </row>
    <row r="40" spans="1:20">
      <c r="A40" s="186" t="s">
        <v>264</v>
      </c>
      <c r="B40" s="182">
        <v>55.17</v>
      </c>
      <c r="C40" s="180"/>
      <c r="L40" s="179"/>
      <c r="M40" s="185"/>
    </row>
    <row r="41" spans="1:20">
      <c r="A41" s="186" t="s">
        <v>265</v>
      </c>
      <c r="B41" s="182">
        <v>57.855000000000004</v>
      </c>
      <c r="C41" s="180"/>
      <c r="L41" s="179"/>
      <c r="M41" s="185"/>
    </row>
    <row r="42" spans="1:20">
      <c r="A42" s="186" t="s">
        <v>267</v>
      </c>
      <c r="B42" s="182">
        <v>71.19</v>
      </c>
      <c r="C42" s="180"/>
      <c r="L42" s="179"/>
      <c r="M42" s="185"/>
    </row>
    <row r="43" spans="1:20">
      <c r="A43" s="186" t="s">
        <v>268</v>
      </c>
      <c r="B43" s="182">
        <v>79.484999999999999</v>
      </c>
      <c r="C43" s="180"/>
    </row>
    <row r="44" spans="1:20">
      <c r="A44" s="186" t="s">
        <v>266</v>
      </c>
      <c r="B44" s="182">
        <v>60.75</v>
      </c>
      <c r="C44" s="180"/>
    </row>
    <row r="45" spans="1:20">
      <c r="A45" s="186" t="s">
        <v>269</v>
      </c>
      <c r="B45" s="182">
        <v>74.31</v>
      </c>
      <c r="C45" s="180"/>
    </row>
    <row r="46" spans="1:20">
      <c r="A46" s="186" t="s">
        <v>270</v>
      </c>
      <c r="B46" s="182">
        <v>82.38</v>
      </c>
      <c r="C46" s="180"/>
    </row>
    <row r="47" spans="1:20">
      <c r="A47" s="186" t="s">
        <v>271</v>
      </c>
      <c r="B47" s="182">
        <v>94.320000000000007</v>
      </c>
      <c r="C47" s="180"/>
    </row>
    <row r="48" spans="1:20">
      <c r="A48" s="383" t="s">
        <v>272</v>
      </c>
      <c r="B48" s="382">
        <v>89.58</v>
      </c>
      <c r="C48" s="381"/>
    </row>
    <row r="49" spans="1:6">
      <c r="A49" s="383" t="s">
        <v>242</v>
      </c>
      <c r="B49" s="382">
        <v>75.570000000000007</v>
      </c>
      <c r="C49" s="381"/>
    </row>
    <row r="50" spans="1:6">
      <c r="A50" s="383" t="s">
        <v>100</v>
      </c>
      <c r="B50" s="382">
        <v>102.69</v>
      </c>
      <c r="C50" s="381"/>
    </row>
    <row r="51" spans="1:6">
      <c r="A51" s="383" t="s">
        <v>289</v>
      </c>
      <c r="B51" s="382">
        <v>113.05500000000001</v>
      </c>
      <c r="C51" s="381"/>
    </row>
    <row r="52" spans="1:6">
      <c r="A52" s="383" t="s">
        <v>286</v>
      </c>
      <c r="B52" s="382">
        <v>88.02</v>
      </c>
      <c r="C52" s="381"/>
    </row>
    <row r="53" spans="1:6">
      <c r="A53" s="383" t="s">
        <v>287</v>
      </c>
      <c r="B53" s="382">
        <v>129.55500000000001</v>
      </c>
      <c r="C53" s="381"/>
    </row>
    <row r="54" spans="1:6">
      <c r="A54" s="383" t="s">
        <v>288</v>
      </c>
      <c r="B54" s="382">
        <v>91.14</v>
      </c>
      <c r="C54" s="381"/>
    </row>
    <row r="55" spans="1:6">
      <c r="A55" s="383"/>
      <c r="B55" s="382"/>
      <c r="C55" s="381"/>
      <c r="E55" s="175" t="s">
        <v>158</v>
      </c>
      <c r="F55" s="175">
        <v>0</v>
      </c>
    </row>
    <row r="56" spans="1:6">
      <c r="A56" s="383"/>
      <c r="B56" s="382"/>
      <c r="C56" s="381"/>
      <c r="E56" s="192" t="s">
        <v>156</v>
      </c>
      <c r="F56" s="175">
        <v>10.75</v>
      </c>
    </row>
    <row r="57" spans="1:6">
      <c r="A57" s="383"/>
      <c r="B57" s="382"/>
      <c r="C57" s="381"/>
      <c r="E57" s="192" t="s">
        <v>159</v>
      </c>
      <c r="F57" s="175">
        <v>21</v>
      </c>
    </row>
    <row r="58" spans="1:6">
      <c r="A58" s="383"/>
      <c r="B58" s="382"/>
      <c r="C58" s="381"/>
      <c r="E58" s="192" t="s">
        <v>157</v>
      </c>
      <c r="F58" s="175">
        <v>3.5</v>
      </c>
    </row>
    <row r="59" spans="1:6">
      <c r="A59" s="383"/>
      <c r="B59" s="382"/>
      <c r="C59" s="381"/>
      <c r="E59" s="192" t="s">
        <v>152</v>
      </c>
      <c r="F59" s="175">
        <v>4.5</v>
      </c>
    </row>
    <row r="60" spans="1:6">
      <c r="A60" s="383"/>
      <c r="B60" s="382"/>
      <c r="C60" s="381"/>
      <c r="E60" s="192" t="s">
        <v>153</v>
      </c>
      <c r="F60" s="175">
        <v>8.5</v>
      </c>
    </row>
    <row r="61" spans="1:6">
      <c r="A61" s="383"/>
      <c r="B61" s="382"/>
      <c r="C61" s="381"/>
      <c r="E61" s="192" t="s">
        <v>154</v>
      </c>
      <c r="F61" s="175">
        <v>12.5</v>
      </c>
    </row>
    <row r="62" spans="1:6">
      <c r="A62" s="383"/>
      <c r="B62" s="382"/>
      <c r="C62" s="381"/>
      <c r="E62" s="192" t="s">
        <v>155</v>
      </c>
      <c r="F62" s="175">
        <v>16</v>
      </c>
    </row>
    <row r="63" spans="1:6">
      <c r="A63" s="383"/>
      <c r="B63" s="382"/>
      <c r="C63" s="381"/>
      <c r="E63" s="192"/>
    </row>
    <row r="64" spans="1:6">
      <c r="A64" s="383"/>
      <c r="B64" s="382"/>
      <c r="C64" s="381"/>
      <c r="E64" s="192"/>
    </row>
    <row r="65" spans="1:3">
      <c r="A65" s="383"/>
      <c r="B65" s="382"/>
      <c r="C65" s="381"/>
    </row>
    <row r="66" spans="1:3">
      <c r="A66" s="383"/>
      <c r="B66" s="382"/>
      <c r="C66" s="381"/>
    </row>
    <row r="67" spans="1:3">
      <c r="A67" s="383"/>
      <c r="B67" s="382"/>
      <c r="C67" s="381"/>
    </row>
    <row r="68" spans="1:3">
      <c r="A68" s="383"/>
      <c r="B68" s="382"/>
      <c r="C68" s="381"/>
    </row>
    <row r="69" spans="1:3">
      <c r="A69" s="383"/>
      <c r="B69" s="382"/>
      <c r="C69" s="381"/>
    </row>
    <row r="70" spans="1:3">
      <c r="A70" s="383"/>
      <c r="B70" s="382"/>
      <c r="C70" s="381"/>
    </row>
    <row r="71" spans="1:3">
      <c r="A71" s="383"/>
      <c r="B71" s="382"/>
      <c r="C71" s="381"/>
    </row>
    <row r="72" spans="1:3">
      <c r="A72" s="383"/>
      <c r="B72" s="382"/>
      <c r="C72" s="381"/>
    </row>
    <row r="73" spans="1:3">
      <c r="A73" s="385"/>
      <c r="B73" s="382"/>
      <c r="C73" s="381"/>
    </row>
    <row r="74" spans="1:3">
      <c r="A74" s="385"/>
      <c r="B74" s="382"/>
      <c r="C74" s="381"/>
    </row>
    <row r="75" spans="1:3">
      <c r="A75" s="385"/>
      <c r="B75" s="382"/>
      <c r="C75" s="381"/>
    </row>
    <row r="76" spans="1:3">
      <c r="A76" s="385"/>
      <c r="B76" s="382"/>
      <c r="C76" s="381"/>
    </row>
    <row r="77" spans="1:3">
      <c r="A77" s="385"/>
      <c r="B77" s="382"/>
      <c r="C77" s="381"/>
    </row>
    <row r="78" spans="1:3">
      <c r="A78" s="385"/>
      <c r="B78" s="382"/>
      <c r="C78" s="381"/>
    </row>
    <row r="79" spans="1:3">
      <c r="A79" s="385"/>
      <c r="B79" s="382"/>
      <c r="C79" s="381"/>
    </row>
    <row r="80" spans="1:3">
      <c r="A80" s="385"/>
      <c r="B80" s="382"/>
      <c r="C80" s="381"/>
    </row>
    <row r="81" spans="1:3">
      <c r="A81" s="385"/>
      <c r="B81" s="382"/>
      <c r="C81" s="381"/>
    </row>
    <row r="82" spans="1:3">
      <c r="A82" s="385"/>
      <c r="B82" s="382"/>
      <c r="C82" s="381"/>
    </row>
    <row r="83" spans="1:3">
      <c r="A83" s="385"/>
      <c r="B83" s="382"/>
      <c r="C83" s="381"/>
    </row>
    <row r="84" spans="1:3">
      <c r="A84" s="385"/>
      <c r="B84" s="382"/>
      <c r="C84" s="381"/>
    </row>
    <row r="85" spans="1:3">
      <c r="A85" s="385"/>
      <c r="B85" s="382"/>
      <c r="C85" s="381"/>
    </row>
    <row r="86" spans="1:3">
      <c r="A86" s="385"/>
      <c r="B86" s="382"/>
      <c r="C86" s="381"/>
    </row>
    <row r="87" spans="1:3">
      <c r="A87" s="385"/>
      <c r="B87" s="382"/>
      <c r="C87" s="381"/>
    </row>
    <row r="88" spans="1:3">
      <c r="A88" s="385"/>
      <c r="B88" s="382"/>
      <c r="C88" s="381"/>
    </row>
    <row r="89" spans="1:3">
      <c r="A89" s="385"/>
      <c r="B89" s="382"/>
      <c r="C89" s="381"/>
    </row>
    <row r="90" spans="1:3">
      <c r="A90" s="385"/>
      <c r="B90" s="382"/>
      <c r="C90" s="381"/>
    </row>
    <row r="91" spans="1:3">
      <c r="A91" s="385"/>
      <c r="B91" s="382"/>
      <c r="C91" s="381"/>
    </row>
    <row r="92" spans="1:3">
      <c r="A92" s="385"/>
      <c r="B92" s="382"/>
      <c r="C92" s="381"/>
    </row>
    <row r="93" spans="1:3">
      <c r="A93" s="385"/>
      <c r="B93" s="382"/>
      <c r="C93" s="381"/>
    </row>
    <row r="94" spans="1:3">
      <c r="A94" s="383"/>
      <c r="B94" s="382"/>
      <c r="C94" s="381"/>
    </row>
    <row r="95" spans="1:3">
      <c r="A95" s="383"/>
      <c r="B95" s="382"/>
      <c r="C95" s="381"/>
    </row>
    <row r="96" spans="1:3">
      <c r="A96" s="383"/>
      <c r="B96" s="382"/>
      <c r="C96" s="381"/>
    </row>
    <row r="97" spans="1:3">
      <c r="A97" s="383"/>
      <c r="B97" s="382"/>
      <c r="C97" s="381"/>
    </row>
    <row r="98" spans="1:3">
      <c r="A98" s="383"/>
      <c r="B98" s="382"/>
      <c r="C98" s="381"/>
    </row>
    <row r="99" spans="1:3">
      <c r="A99" s="383"/>
      <c r="B99" s="382"/>
      <c r="C99" s="381"/>
    </row>
    <row r="100" spans="1:3">
      <c r="A100" s="383"/>
      <c r="B100" s="382"/>
      <c r="C100" s="381"/>
    </row>
    <row r="101" spans="1:3">
      <c r="A101" s="383"/>
      <c r="B101" s="382"/>
      <c r="C101" s="381"/>
    </row>
    <row r="102" spans="1:3">
      <c r="A102" s="383"/>
      <c r="B102" s="382"/>
      <c r="C102" s="381"/>
    </row>
    <row r="103" spans="1:3">
      <c r="A103" s="383"/>
      <c r="B103" s="382"/>
      <c r="C103" s="381"/>
    </row>
    <row r="104" spans="1:3">
      <c r="A104" s="383"/>
      <c r="B104" s="382"/>
      <c r="C104" s="381"/>
    </row>
    <row r="105" spans="1:3">
      <c r="A105" s="383"/>
      <c r="B105" s="382"/>
      <c r="C105" s="381"/>
    </row>
    <row r="106" spans="1:3">
      <c r="A106" s="383"/>
      <c r="B106" s="382"/>
      <c r="C106" s="381"/>
    </row>
    <row r="107" spans="1:3">
      <c r="A107" s="383"/>
      <c r="B107" s="382"/>
      <c r="C107" s="381"/>
    </row>
    <row r="108" spans="1:3">
      <c r="A108" s="383"/>
      <c r="B108" s="382"/>
      <c r="C108" s="381"/>
    </row>
    <row r="109" spans="1:3">
      <c r="A109" s="383"/>
      <c r="B109" s="382"/>
      <c r="C109" s="381"/>
    </row>
    <row r="110" spans="1:3">
      <c r="A110" s="383"/>
      <c r="B110" s="382"/>
      <c r="C110" s="381"/>
    </row>
    <row r="111" spans="1:3">
      <c r="A111" s="383"/>
      <c r="B111" s="382"/>
      <c r="C111" s="381"/>
    </row>
    <row r="112" spans="1:3">
      <c r="A112" s="383"/>
      <c r="B112" s="382"/>
      <c r="C112" s="381"/>
    </row>
    <row r="113" spans="1:3">
      <c r="A113" s="383"/>
      <c r="B113" s="382"/>
      <c r="C113" s="381"/>
    </row>
    <row r="114" spans="1:3">
      <c r="A114" s="383" t="s">
        <v>287</v>
      </c>
      <c r="B114" s="382">
        <v>132</v>
      </c>
      <c r="C114" s="381"/>
    </row>
    <row r="115" spans="1:3">
      <c r="A115" s="383" t="s">
        <v>288</v>
      </c>
      <c r="B115" s="382">
        <v>93.5</v>
      </c>
      <c r="C115" s="381"/>
    </row>
    <row r="116" spans="1:3">
      <c r="A116" s="383"/>
      <c r="B116" s="382"/>
      <c r="C116" s="381"/>
    </row>
    <row r="117" spans="1:3">
      <c r="A117" s="385"/>
      <c r="B117" s="384"/>
      <c r="C117" s="381"/>
    </row>
    <row r="118" spans="1:3">
      <c r="A118" s="385"/>
      <c r="B118" s="384"/>
      <c r="C118" s="381"/>
    </row>
    <row r="119" spans="1:3">
      <c r="A119" s="385"/>
      <c r="B119" s="384"/>
      <c r="C119" s="381"/>
    </row>
    <row r="120" spans="1:3">
      <c r="A120" s="385"/>
      <c r="B120" s="384"/>
      <c r="C120" s="381"/>
    </row>
    <row r="121" spans="1:3">
      <c r="A121" s="385"/>
      <c r="B121" s="384"/>
      <c r="C121" s="381"/>
    </row>
    <row r="122" spans="1:3">
      <c r="A122" s="385"/>
      <c r="B122" s="384"/>
      <c r="C122" s="381"/>
    </row>
    <row r="123" spans="1:3">
      <c r="A123" s="385"/>
      <c r="B123" s="384"/>
      <c r="C123" s="381"/>
    </row>
    <row r="124" spans="1:3">
      <c r="A124" s="385"/>
      <c r="B124" s="384"/>
      <c r="C124" s="381"/>
    </row>
    <row r="125" spans="1:3">
      <c r="A125" s="385"/>
      <c r="B125" s="384"/>
      <c r="C125" s="381"/>
    </row>
    <row r="126" spans="1:3">
      <c r="A126" s="385"/>
      <c r="B126" s="384"/>
      <c r="C126" s="381"/>
    </row>
    <row r="127" spans="1:3">
      <c r="A127" s="385"/>
      <c r="B127" s="384"/>
      <c r="C127" s="381"/>
    </row>
    <row r="128" spans="1:3">
      <c r="A128" s="385"/>
      <c r="B128" s="384"/>
      <c r="C128" s="381"/>
    </row>
    <row r="129" spans="1:3">
      <c r="A129" s="385"/>
      <c r="B129" s="384"/>
      <c r="C129" s="381"/>
    </row>
    <row r="130" spans="1:3">
      <c r="A130" s="385"/>
      <c r="B130" s="384"/>
      <c r="C130" s="381"/>
    </row>
    <row r="131" spans="1:3">
      <c r="A131" s="385"/>
      <c r="B131" s="384"/>
      <c r="C131" s="381"/>
    </row>
    <row r="132" spans="1:3">
      <c r="A132" s="385"/>
      <c r="B132" s="384"/>
      <c r="C132" s="381"/>
    </row>
    <row r="133" spans="1:3">
      <c r="A133" s="385"/>
      <c r="B133" s="384"/>
      <c r="C133" s="381"/>
    </row>
    <row r="134" spans="1:3">
      <c r="A134" s="385"/>
      <c r="B134" s="384"/>
      <c r="C134" s="381"/>
    </row>
    <row r="135" spans="1:3">
      <c r="A135" s="385"/>
      <c r="B135" s="384"/>
      <c r="C135" s="381"/>
    </row>
    <row r="136" spans="1:3">
      <c r="A136" s="385"/>
      <c r="B136" s="384"/>
      <c r="C136" s="381"/>
    </row>
    <row r="137" spans="1:3">
      <c r="A137" s="385"/>
      <c r="B137" s="384"/>
      <c r="C137" s="381"/>
    </row>
    <row r="138" spans="1:3">
      <c r="A138" s="385"/>
      <c r="B138" s="384"/>
      <c r="C138" s="381"/>
    </row>
    <row r="139" spans="1:3">
      <c r="A139" s="385"/>
      <c r="B139" s="384"/>
      <c r="C139" s="381"/>
    </row>
    <row r="140" spans="1:3">
      <c r="A140" s="385"/>
      <c r="B140" s="384"/>
      <c r="C140" s="381"/>
    </row>
    <row r="141" spans="1:3">
      <c r="A141" s="385"/>
      <c r="B141" s="384"/>
      <c r="C141" s="381"/>
    </row>
    <row r="142" spans="1:3">
      <c r="A142" s="383"/>
      <c r="B142" s="384"/>
      <c r="C142" s="381"/>
    </row>
    <row r="143" spans="1:3">
      <c r="A143" s="383"/>
      <c r="B143" s="384"/>
      <c r="C143" s="381"/>
    </row>
    <row r="144" spans="1:3">
      <c r="A144" s="383"/>
      <c r="B144" s="384"/>
      <c r="C144" s="381"/>
    </row>
    <row r="145" spans="1:3">
      <c r="A145" s="383"/>
      <c r="B145" s="384"/>
      <c r="C145" s="381"/>
    </row>
    <row r="146" spans="1:3">
      <c r="A146" s="383"/>
      <c r="B146" s="384"/>
      <c r="C146" s="381"/>
    </row>
    <row r="147" spans="1:3">
      <c r="A147" s="186"/>
      <c r="B147" s="181"/>
      <c r="C147" s="180"/>
    </row>
    <row r="148" spans="1:3">
      <c r="A148" s="186"/>
      <c r="B148" s="181"/>
      <c r="C148" s="180"/>
    </row>
    <row r="149" spans="1:3">
      <c r="A149" s="186"/>
      <c r="B149" s="181"/>
      <c r="C149" s="180"/>
    </row>
    <row r="150" spans="1:3">
      <c r="A150" s="186"/>
      <c r="B150" s="181"/>
      <c r="C150" s="180"/>
    </row>
    <row r="151" spans="1:3">
      <c r="A151" s="186"/>
      <c r="B151" s="181"/>
      <c r="C151" s="180"/>
    </row>
    <row r="152" spans="1:3">
      <c r="A152" s="186"/>
      <c r="B152" s="181"/>
      <c r="C152" s="180"/>
    </row>
    <row r="153" spans="1:3">
      <c r="A153" s="186"/>
      <c r="B153" s="181"/>
      <c r="C153" s="180"/>
    </row>
    <row r="154" spans="1:3">
      <c r="A154" s="186"/>
      <c r="B154" s="181"/>
      <c r="C154" s="180"/>
    </row>
    <row r="155" spans="1:3">
      <c r="A155" s="186"/>
      <c r="B155" s="181"/>
      <c r="C155" s="180"/>
    </row>
    <row r="156" spans="1:3">
      <c r="A156" s="186"/>
      <c r="B156" s="181"/>
      <c r="C156" s="180"/>
    </row>
    <row r="157" spans="1:3">
      <c r="A157" s="186"/>
      <c r="B157" s="181"/>
      <c r="C157" s="180"/>
    </row>
    <row r="158" spans="1:3">
      <c r="A158" s="186"/>
      <c r="B158" s="181"/>
      <c r="C158" s="180"/>
    </row>
    <row r="159" spans="1:3">
      <c r="A159" s="186"/>
      <c r="B159" s="181"/>
      <c r="C159" s="180"/>
    </row>
    <row r="160" spans="1:3">
      <c r="A160" s="186"/>
      <c r="B160" s="181"/>
      <c r="C160" s="180"/>
    </row>
    <row r="161" spans="1:3">
      <c r="A161" s="186"/>
      <c r="B161" s="181"/>
      <c r="C161" s="180"/>
    </row>
    <row r="162" spans="1:3">
      <c r="A162" s="186"/>
      <c r="B162" s="181"/>
      <c r="C162" s="180"/>
    </row>
    <row r="163" spans="1:3">
      <c r="A163" s="186"/>
      <c r="B163" s="181"/>
      <c r="C163" s="180"/>
    </row>
    <row r="164" spans="1:3">
      <c r="A164" s="189"/>
      <c r="B164" s="193"/>
    </row>
    <row r="165" spans="1:3">
      <c r="A165" s="186"/>
      <c r="B165" s="181"/>
    </row>
    <row r="166" spans="1:3">
      <c r="A166" s="186"/>
      <c r="B166" s="181"/>
    </row>
    <row r="167" spans="1:3">
      <c r="A167" s="186"/>
      <c r="B167" s="181"/>
    </row>
    <row r="168" spans="1:3">
      <c r="A168" s="186"/>
      <c r="B168" s="181"/>
    </row>
    <row r="169" spans="1:3">
      <c r="A169" s="186"/>
      <c r="B169" s="181"/>
    </row>
    <row r="170" spans="1:3">
      <c r="A170" s="186"/>
      <c r="B170" s="181"/>
    </row>
    <row r="171" spans="1:3">
      <c r="A171" s="186"/>
      <c r="B171" s="181"/>
    </row>
    <row r="172" spans="1:3">
      <c r="A172" s="186"/>
      <c r="B172" s="181"/>
    </row>
    <row r="173" spans="1:3">
      <c r="A173" s="190"/>
      <c r="B173" s="181"/>
    </row>
    <row r="174" spans="1:3">
      <c r="A174" s="190"/>
      <c r="B174" s="181"/>
    </row>
    <row r="175" spans="1:3">
      <c r="A175" s="190"/>
      <c r="B175" s="181"/>
    </row>
    <row r="195" spans="1:2">
      <c r="A195" s="190"/>
      <c r="B195" s="181"/>
    </row>
    <row r="209" spans="1:2">
      <c r="A209" s="190"/>
      <c r="B209" s="181"/>
    </row>
    <row r="210" spans="1:2">
      <c r="A210" s="190"/>
      <c r="B210" s="181"/>
    </row>
    <row r="211" spans="1:2">
      <c r="A211" s="190"/>
      <c r="B211" s="181"/>
    </row>
    <row r="212" spans="1:2">
      <c r="A212" s="190"/>
      <c r="B212" s="181"/>
    </row>
    <row r="223" spans="1:2">
      <c r="A223" s="186"/>
    </row>
    <row r="224" spans="1:2">
      <c r="A224" s="186"/>
    </row>
    <row r="225" spans="1:1">
      <c r="A225" s="186"/>
    </row>
    <row r="226" spans="1:1">
      <c r="A226" s="186"/>
    </row>
    <row r="227" spans="1:1">
      <c r="A227" s="186"/>
    </row>
    <row r="228" spans="1:1">
      <c r="A228" s="186"/>
    </row>
    <row r="229" spans="1:1">
      <c r="A229" s="186"/>
    </row>
    <row r="230" spans="1:1">
      <c r="A230" s="186"/>
    </row>
    <row r="231" spans="1:1">
      <c r="A231" s="186"/>
    </row>
    <row r="232" spans="1:1">
      <c r="A232" s="186"/>
    </row>
    <row r="233" spans="1:1">
      <c r="A233" s="186"/>
    </row>
    <row r="234" spans="1:1">
      <c r="A234" s="186"/>
    </row>
    <row r="235" spans="1:1">
      <c r="A235" s="186"/>
    </row>
    <row r="236" spans="1:1">
      <c r="A236" s="186"/>
    </row>
    <row r="237" spans="1:1">
      <c r="A237" s="186"/>
    </row>
    <row r="238" spans="1:1">
      <c r="A238" s="186"/>
    </row>
    <row r="239" spans="1:1">
      <c r="A239" s="186"/>
    </row>
    <row r="240" spans="1:1">
      <c r="A240" s="186"/>
    </row>
    <row r="241" spans="1:1">
      <c r="A241" s="186"/>
    </row>
    <row r="242" spans="1:1">
      <c r="A242" s="186"/>
    </row>
    <row r="243" spans="1:1">
      <c r="A243" s="186"/>
    </row>
    <row r="244" spans="1:1">
      <c r="A244" s="178"/>
    </row>
    <row r="245" spans="1:1">
      <c r="A245" s="178"/>
    </row>
    <row r="246" spans="1:1">
      <c r="A246" s="178"/>
    </row>
    <row r="247" spans="1:1">
      <c r="A247" s="178"/>
    </row>
    <row r="248" spans="1:1">
      <c r="A248" s="178"/>
    </row>
    <row r="249" spans="1:1">
      <c r="A249" s="178"/>
    </row>
    <row r="250" spans="1:1">
      <c r="A250" s="178"/>
    </row>
    <row r="251" spans="1:1">
      <c r="A251" s="178"/>
    </row>
    <row r="252" spans="1:1">
      <c r="A252" s="178"/>
    </row>
    <row r="253" spans="1:1">
      <c r="A253" s="178"/>
    </row>
    <row r="254" spans="1:1">
      <c r="A254" s="178"/>
    </row>
    <row r="255" spans="1:1">
      <c r="A255" s="178"/>
    </row>
    <row r="256" spans="1:1">
      <c r="A256" s="178"/>
    </row>
    <row r="257" spans="1:1">
      <c r="A257" s="178"/>
    </row>
    <row r="258" spans="1:1">
      <c r="A258" s="178"/>
    </row>
    <row r="259" spans="1:1">
      <c r="A259" s="178"/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IV65536"/>
    </sheetView>
  </sheetViews>
  <sheetFormatPr defaultColWidth="9.140625" defaultRowHeight="12.75"/>
  <cols>
    <col min="1" max="2" width="9.140625" style="154"/>
    <col min="3" max="5" width="9.42578125" style="154" bestFit="1" customWidth="1"/>
    <col min="6" max="6" width="9.140625" style="154"/>
    <col min="7" max="7" width="10.5703125" style="154" bestFit="1" customWidth="1"/>
    <col min="8" max="16384" width="9.140625" style="154"/>
  </cols>
  <sheetData>
    <row r="1" spans="3:9">
      <c r="C1" s="154" t="s">
        <v>147</v>
      </c>
      <c r="D1" s="154" t="s">
        <v>54</v>
      </c>
      <c r="E1" s="154" t="s">
        <v>53</v>
      </c>
      <c r="G1" s="155" t="s">
        <v>145</v>
      </c>
      <c r="I1" s="154" t="s">
        <v>146</v>
      </c>
    </row>
    <row r="2" spans="3:9">
      <c r="C2" s="154">
        <f>Offerteblad!E13</f>
        <v>0</v>
      </c>
      <c r="D2" s="154">
        <f>Offerteblad!F13</f>
        <v>0</v>
      </c>
      <c r="E2" s="154">
        <f>Offerteblad!G13</f>
        <v>0</v>
      </c>
      <c r="G2" s="154">
        <f>C2*((D2+E2)*2)</f>
        <v>0</v>
      </c>
      <c r="I2" s="154">
        <f>IF(Offerteblad!J13 &lt; 0.5, blad3!C2*0.5,blad3!C2*Offerteblad!J13)</f>
        <v>0</v>
      </c>
    </row>
    <row r="3" spans="3:9">
      <c r="C3" s="154">
        <f>Offerteblad!E14</f>
        <v>0</v>
      </c>
      <c r="D3" s="154">
        <f>Offerteblad!F14</f>
        <v>0</v>
      </c>
      <c r="E3" s="154">
        <f>Offerteblad!G14</f>
        <v>0</v>
      </c>
      <c r="G3" s="154">
        <f t="shared" ref="G3:G20" si="0">C3*((D3+E3)*2)</f>
        <v>0</v>
      </c>
      <c r="I3" s="154">
        <f>IF(Offerteblad!J14 &lt; 0.5, blad3!C3*0.5,blad3!C3*Offerteblad!J14)</f>
        <v>0</v>
      </c>
    </row>
    <row r="4" spans="3:9">
      <c r="C4" s="154">
        <f>Offerteblad!E15</f>
        <v>0</v>
      </c>
      <c r="D4" s="154">
        <f>Offerteblad!F15</f>
        <v>0</v>
      </c>
      <c r="E4" s="154">
        <f>Offerteblad!G15</f>
        <v>0</v>
      </c>
      <c r="G4" s="154">
        <f t="shared" si="0"/>
        <v>0</v>
      </c>
      <c r="I4" s="154">
        <f>IF(Offerteblad!J15 &lt; 0.5, blad3!C4*0.5,blad3!C4*Offerteblad!J15)</f>
        <v>0</v>
      </c>
    </row>
    <row r="5" spans="3:9">
      <c r="C5" s="154">
        <f>Offerteblad!E16</f>
        <v>0</v>
      </c>
      <c r="D5" s="154">
        <f>Offerteblad!F16</f>
        <v>0</v>
      </c>
      <c r="E5" s="154">
        <f>Offerteblad!G16</f>
        <v>0</v>
      </c>
      <c r="G5" s="154">
        <f t="shared" si="0"/>
        <v>0</v>
      </c>
      <c r="I5" s="154">
        <f>IF(Offerteblad!J16 &lt; 0.5, blad3!C5*0.5,blad3!C5*Offerteblad!J16)</f>
        <v>0</v>
      </c>
    </row>
    <row r="6" spans="3:9">
      <c r="C6" s="154">
        <f>Offerteblad!E17</f>
        <v>0</v>
      </c>
      <c r="D6" s="154">
        <f>Offerteblad!F17</f>
        <v>0</v>
      </c>
      <c r="E6" s="154">
        <f>Offerteblad!G17</f>
        <v>0</v>
      </c>
      <c r="G6" s="154">
        <f t="shared" si="0"/>
        <v>0</v>
      </c>
      <c r="I6" s="154">
        <f>IF(Offerteblad!J17 &lt; 0.5, blad3!C6*0.5,blad3!C6*Offerteblad!J17)</f>
        <v>0</v>
      </c>
    </row>
    <row r="7" spans="3:9">
      <c r="C7" s="154">
        <f>Offerteblad!E18</f>
        <v>0</v>
      </c>
      <c r="D7" s="154">
        <f>Offerteblad!F18</f>
        <v>0</v>
      </c>
      <c r="E7" s="154">
        <f>Offerteblad!G18</f>
        <v>0</v>
      </c>
      <c r="G7" s="154">
        <f t="shared" si="0"/>
        <v>0</v>
      </c>
      <c r="I7" s="154">
        <f>IF(Offerteblad!J18 &lt; 0.5, blad3!C7*0.5,blad3!C7*Offerteblad!J18)</f>
        <v>0</v>
      </c>
    </row>
    <row r="8" spans="3:9">
      <c r="C8" s="154">
        <f>Offerteblad!E19</f>
        <v>0</v>
      </c>
      <c r="D8" s="154">
        <f>Offerteblad!F19</f>
        <v>0</v>
      </c>
      <c r="E8" s="154">
        <f>Offerteblad!G19</f>
        <v>0</v>
      </c>
      <c r="G8" s="154">
        <f t="shared" si="0"/>
        <v>0</v>
      </c>
      <c r="I8" s="154">
        <f>IF(Offerteblad!J19 &lt; 0.5, blad3!C8*0.5,blad3!C8*Offerteblad!J19)</f>
        <v>0</v>
      </c>
    </row>
    <row r="9" spans="3:9">
      <c r="C9" s="154">
        <f>Offerteblad!E20</f>
        <v>0</v>
      </c>
      <c r="D9" s="154">
        <f>Offerteblad!F20</f>
        <v>0</v>
      </c>
      <c r="E9" s="154">
        <f>Offerteblad!G20</f>
        <v>0</v>
      </c>
      <c r="G9" s="154">
        <f t="shared" si="0"/>
        <v>0</v>
      </c>
      <c r="I9" s="154">
        <f>IF(Offerteblad!J20 &lt; 0.5, blad3!C9*0.5,blad3!C9*Offerteblad!J20)</f>
        <v>0</v>
      </c>
    </row>
    <row r="10" spans="3:9">
      <c r="C10" s="154">
        <f>Offerteblad!E21</f>
        <v>0</v>
      </c>
      <c r="D10" s="154">
        <f>Offerteblad!F21</f>
        <v>0</v>
      </c>
      <c r="E10" s="154">
        <f>Offerteblad!G21</f>
        <v>0</v>
      </c>
      <c r="G10" s="154">
        <f t="shared" si="0"/>
        <v>0</v>
      </c>
      <c r="I10" s="154">
        <f>IF(Offerteblad!J21 &lt; 0.5, blad3!C10*0.5,blad3!C10*Offerteblad!J21)</f>
        <v>0</v>
      </c>
    </row>
    <row r="11" spans="3:9">
      <c r="C11" s="154">
        <f>Offerteblad!E22</f>
        <v>0</v>
      </c>
      <c r="D11" s="154">
        <f>Offerteblad!F22</f>
        <v>0</v>
      </c>
      <c r="E11" s="154">
        <f>Offerteblad!G22</f>
        <v>0</v>
      </c>
      <c r="G11" s="154">
        <f t="shared" si="0"/>
        <v>0</v>
      </c>
      <c r="I11" s="154">
        <f>IF(Offerteblad!J22 &lt; 0.5, blad3!C11*0.5,blad3!C11*Offerteblad!J22)</f>
        <v>0</v>
      </c>
    </row>
    <row r="12" spans="3:9">
      <c r="C12" s="154">
        <f>Offerteblad!E23</f>
        <v>0</v>
      </c>
      <c r="D12" s="154">
        <f>Offerteblad!F23</f>
        <v>0</v>
      </c>
      <c r="E12" s="154">
        <f>Offerteblad!G23</f>
        <v>0</v>
      </c>
      <c r="G12" s="154">
        <f t="shared" si="0"/>
        <v>0</v>
      </c>
      <c r="I12" s="154">
        <f>IF(Offerteblad!J23 &lt; 0.5, blad3!C12*0.5,blad3!C12*Offerteblad!J23)</f>
        <v>0</v>
      </c>
    </row>
    <row r="13" spans="3:9">
      <c r="C13" s="154">
        <f>Offerteblad!E24</f>
        <v>0</v>
      </c>
      <c r="D13" s="154">
        <f>Offerteblad!F24</f>
        <v>0</v>
      </c>
      <c r="E13" s="154">
        <f>Offerteblad!G24</f>
        <v>0</v>
      </c>
      <c r="G13" s="154">
        <f t="shared" si="0"/>
        <v>0</v>
      </c>
      <c r="I13" s="154">
        <f>IF(Offerteblad!J24 &lt; 0.5, blad3!C13*0.5,blad3!C13*Offerteblad!J24)</f>
        <v>0</v>
      </c>
    </row>
    <row r="14" spans="3:9">
      <c r="C14" s="154">
        <f>Offerteblad!E25</f>
        <v>0</v>
      </c>
      <c r="D14" s="154">
        <f>Offerteblad!F25</f>
        <v>0</v>
      </c>
      <c r="E14" s="154">
        <f>Offerteblad!G25</f>
        <v>0</v>
      </c>
      <c r="G14" s="154">
        <f t="shared" si="0"/>
        <v>0</v>
      </c>
      <c r="I14" s="154">
        <f>IF(Offerteblad!J25 &lt; 0.5, blad3!C14*0.5,blad3!C14*Offerteblad!J25)</f>
        <v>0</v>
      </c>
    </row>
    <row r="15" spans="3:9">
      <c r="C15" s="154">
        <f>Offerteblad!E26</f>
        <v>0</v>
      </c>
      <c r="D15" s="154">
        <f>Offerteblad!F26</f>
        <v>0</v>
      </c>
      <c r="E15" s="154">
        <f>Offerteblad!G26</f>
        <v>0</v>
      </c>
      <c r="G15" s="154">
        <f t="shared" si="0"/>
        <v>0</v>
      </c>
      <c r="I15" s="154">
        <f>IF(Offerteblad!J26 &lt; 0.5, blad3!C15*0.5,blad3!C15*Offerteblad!J26)</f>
        <v>0</v>
      </c>
    </row>
    <row r="16" spans="3:9">
      <c r="C16" s="154">
        <f>Offerteblad!E27</f>
        <v>0</v>
      </c>
      <c r="D16" s="154">
        <f>Offerteblad!F27</f>
        <v>0</v>
      </c>
      <c r="E16" s="154">
        <f>Offerteblad!G27</f>
        <v>0</v>
      </c>
      <c r="G16" s="154">
        <f t="shared" si="0"/>
        <v>0</v>
      </c>
      <c r="I16" s="154">
        <f>IF(Offerteblad!J27 &lt; 0.5, blad3!C16*0.5,blad3!C16*Offerteblad!J27)</f>
        <v>0</v>
      </c>
    </row>
    <row r="17" spans="3:9">
      <c r="C17" s="154">
        <f>Offerteblad!E28</f>
        <v>0</v>
      </c>
      <c r="D17" s="154">
        <f>Offerteblad!F28</f>
        <v>0</v>
      </c>
      <c r="E17" s="154">
        <f>Offerteblad!G28</f>
        <v>0</v>
      </c>
      <c r="G17" s="154">
        <f t="shared" si="0"/>
        <v>0</v>
      </c>
      <c r="I17" s="154">
        <f>IF(Offerteblad!J28 &lt; 0.5, blad3!C17*0.5,blad3!C17*Offerteblad!J28)</f>
        <v>0</v>
      </c>
    </row>
    <row r="18" spans="3:9">
      <c r="C18" s="154">
        <f>Offerteblad!E29</f>
        <v>0</v>
      </c>
      <c r="D18" s="154">
        <f>Offerteblad!F29</f>
        <v>0</v>
      </c>
      <c r="E18" s="154">
        <f>Offerteblad!G29</f>
        <v>0</v>
      </c>
      <c r="G18" s="154">
        <f t="shared" si="0"/>
        <v>0</v>
      </c>
      <c r="I18" s="154">
        <f>IF(Offerteblad!J29 &lt; 0.5, blad3!C18*0.5,blad3!C18*Offerteblad!J29)</f>
        <v>0</v>
      </c>
    </row>
    <row r="19" spans="3:9">
      <c r="C19" s="154">
        <f>Offerteblad!E30</f>
        <v>0</v>
      </c>
      <c r="D19" s="154">
        <f>Offerteblad!F30</f>
        <v>0</v>
      </c>
      <c r="E19" s="154">
        <f>Offerteblad!G30</f>
        <v>0</v>
      </c>
      <c r="G19" s="154">
        <f t="shared" si="0"/>
        <v>0</v>
      </c>
      <c r="I19" s="154">
        <f>IF(Offerteblad!J30 &lt; 0.5, blad3!C19*0.5,blad3!C19*Offerteblad!J30)</f>
        <v>0</v>
      </c>
    </row>
    <row r="20" spans="3:9">
      <c r="C20" s="154">
        <f>Offerteblad!E31</f>
        <v>0</v>
      </c>
      <c r="D20" s="154">
        <f>Offerteblad!F31</f>
        <v>0</v>
      </c>
      <c r="E20" s="154">
        <f>Offerteblad!G31</f>
        <v>0</v>
      </c>
      <c r="G20" s="154">
        <f t="shared" si="0"/>
        <v>0</v>
      </c>
      <c r="I20" s="154">
        <f>IF(Offerteblad!J31 &lt; 0.5, blad3!C20*0.5,blad3!C20*Offerteblad!J31)</f>
        <v>0</v>
      </c>
    </row>
    <row r="23" spans="3:9">
      <c r="C23" s="154">
        <f>SUM(C2:C22)</f>
        <v>0</v>
      </c>
      <c r="F23" s="154" t="s">
        <v>55</v>
      </c>
      <c r="G23" s="154">
        <f>SUM(G2:G21)</f>
        <v>0</v>
      </c>
      <c r="I23" s="156">
        <f>SUM(I2:I20)</f>
        <v>0</v>
      </c>
    </row>
    <row r="25" spans="3:9">
      <c r="F25" s="154" t="s">
        <v>56</v>
      </c>
      <c r="G25" s="154">
        <f>CEILING(((G23*2)/1000)/13,1)</f>
        <v>0</v>
      </c>
    </row>
    <row r="26" spans="3:9">
      <c r="F26" s="154" t="s">
        <v>57</v>
      </c>
      <c r="G26" s="154">
        <f>CEILING((G23*2)/1000,20)</f>
        <v>0</v>
      </c>
    </row>
  </sheetData>
  <sheetProtection password="E729" sheet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workbookViewId="0">
      <selection activeCell="D7" sqref="D7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8.28515625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210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41509</v>
      </c>
    </row>
    <row r="4" spans="1:13">
      <c r="A4" s="46"/>
      <c r="B4" s="47"/>
      <c r="C4" s="47"/>
      <c r="D4" s="48"/>
    </row>
    <row r="5" spans="1:13">
      <c r="A5" s="45"/>
      <c r="B5" s="47"/>
      <c r="C5" s="47"/>
      <c r="D5" s="48"/>
      <c r="I5" s="320" t="s">
        <v>79</v>
      </c>
      <c r="J5" s="320"/>
      <c r="K5" s="320"/>
    </row>
    <row r="6" spans="1:13" ht="15.75">
      <c r="H6" s="26"/>
      <c r="I6" s="321" t="s">
        <v>236</v>
      </c>
      <c r="J6" s="321"/>
      <c r="K6" s="321"/>
    </row>
    <row r="7" spans="1:13" ht="15">
      <c r="C7" s="87" t="s">
        <v>82</v>
      </c>
      <c r="D7" s="87"/>
      <c r="E7" s="87"/>
      <c r="F7" s="87"/>
      <c r="G7" s="87"/>
      <c r="H7" s="27"/>
      <c r="I7" s="321" t="s">
        <v>237</v>
      </c>
      <c r="J7" s="322"/>
      <c r="K7" s="322"/>
    </row>
    <row r="8" spans="1:13" ht="15">
      <c r="C8" s="71" t="str">
        <f>IF(Offerteblad!C49="", "",Offerteblad!C49)</f>
        <v/>
      </c>
      <c r="D8" s="71"/>
      <c r="E8" s="87"/>
      <c r="F8" s="87"/>
      <c r="G8" s="87"/>
      <c r="H8" s="27"/>
      <c r="I8" s="321" t="s">
        <v>238</v>
      </c>
      <c r="J8" s="322"/>
      <c r="K8" s="322"/>
    </row>
    <row r="9" spans="1:13" ht="15">
      <c r="C9" s="71" t="str">
        <f>IF(Offerteblad!C50="", "",Offerteblad!C50)</f>
        <v/>
      </c>
      <c r="D9" s="71"/>
      <c r="E9" s="87"/>
      <c r="F9" s="87"/>
      <c r="G9" s="87"/>
      <c r="H9" s="27"/>
      <c r="I9" s="322" t="s">
        <v>93</v>
      </c>
      <c r="J9" s="322"/>
      <c r="K9" s="322"/>
    </row>
    <row r="10" spans="1:13" ht="15">
      <c r="C10" s="71" t="str">
        <f>IF(Offerteblad!C51="", "",Offerteblad!C51)</f>
        <v/>
      </c>
      <c r="D10" s="71" t="str">
        <f>IF(Offerteblad!C52="", "",Offerteblad!C52)</f>
        <v/>
      </c>
      <c r="E10" s="71"/>
      <c r="F10" s="71"/>
      <c r="G10" s="71"/>
      <c r="H10" s="27"/>
      <c r="I10" s="323" t="s">
        <v>94</v>
      </c>
      <c r="J10" s="324"/>
      <c r="K10" s="324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299" t="s">
        <v>88</v>
      </c>
      <c r="F16" s="299"/>
      <c r="G16" s="31" t="s">
        <v>6</v>
      </c>
      <c r="H16" s="32" t="s">
        <v>48</v>
      </c>
      <c r="J16" s="299" t="s">
        <v>173</v>
      </c>
      <c r="K16" s="299"/>
      <c r="M16" s="27"/>
    </row>
    <row r="17" spans="1:17" ht="24.75">
      <c r="A17" s="325" t="s">
        <v>10</v>
      </c>
      <c r="B17" s="326"/>
      <c r="C17" s="325" t="s">
        <v>84</v>
      </c>
      <c r="D17" s="326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">
      <c r="A18" s="318" t="str">
        <f>IF(Offerteblad!E13=0,"",Offerteblad!E13)</f>
        <v/>
      </c>
      <c r="B18" s="319"/>
      <c r="C18" s="300" t="str">
        <f>IF(Offerteblad!B13=$C$16,"", Offerteblad!B13)</f>
        <v/>
      </c>
      <c r="D18" s="300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8" t="str">
        <f>IF(Offerteblad!E14=0,"",Offerteblad!E14)</f>
        <v/>
      </c>
      <c r="B19" s="319"/>
      <c r="C19" s="300" t="str">
        <f>IF(Offerteblad!B14=$C$16,"", Offerteblad!B14)</f>
        <v/>
      </c>
      <c r="D19" s="300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8" t="str">
        <f>IF(Offerteblad!E15=0,"",Offerteblad!E15)</f>
        <v/>
      </c>
      <c r="B20" s="319"/>
      <c r="C20" s="300" t="str">
        <f>IF(Offerteblad!B15=$C$16,"", Offerteblad!B15)</f>
        <v/>
      </c>
      <c r="D20" s="300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8" t="str">
        <f>IF(Offerteblad!E16=0,"",Offerteblad!E16)</f>
        <v/>
      </c>
      <c r="B21" s="319"/>
      <c r="C21" s="300" t="str">
        <f>IF(Offerteblad!B16=$C$16,"", Offerteblad!B16)</f>
        <v/>
      </c>
      <c r="D21" s="300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8" t="str">
        <f>IF(Offerteblad!E17=0,"",Offerteblad!E17)</f>
        <v/>
      </c>
      <c r="B22" s="319"/>
      <c r="C22" s="300" t="str">
        <f>IF(Offerteblad!B17=$C$16,"", Offerteblad!B17)</f>
        <v/>
      </c>
      <c r="D22" s="300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8" t="str">
        <f>IF(Offerteblad!E18=0,"",Offerteblad!E18)</f>
        <v/>
      </c>
      <c r="B23" s="319"/>
      <c r="C23" s="300" t="str">
        <f>IF(Offerteblad!B18=$C$16,"", Offerteblad!B18)</f>
        <v/>
      </c>
      <c r="D23" s="300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8" t="str">
        <f>IF(Offerteblad!E19=0,"",Offerteblad!E19)</f>
        <v/>
      </c>
      <c r="B24" s="319"/>
      <c r="C24" s="300" t="str">
        <f>IF(Offerteblad!B19=$C$16,"", Offerteblad!B19)</f>
        <v/>
      </c>
      <c r="D24" s="300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8" t="str">
        <f>IF(Offerteblad!E20=0,"",Offerteblad!E20)</f>
        <v/>
      </c>
      <c r="B25" s="319"/>
      <c r="C25" s="300" t="str">
        <f>IF(Offerteblad!B20=$C$16,"", Offerteblad!B20)</f>
        <v/>
      </c>
      <c r="D25" s="300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8" t="str">
        <f>IF(Offerteblad!E21=0,"",Offerteblad!E21)</f>
        <v/>
      </c>
      <c r="B26" s="319"/>
      <c r="C26" s="300" t="str">
        <f>IF(Offerteblad!B21=$C$16,"", Offerteblad!B21)</f>
        <v/>
      </c>
      <c r="D26" s="300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8" t="str">
        <f>IF(Offerteblad!E22=0,"",Offerteblad!E22)</f>
        <v/>
      </c>
      <c r="B27" s="319"/>
      <c r="C27" s="300" t="str">
        <f>IF(Offerteblad!B22=$C$16,"", Offerteblad!B22)</f>
        <v/>
      </c>
      <c r="D27" s="300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8" t="str">
        <f>IF(Offerteblad!E23=0,"",Offerteblad!E23)</f>
        <v/>
      </c>
      <c r="B28" s="319"/>
      <c r="C28" s="300" t="str">
        <f>IF(Offerteblad!B23=$C$16,"", Offerteblad!B23)</f>
        <v/>
      </c>
      <c r="D28" s="300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8" t="str">
        <f>IF(Offerteblad!E24=0,"",Offerteblad!E24)</f>
        <v/>
      </c>
      <c r="B29" s="319"/>
      <c r="C29" s="300" t="str">
        <f>IF(Offerteblad!B24=$C$16,"", Offerteblad!B24)</f>
        <v/>
      </c>
      <c r="D29" s="300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8" t="str">
        <f>IF(Offerteblad!E25=0,"",Offerteblad!E25)</f>
        <v/>
      </c>
      <c r="B30" s="319"/>
      <c r="C30" s="300" t="str">
        <f>IF(Offerteblad!B25=$C$16,"", Offerteblad!B25)</f>
        <v/>
      </c>
      <c r="D30" s="300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8" t="str">
        <f>IF(Offerteblad!E26=0,"",Offerteblad!E26)</f>
        <v/>
      </c>
      <c r="B31" s="319"/>
      <c r="C31" s="300" t="str">
        <f>IF(Offerteblad!B26=$C$16,"", Offerteblad!B26)</f>
        <v/>
      </c>
      <c r="D31" s="300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8" t="str">
        <f>IF(Offerteblad!E27=0,"",Offerteblad!E27)</f>
        <v/>
      </c>
      <c r="B32" s="319"/>
      <c r="C32" s="300" t="str">
        <f>IF(Offerteblad!B27=$C$16,"", Offerteblad!B27)</f>
        <v/>
      </c>
      <c r="D32" s="300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8" t="str">
        <f>IF(Offerteblad!E28=0,"",Offerteblad!E28)</f>
        <v/>
      </c>
      <c r="B33" s="319"/>
      <c r="C33" s="300" t="str">
        <f>IF(Offerteblad!B28=$C$16,"", Offerteblad!B28)</f>
        <v/>
      </c>
      <c r="D33" s="300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8" t="str">
        <f>IF(Offerteblad!E29=0,"",Offerteblad!E29)</f>
        <v/>
      </c>
      <c r="B34" s="319"/>
      <c r="C34" s="300" t="str">
        <f>IF(Offerteblad!B29=$C$16,"", Offerteblad!B29)</f>
        <v/>
      </c>
      <c r="D34" s="300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8" t="str">
        <f>IF(Offerteblad!E30=0,"",Offerteblad!E30)</f>
        <v/>
      </c>
      <c r="B35" s="319"/>
      <c r="C35" s="300" t="str">
        <f>IF(Offerteblad!B30=$C$16,"", Offerteblad!B30)</f>
        <v/>
      </c>
      <c r="D35" s="300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8" t="str">
        <f>IF(Offerteblad!E31=0,"",Offerteblad!E31)</f>
        <v/>
      </c>
      <c r="B36" s="319"/>
      <c r="C36" s="300" t="str">
        <f>IF(Offerteblad!B31=$C$16,"", Offerteblad!B31)</f>
        <v/>
      </c>
      <c r="D36" s="300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33" t="s">
        <v>164</v>
      </c>
      <c r="B37" s="334"/>
      <c r="C37" s="334"/>
      <c r="D37" s="334"/>
      <c r="E37" s="334"/>
      <c r="F37" s="334"/>
      <c r="G37" s="334"/>
      <c r="H37" s="334"/>
      <c r="I37" s="335"/>
      <c r="J37" s="328">
        <f>SUM(J18:J36)+ SUM(K18:K36)</f>
        <v>0</v>
      </c>
      <c r="K37" s="329"/>
    </row>
    <row r="38" spans="1:12">
      <c r="A38" s="312">
        <f>Offerteblad!H35</f>
        <v>0</v>
      </c>
      <c r="B38" s="313"/>
      <c r="C38" s="313"/>
      <c r="D38" s="313"/>
      <c r="E38" s="313"/>
      <c r="F38" s="313"/>
      <c r="G38" s="313"/>
      <c r="H38" s="313"/>
      <c r="I38" s="314"/>
      <c r="J38" s="343">
        <f>Offerteblad!L35</f>
        <v>0</v>
      </c>
      <c r="K38" s="344"/>
    </row>
    <row r="39" spans="1:12">
      <c r="A39" s="345" t="s">
        <v>59</v>
      </c>
      <c r="B39" s="346"/>
      <c r="C39" s="346"/>
      <c r="D39" s="346"/>
      <c r="E39" s="346"/>
      <c r="F39" s="346"/>
      <c r="G39" s="346"/>
      <c r="H39" s="346"/>
      <c r="I39" s="347"/>
      <c r="J39" s="306">
        <f>Offerteblad!L36</f>
        <v>0</v>
      </c>
      <c r="K39" s="306"/>
    </row>
    <row r="40" spans="1:12">
      <c r="A40" s="351" t="s">
        <v>190</v>
      </c>
      <c r="B40" s="352"/>
      <c r="C40" s="352"/>
      <c r="D40" s="352"/>
      <c r="E40" s="352"/>
      <c r="F40" s="352"/>
      <c r="G40" s="352"/>
      <c r="H40" s="352"/>
      <c r="I40" s="353"/>
      <c r="J40" s="354"/>
      <c r="K40" s="355"/>
    </row>
    <row r="41" spans="1:12">
      <c r="A41" s="348" t="str">
        <f>IF(Offerteblad!F37= 0, "",Offerteblad!F37)</f>
        <v/>
      </c>
      <c r="B41" s="348"/>
      <c r="C41" s="303" t="str">
        <f>Offerteblad!H37</f>
        <v xml:space="preserve"> </v>
      </c>
      <c r="D41" s="304"/>
      <c r="E41" s="304"/>
      <c r="F41" s="304"/>
      <c r="G41" s="304"/>
      <c r="H41" s="304"/>
      <c r="I41" s="305"/>
      <c r="J41" s="306" t="str">
        <f>Offerteblad!L37</f>
        <v/>
      </c>
      <c r="K41" s="306"/>
    </row>
    <row r="42" spans="1:12">
      <c r="A42" s="348" t="str">
        <f>IF(Offerteblad!F38= 0, "",Offerteblad!F38)</f>
        <v/>
      </c>
      <c r="B42" s="348"/>
      <c r="C42" s="303" t="str">
        <f>Offerteblad!H38</f>
        <v xml:space="preserve"> </v>
      </c>
      <c r="D42" s="304"/>
      <c r="E42" s="304"/>
      <c r="F42" s="304"/>
      <c r="G42" s="304"/>
      <c r="H42" s="304"/>
      <c r="I42" s="305"/>
      <c r="J42" s="306" t="str">
        <f>Offerteblad!L38</f>
        <v/>
      </c>
      <c r="K42" s="306"/>
    </row>
    <row r="43" spans="1:12">
      <c r="A43" s="348" t="str">
        <f>IF(Offerteblad!F39= 0, "",Offerteblad!F39)</f>
        <v/>
      </c>
      <c r="B43" s="348"/>
      <c r="C43" s="303" t="str">
        <f>Offerteblad!H39</f>
        <v xml:space="preserve"> </v>
      </c>
      <c r="D43" s="304"/>
      <c r="E43" s="304"/>
      <c r="F43" s="304"/>
      <c r="G43" s="304"/>
      <c r="H43" s="304"/>
      <c r="I43" s="305"/>
      <c r="J43" s="306" t="str">
        <f>Offerteblad!L39</f>
        <v/>
      </c>
      <c r="K43" s="306"/>
    </row>
    <row r="44" spans="1:12">
      <c r="A44" s="362" t="str">
        <f>IF(J44="","",IF(J44&gt;0,1,""))</f>
        <v/>
      </c>
      <c r="B44" s="363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07" t="str">
        <f>Offerteblad!L40</f>
        <v/>
      </c>
      <c r="K44" s="308"/>
    </row>
    <row r="45" spans="1:12">
      <c r="A45" s="356"/>
      <c r="B45" s="357"/>
      <c r="C45" s="357"/>
      <c r="D45" s="357"/>
      <c r="E45" s="357"/>
      <c r="F45" s="357"/>
      <c r="G45" s="357"/>
      <c r="H45" s="357"/>
      <c r="I45" s="358"/>
      <c r="J45" s="306"/>
      <c r="K45" s="306"/>
    </row>
    <row r="46" spans="1:12">
      <c r="A46" s="47" t="s">
        <v>188</v>
      </c>
      <c r="D46" s="40" t="str">
        <f>IF(Offerteblad!C58='blad 2'!T12, "",Offerteblad!C58)</f>
        <v/>
      </c>
      <c r="E46" s="359" t="str">
        <f>IF(Offerteblad!D58='blad 2'!T19, "", Offerteblad!D58)</f>
        <v>&lt; kies locatie &gt;</v>
      </c>
      <c r="F46" s="360"/>
      <c r="G46" s="361"/>
      <c r="H46" s="311" t="s">
        <v>304</v>
      </c>
      <c r="I46" s="311"/>
      <c r="J46" s="307" t="str">
        <f>Offerteblad!L43</f>
        <v>€ 18,95</v>
      </c>
      <c r="K46" s="308"/>
      <c r="L46" s="43"/>
    </row>
    <row r="47" spans="1:12">
      <c r="A47" s="320" t="s">
        <v>96</v>
      </c>
      <c r="B47" s="320"/>
      <c r="C47" s="320"/>
      <c r="D47" s="40" t="str">
        <f>IF(Offerteblad!C60="&lt;selecteer&gt;","Nee",Offerteblad!C60)</f>
        <v>Nee</v>
      </c>
      <c r="H47" s="315" t="str">
        <f>CONCATENATE("Af: ",Offerteblad!H44)</f>
        <v>Af: Korting</v>
      </c>
      <c r="I47" s="316"/>
      <c r="J47" s="349">
        <f>Offerteblad!L44</f>
        <v>0</v>
      </c>
      <c r="K47" s="350"/>
    </row>
    <row r="48" spans="1:12" ht="15.75">
      <c r="A48" s="339" t="str">
        <f>IF(Offerteblad!C61=0,"",Offerteblad!C61)</f>
        <v/>
      </c>
      <c r="B48" s="340"/>
      <c r="C48" s="340"/>
      <c r="D48" s="340"/>
      <c r="E48" s="340"/>
      <c r="F48" s="341"/>
      <c r="H48" s="317" t="s">
        <v>63</v>
      </c>
      <c r="I48" s="317"/>
      <c r="J48" s="309">
        <f>Offerteblad!L45</f>
        <v>18.95</v>
      </c>
      <c r="K48" s="309"/>
    </row>
    <row r="49" spans="1:11" ht="15">
      <c r="A49" s="336" t="str">
        <f>IF(Offerteblad!C62=0,"",Offerteblad!C62)</f>
        <v/>
      </c>
      <c r="B49" s="337"/>
      <c r="C49" s="337"/>
      <c r="D49" s="337"/>
      <c r="E49" s="337"/>
      <c r="F49" s="338"/>
      <c r="H49" s="301" t="s">
        <v>301</v>
      </c>
      <c r="I49" s="302"/>
      <c r="J49" s="310">
        <f>Offerteblad!L46</f>
        <v>3.9794999999999998</v>
      </c>
      <c r="K49" s="310"/>
    </row>
    <row r="50" spans="1:11" ht="15.75" customHeight="1">
      <c r="A50" s="336" t="str">
        <f>IF(Offerteblad!C63=0,"",Offerteblad!C63)</f>
        <v/>
      </c>
      <c r="B50" s="337"/>
      <c r="C50" s="337" t="str">
        <f>IF(Offerteblad!C64=0,"",Offerteblad!C64)</f>
        <v/>
      </c>
      <c r="D50" s="337"/>
      <c r="E50" s="337"/>
      <c r="F50" s="338"/>
      <c r="H50" s="332" t="s">
        <v>31</v>
      </c>
      <c r="I50" s="332"/>
      <c r="J50" s="342">
        <f>Offerteblad!L47</f>
        <v>22.929499999999997</v>
      </c>
      <c r="K50" s="342"/>
    </row>
    <row r="51" spans="1:11" ht="15">
      <c r="A51" s="109" t="s">
        <v>97</v>
      </c>
      <c r="B51" s="330" t="str">
        <f>IF(Offerteblad!C66=0, "",Offerteblad!C66)</f>
        <v/>
      </c>
      <c r="C51" s="330"/>
      <c r="D51" s="330"/>
      <c r="E51" s="330"/>
      <c r="F51" s="331"/>
      <c r="G51" s="118"/>
      <c r="H51" s="147"/>
      <c r="I51" s="327"/>
      <c r="J51" s="327"/>
      <c r="K51" s="327"/>
    </row>
    <row r="52" spans="1:11" ht="15" customHeight="1">
      <c r="A52" s="162"/>
      <c r="B52" s="162"/>
      <c r="C52" s="162"/>
      <c r="D52" s="162"/>
      <c r="E52" s="162"/>
      <c r="F52" s="162"/>
      <c r="G52" s="162"/>
      <c r="H52" s="118"/>
      <c r="I52" s="118"/>
      <c r="J52" s="118"/>
      <c r="K52" s="118"/>
    </row>
    <row r="53" spans="1:11" ht="15">
      <c r="A53" s="41" t="s">
        <v>91</v>
      </c>
      <c r="H53" s="162"/>
      <c r="I53" s="162"/>
      <c r="J53" s="162"/>
      <c r="K53" s="162"/>
    </row>
    <row r="54" spans="1:11" ht="15">
      <c r="A54" s="125" t="s">
        <v>189</v>
      </c>
    </row>
    <row r="55" spans="1:11" ht="15">
      <c r="A55" s="42"/>
    </row>
  </sheetData>
  <sheetProtection password="E729" sheet="1" objects="1" scenarios="1" selectLockedCells="1" selectUnlockedCells="1"/>
  <mergeCells count="87">
    <mergeCell ref="C36:D36"/>
    <mergeCell ref="A36:B36"/>
    <mergeCell ref="C35:D35"/>
    <mergeCell ref="C34:D34"/>
    <mergeCell ref="A32:B32"/>
    <mergeCell ref="A34:B34"/>
    <mergeCell ref="C32:D32"/>
    <mergeCell ref="C33:D33"/>
    <mergeCell ref="J39:K39"/>
    <mergeCell ref="A39:I39"/>
    <mergeCell ref="A43:B43"/>
    <mergeCell ref="J47:K47"/>
    <mergeCell ref="A42:B42"/>
    <mergeCell ref="C43:I43"/>
    <mergeCell ref="A40:I40"/>
    <mergeCell ref="J40:K40"/>
    <mergeCell ref="A45:I45"/>
    <mergeCell ref="E46:G46"/>
    <mergeCell ref="A44:B44"/>
    <mergeCell ref="A41:B41"/>
    <mergeCell ref="I51:K51"/>
    <mergeCell ref="J43:K43"/>
    <mergeCell ref="J44:K44"/>
    <mergeCell ref="C42:I42"/>
    <mergeCell ref="J37:K37"/>
    <mergeCell ref="B51:F51"/>
    <mergeCell ref="H50:I50"/>
    <mergeCell ref="A37:I37"/>
    <mergeCell ref="A50:B50"/>
    <mergeCell ref="C50:F50"/>
    <mergeCell ref="A49:F49"/>
    <mergeCell ref="A47:C47"/>
    <mergeCell ref="A48:F48"/>
    <mergeCell ref="J50:K50"/>
    <mergeCell ref="J42:K42"/>
    <mergeCell ref="J38:K38"/>
    <mergeCell ref="C30:D30"/>
    <mergeCell ref="C26:D26"/>
    <mergeCell ref="A21:B21"/>
    <mergeCell ref="C19:D19"/>
    <mergeCell ref="C20:D20"/>
    <mergeCell ref="A25:B25"/>
    <mergeCell ref="C23:D23"/>
    <mergeCell ref="C24:D24"/>
    <mergeCell ref="C27:D27"/>
    <mergeCell ref="C28:D28"/>
    <mergeCell ref="C29:D29"/>
    <mergeCell ref="A26:B26"/>
    <mergeCell ref="A17:B17"/>
    <mergeCell ref="C17:D17"/>
    <mergeCell ref="A31:B31"/>
    <mergeCell ref="A22:B22"/>
    <mergeCell ref="A23:B23"/>
    <mergeCell ref="A24:B24"/>
    <mergeCell ref="A20:B20"/>
    <mergeCell ref="A18:B18"/>
    <mergeCell ref="C21:D21"/>
    <mergeCell ref="A27:B27"/>
    <mergeCell ref="C18:D18"/>
    <mergeCell ref="A19:B19"/>
    <mergeCell ref="A28:B28"/>
    <mergeCell ref="C22:D22"/>
    <mergeCell ref="A30:B30"/>
    <mergeCell ref="A29:B29"/>
    <mergeCell ref="I5:K5"/>
    <mergeCell ref="I6:K6"/>
    <mergeCell ref="I7:K7"/>
    <mergeCell ref="I8:K8"/>
    <mergeCell ref="J16:K16"/>
    <mergeCell ref="I9:K9"/>
    <mergeCell ref="I10:K10"/>
    <mergeCell ref="E16:F16"/>
    <mergeCell ref="C25:D25"/>
    <mergeCell ref="H49:I49"/>
    <mergeCell ref="C41:I41"/>
    <mergeCell ref="J41:K41"/>
    <mergeCell ref="J45:K45"/>
    <mergeCell ref="J46:K46"/>
    <mergeCell ref="J48:K48"/>
    <mergeCell ref="J49:K49"/>
    <mergeCell ref="H46:I46"/>
    <mergeCell ref="A38:I38"/>
    <mergeCell ref="H47:I47"/>
    <mergeCell ref="H48:I48"/>
    <mergeCell ref="C31:D31"/>
    <mergeCell ref="A35:B35"/>
    <mergeCell ref="A33:B3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6"/>
  <sheetViews>
    <sheetView topLeftCell="A34" workbookViewId="0">
      <selection activeCell="J47" sqref="J47:K47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194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41509</v>
      </c>
    </row>
    <row r="4" spans="1:13">
      <c r="A4" s="46" t="s">
        <v>99</v>
      </c>
      <c r="B4" s="47"/>
      <c r="C4" s="47"/>
      <c r="D4" s="126">
        <f>Offerteblad!L11</f>
        <v>0</v>
      </c>
    </row>
    <row r="5" spans="1:13">
      <c r="A5" s="45" t="s">
        <v>195</v>
      </c>
      <c r="B5" s="47"/>
      <c r="C5" s="47"/>
      <c r="D5" s="48"/>
      <c r="I5" s="320" t="str">
        <f>offerte!I5</f>
        <v>Glasdiscount.nl</v>
      </c>
      <c r="J5" s="320"/>
      <c r="K5" s="320"/>
    </row>
    <row r="6" spans="1:13" ht="15.75">
      <c r="H6" s="26"/>
      <c r="I6" s="320" t="str">
        <f>offerte!I6</f>
        <v>Voorsterweg 20</v>
      </c>
      <c r="J6" s="320"/>
      <c r="K6" s="320"/>
    </row>
    <row r="7" spans="1:13" ht="15">
      <c r="C7" s="87" t="s">
        <v>82</v>
      </c>
      <c r="D7" s="87"/>
      <c r="E7" s="87"/>
      <c r="F7" s="87"/>
      <c r="G7" s="87"/>
      <c r="H7" s="27"/>
      <c r="I7" s="320" t="str">
        <f>offerte!I7</f>
        <v>7371 GC Loenen Gld.</v>
      </c>
      <c r="J7" s="320"/>
      <c r="K7" s="320"/>
    </row>
    <row r="8" spans="1:13" ht="15">
      <c r="C8" s="71" t="str">
        <f>IF(Offerteblad!C49="", "",Offerteblad!C49)</f>
        <v/>
      </c>
      <c r="D8" s="71"/>
      <c r="E8" s="87"/>
      <c r="F8" s="87"/>
      <c r="G8" s="87"/>
      <c r="H8" s="27"/>
      <c r="I8" s="320" t="str">
        <f>offerte!I8</f>
        <v>KvK: 08062381</v>
      </c>
      <c r="J8" s="320"/>
      <c r="K8" s="320"/>
    </row>
    <row r="9" spans="1:13" ht="15">
      <c r="C9" s="71" t="str">
        <f>IF(Offerteblad!C50="", "",Offerteblad!C50)</f>
        <v/>
      </c>
      <c r="D9" s="71"/>
      <c r="E9" s="87"/>
      <c r="F9" s="87"/>
      <c r="G9" s="87"/>
      <c r="H9" s="27"/>
      <c r="I9" s="322" t="s">
        <v>93</v>
      </c>
      <c r="J9" s="322"/>
      <c r="K9" s="322"/>
    </row>
    <row r="10" spans="1:13" ht="15">
      <c r="C10" s="71" t="str">
        <f>IF(Offerteblad!C51="", "",Offerteblad!C51)</f>
        <v/>
      </c>
      <c r="D10" s="71" t="str">
        <f>IF(Offerteblad!C52="", "",Offerteblad!C52)</f>
        <v/>
      </c>
      <c r="E10" s="71"/>
      <c r="F10" s="71"/>
      <c r="G10" s="71"/>
      <c r="H10" s="27"/>
      <c r="I10" s="323" t="s">
        <v>94</v>
      </c>
      <c r="J10" s="324"/>
      <c r="K10" s="324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299" t="s">
        <v>88</v>
      </c>
      <c r="F16" s="299"/>
      <c r="G16" s="31" t="s">
        <v>6</v>
      </c>
      <c r="H16" s="32" t="s">
        <v>48</v>
      </c>
      <c r="J16" s="299" t="s">
        <v>173</v>
      </c>
      <c r="K16" s="299"/>
      <c r="M16" s="27"/>
    </row>
    <row r="17" spans="1:17" ht="24.75">
      <c r="A17" s="325" t="s">
        <v>10</v>
      </c>
      <c r="B17" s="326"/>
      <c r="C17" s="325" t="s">
        <v>84</v>
      </c>
      <c r="D17" s="326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">
      <c r="A18" s="318" t="str">
        <f>IF(Offerteblad!E13=0,"",Offerteblad!E13)</f>
        <v/>
      </c>
      <c r="B18" s="319"/>
      <c r="C18" s="300" t="str">
        <f>IF(Offerteblad!B13=$C$16,"", Offerteblad!B13)</f>
        <v/>
      </c>
      <c r="D18" s="300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8" t="str">
        <f>IF(Offerteblad!E14=0,"",Offerteblad!E14)</f>
        <v/>
      </c>
      <c r="B19" s="319"/>
      <c r="C19" s="300" t="str">
        <f>IF(Offerteblad!B14=$C$16,"", Offerteblad!B14)</f>
        <v/>
      </c>
      <c r="D19" s="300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8" t="str">
        <f>IF(Offerteblad!E15=0,"",Offerteblad!E15)</f>
        <v/>
      </c>
      <c r="B20" s="319"/>
      <c r="C20" s="300" t="str">
        <f>IF(Offerteblad!B15=$C$16,"", Offerteblad!B15)</f>
        <v/>
      </c>
      <c r="D20" s="300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8" t="str">
        <f>IF(Offerteblad!E16=0,"",Offerteblad!E16)</f>
        <v/>
      </c>
      <c r="B21" s="319"/>
      <c r="C21" s="300" t="str">
        <f>IF(Offerteblad!B16=$C$16,"", Offerteblad!B16)</f>
        <v/>
      </c>
      <c r="D21" s="300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8" t="str">
        <f>IF(Offerteblad!E17=0,"",Offerteblad!E17)</f>
        <v/>
      </c>
      <c r="B22" s="319"/>
      <c r="C22" s="300" t="str">
        <f>IF(Offerteblad!B17=$C$16,"", Offerteblad!B17)</f>
        <v/>
      </c>
      <c r="D22" s="300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8" t="str">
        <f>IF(Offerteblad!E18=0,"",Offerteblad!E18)</f>
        <v/>
      </c>
      <c r="B23" s="319"/>
      <c r="C23" s="300" t="str">
        <f>IF(Offerteblad!B18=$C$16,"", Offerteblad!B18)</f>
        <v/>
      </c>
      <c r="D23" s="300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8" t="str">
        <f>IF(Offerteblad!E19=0,"",Offerteblad!E19)</f>
        <v/>
      </c>
      <c r="B24" s="319"/>
      <c r="C24" s="300" t="str">
        <f>IF(Offerteblad!B19=$C$16,"", Offerteblad!B19)</f>
        <v/>
      </c>
      <c r="D24" s="300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8" t="str">
        <f>IF(Offerteblad!E20=0,"",Offerteblad!E20)</f>
        <v/>
      </c>
      <c r="B25" s="319"/>
      <c r="C25" s="300" t="str">
        <f>IF(Offerteblad!B20=$C$16,"", Offerteblad!B20)</f>
        <v/>
      </c>
      <c r="D25" s="300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8" t="str">
        <f>IF(Offerteblad!E21=0,"",Offerteblad!E21)</f>
        <v/>
      </c>
      <c r="B26" s="319"/>
      <c r="C26" s="300" t="str">
        <f>IF(Offerteblad!B21=$C$16,"", Offerteblad!B21)</f>
        <v/>
      </c>
      <c r="D26" s="300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8" t="str">
        <f>IF(Offerteblad!E22=0,"",Offerteblad!E22)</f>
        <v/>
      </c>
      <c r="B27" s="319"/>
      <c r="C27" s="300" t="str">
        <f>IF(Offerteblad!B22=$C$16,"", Offerteblad!B22)</f>
        <v/>
      </c>
      <c r="D27" s="300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8" t="str">
        <f>IF(Offerteblad!E23=0,"",Offerteblad!E23)</f>
        <v/>
      </c>
      <c r="B28" s="319"/>
      <c r="C28" s="300" t="str">
        <f>IF(Offerteblad!B23=$C$16,"", Offerteblad!B23)</f>
        <v/>
      </c>
      <c r="D28" s="300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8" t="str">
        <f>IF(Offerteblad!E24=0,"",Offerteblad!E24)</f>
        <v/>
      </c>
      <c r="B29" s="319"/>
      <c r="C29" s="300" t="str">
        <f>IF(Offerteblad!B24=$C$16,"", Offerteblad!B24)</f>
        <v/>
      </c>
      <c r="D29" s="300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8" t="str">
        <f>IF(Offerteblad!E25=0,"",Offerteblad!E25)</f>
        <v/>
      </c>
      <c r="B30" s="319"/>
      <c r="C30" s="300" t="str">
        <f>IF(Offerteblad!B25=$C$16,"", Offerteblad!B25)</f>
        <v/>
      </c>
      <c r="D30" s="300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8" t="str">
        <f>IF(Offerteblad!E26=0,"",Offerteblad!E26)</f>
        <v/>
      </c>
      <c r="B31" s="319"/>
      <c r="C31" s="300" t="str">
        <f>IF(Offerteblad!B26=$C$16,"", Offerteblad!B26)</f>
        <v/>
      </c>
      <c r="D31" s="300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8" t="str">
        <f>IF(Offerteblad!E27=0,"",Offerteblad!E27)</f>
        <v/>
      </c>
      <c r="B32" s="319"/>
      <c r="C32" s="300" t="str">
        <f>IF(Offerteblad!B27=$C$16,"", Offerteblad!B27)</f>
        <v/>
      </c>
      <c r="D32" s="300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8" t="str">
        <f>IF(Offerteblad!E28=0,"",Offerteblad!E28)</f>
        <v/>
      </c>
      <c r="B33" s="319"/>
      <c r="C33" s="300" t="str">
        <f>IF(Offerteblad!B28=$C$16,"", Offerteblad!B28)</f>
        <v/>
      </c>
      <c r="D33" s="300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8" t="str">
        <f>IF(Offerteblad!E29=0,"",Offerteblad!E29)</f>
        <v/>
      </c>
      <c r="B34" s="319"/>
      <c r="C34" s="300" t="str">
        <f>IF(Offerteblad!B29=$C$16,"", Offerteblad!B29)</f>
        <v/>
      </c>
      <c r="D34" s="300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8" t="str">
        <f>IF(Offerteblad!E30=0,"",Offerteblad!E30)</f>
        <v/>
      </c>
      <c r="B35" s="319"/>
      <c r="C35" s="300" t="str">
        <f>IF(Offerteblad!B30=$C$16,"", Offerteblad!B30)</f>
        <v/>
      </c>
      <c r="D35" s="300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8" t="str">
        <f>IF(Offerteblad!E31=0,"",Offerteblad!E31)</f>
        <v/>
      </c>
      <c r="B36" s="319"/>
      <c r="C36" s="300" t="str">
        <f>IF(Offerteblad!B31=$C$16,"", Offerteblad!B31)</f>
        <v/>
      </c>
      <c r="D36" s="300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33" t="s">
        <v>164</v>
      </c>
      <c r="B37" s="334"/>
      <c r="C37" s="334"/>
      <c r="D37" s="334"/>
      <c r="E37" s="334"/>
      <c r="F37" s="334"/>
      <c r="G37" s="334"/>
      <c r="H37" s="334"/>
      <c r="I37" s="335"/>
      <c r="J37" s="328">
        <f>SUM(J18:J36)+ SUM(K18:K36)</f>
        <v>0</v>
      </c>
      <c r="K37" s="329"/>
    </row>
    <row r="38" spans="1:12">
      <c r="A38" s="312">
        <f>Offerteblad!H35</f>
        <v>0</v>
      </c>
      <c r="B38" s="313"/>
      <c r="C38" s="313"/>
      <c r="D38" s="313"/>
      <c r="E38" s="313"/>
      <c r="F38" s="313"/>
      <c r="G38" s="313"/>
      <c r="H38" s="313"/>
      <c r="I38" s="314"/>
      <c r="J38" s="343">
        <f>Offerteblad!L35</f>
        <v>0</v>
      </c>
      <c r="K38" s="344"/>
    </row>
    <row r="39" spans="1:12">
      <c r="A39" s="345" t="s">
        <v>59</v>
      </c>
      <c r="B39" s="346"/>
      <c r="C39" s="346"/>
      <c r="D39" s="346"/>
      <c r="E39" s="346"/>
      <c r="F39" s="346"/>
      <c r="G39" s="346"/>
      <c r="H39" s="346"/>
      <c r="I39" s="347"/>
      <c r="J39" s="306">
        <f>Offerteblad!L36</f>
        <v>0</v>
      </c>
      <c r="K39" s="306"/>
    </row>
    <row r="40" spans="1:12">
      <c r="A40" s="351" t="s">
        <v>190</v>
      </c>
      <c r="B40" s="352"/>
      <c r="C40" s="352"/>
      <c r="D40" s="352"/>
      <c r="E40" s="352"/>
      <c r="F40" s="352"/>
      <c r="G40" s="352"/>
      <c r="H40" s="352"/>
      <c r="I40" s="353"/>
      <c r="J40" s="354"/>
      <c r="K40" s="355"/>
    </row>
    <row r="41" spans="1:12">
      <c r="A41" s="348" t="str">
        <f>IF(Offerteblad!F37= 0, "",Offerteblad!F37)</f>
        <v/>
      </c>
      <c r="B41" s="348"/>
      <c r="C41" s="303" t="str">
        <f>Offerteblad!H37</f>
        <v xml:space="preserve"> </v>
      </c>
      <c r="D41" s="304"/>
      <c r="E41" s="304"/>
      <c r="F41" s="304"/>
      <c r="G41" s="304"/>
      <c r="H41" s="304"/>
      <c r="I41" s="305"/>
      <c r="J41" s="306" t="str">
        <f>Offerteblad!L37</f>
        <v/>
      </c>
      <c r="K41" s="306"/>
    </row>
    <row r="42" spans="1:12">
      <c r="A42" s="348" t="str">
        <f>IF(Offerteblad!F38= 0, "",Offerteblad!F38)</f>
        <v/>
      </c>
      <c r="B42" s="348"/>
      <c r="C42" s="303" t="str">
        <f>Offerteblad!H38</f>
        <v xml:space="preserve"> </v>
      </c>
      <c r="D42" s="304"/>
      <c r="E42" s="304"/>
      <c r="F42" s="304"/>
      <c r="G42" s="304"/>
      <c r="H42" s="304"/>
      <c r="I42" s="305"/>
      <c r="J42" s="306" t="str">
        <f>Offerteblad!L38</f>
        <v/>
      </c>
      <c r="K42" s="306"/>
    </row>
    <row r="43" spans="1:12">
      <c r="A43" s="348" t="str">
        <f>IF(Offerteblad!F39= 0, "",Offerteblad!F39)</f>
        <v/>
      </c>
      <c r="B43" s="348"/>
      <c r="C43" s="303" t="str">
        <f>Offerteblad!H39</f>
        <v xml:space="preserve"> </v>
      </c>
      <c r="D43" s="304"/>
      <c r="E43" s="304"/>
      <c r="F43" s="304"/>
      <c r="G43" s="304"/>
      <c r="H43" s="304"/>
      <c r="I43" s="305"/>
      <c r="J43" s="306" t="str">
        <f>Offerteblad!L39</f>
        <v/>
      </c>
      <c r="K43" s="306"/>
    </row>
    <row r="44" spans="1:12">
      <c r="A44" s="362" t="str">
        <f>IF(J44="","",IF(J44&gt;0,1,""))</f>
        <v/>
      </c>
      <c r="B44" s="363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07" t="str">
        <f>Offerteblad!L40</f>
        <v/>
      </c>
      <c r="K44" s="308"/>
    </row>
    <row r="45" spans="1:12">
      <c r="A45" s="386"/>
      <c r="B45" s="121"/>
      <c r="C45" s="121"/>
      <c r="D45" s="121"/>
      <c r="E45" s="121"/>
      <c r="F45" s="121"/>
      <c r="G45" s="121"/>
      <c r="J45" s="362"/>
      <c r="K45" s="363"/>
    </row>
    <row r="46" spans="1:12">
      <c r="A46" s="388"/>
      <c r="B46" s="136"/>
      <c r="C46" s="136"/>
      <c r="D46" s="136"/>
      <c r="E46" s="389"/>
      <c r="F46" s="389"/>
      <c r="G46" s="389"/>
      <c r="H46" s="318" t="s">
        <v>304</v>
      </c>
      <c r="I46" s="358"/>
      <c r="J46" s="307" t="str">
        <f>Offerteblad!L43</f>
        <v>€ 18,95</v>
      </c>
      <c r="K46" s="308"/>
    </row>
    <row r="47" spans="1:12">
      <c r="A47" s="390" t="s">
        <v>188</v>
      </c>
      <c r="B47" s="73"/>
      <c r="C47" s="73"/>
      <c r="D47" s="391" t="str">
        <f>IF(Offerteblad!C58='blad 2'!T12, "",Offerteblad!C58)</f>
        <v/>
      </c>
      <c r="E47" s="359" t="str">
        <f>IF(Offerteblad!D58='blad 2'!T19, "", Offerteblad!D58)</f>
        <v>&lt; kies locatie &gt;</v>
      </c>
      <c r="F47" s="360"/>
      <c r="G47" s="361"/>
      <c r="H47" s="367" t="str">
        <f>CONCATENATE("Af: ",Offerteblad!H44)</f>
        <v>Af: Korting</v>
      </c>
      <c r="I47" s="367"/>
      <c r="J47" s="366">
        <f>Offerteblad!L44</f>
        <v>0</v>
      </c>
      <c r="K47" s="366"/>
      <c r="L47" s="43"/>
    </row>
    <row r="48" spans="1:12" ht="15.75">
      <c r="A48" s="320" t="s">
        <v>96</v>
      </c>
      <c r="B48" s="320"/>
      <c r="C48" s="320"/>
      <c r="D48" s="40" t="str">
        <f>IF(Offerteblad!C60="&lt;selecteer&gt;","Nee",Offerteblad!C60)</f>
        <v>Nee</v>
      </c>
      <c r="H48" s="317" t="s">
        <v>63</v>
      </c>
      <c r="I48" s="317"/>
      <c r="J48" s="309">
        <f>Offerteblad!L45</f>
        <v>18.95</v>
      </c>
      <c r="K48" s="309"/>
    </row>
    <row r="49" spans="1:11" ht="15">
      <c r="A49" s="339" t="str">
        <f>IF(Offerteblad!C61=0,"",Offerteblad!C61)</f>
        <v/>
      </c>
      <c r="B49" s="340"/>
      <c r="C49" s="340"/>
      <c r="D49" s="340"/>
      <c r="E49" s="340"/>
      <c r="F49" s="341"/>
      <c r="H49" s="301" t="s">
        <v>92</v>
      </c>
      <c r="I49" s="302"/>
      <c r="J49" s="310">
        <f>Offerteblad!L46</f>
        <v>3.9794999999999998</v>
      </c>
      <c r="K49" s="310"/>
    </row>
    <row r="50" spans="1:11" ht="15.75">
      <c r="A50" s="336" t="str">
        <f>IF(Offerteblad!C62=0,"",Offerteblad!C62)</f>
        <v/>
      </c>
      <c r="B50" s="337"/>
      <c r="C50" s="337"/>
      <c r="D50" s="337"/>
      <c r="E50" s="337"/>
      <c r="F50" s="338"/>
      <c r="H50" s="332" t="s">
        <v>31</v>
      </c>
      <c r="I50" s="332"/>
      <c r="J50" s="342">
        <f>Offerteblad!L47</f>
        <v>22.929499999999997</v>
      </c>
      <c r="K50" s="342"/>
    </row>
    <row r="51" spans="1:11" ht="15.75" customHeight="1">
      <c r="A51" s="336" t="str">
        <f>IF(Offerteblad!C63=0,"",Offerteblad!C63)</f>
        <v/>
      </c>
      <c r="B51" s="337"/>
      <c r="C51" s="337" t="str">
        <f>IF(Offerteblad!C64=0,"",Offerteblad!C64)</f>
        <v/>
      </c>
      <c r="D51" s="337"/>
      <c r="E51" s="337"/>
      <c r="F51" s="338"/>
      <c r="H51" s="148"/>
      <c r="I51" s="365"/>
      <c r="J51" s="365"/>
      <c r="K51" s="365"/>
    </row>
    <row r="52" spans="1:11" ht="15">
      <c r="A52" s="109" t="s">
        <v>97</v>
      </c>
      <c r="B52" s="330" t="str">
        <f>IF(Offerteblad!C66=0, "",Offerteblad!C66)</f>
        <v/>
      </c>
      <c r="C52" s="330"/>
      <c r="D52" s="330"/>
      <c r="E52" s="330"/>
      <c r="F52" s="331"/>
      <c r="G52" s="118"/>
      <c r="H52" s="118"/>
      <c r="I52" s="118"/>
      <c r="J52" s="118"/>
      <c r="K52" s="118"/>
    </row>
    <row r="53" spans="1:11" ht="48" customHeight="1">
      <c r="A53" s="364"/>
      <c r="B53" s="364"/>
      <c r="C53" s="364"/>
      <c r="D53" s="364"/>
      <c r="E53" s="364"/>
      <c r="F53" s="364"/>
      <c r="G53" s="364"/>
      <c r="H53" s="364"/>
      <c r="I53" s="364"/>
      <c r="J53" s="364"/>
      <c r="K53" s="364"/>
    </row>
    <row r="54" spans="1:11" ht="15">
      <c r="A54" s="41" t="s">
        <v>91</v>
      </c>
    </row>
    <row r="55" spans="1:11" ht="15">
      <c r="A55" s="125" t="s">
        <v>189</v>
      </c>
    </row>
    <row r="56" spans="1:11" ht="15">
      <c r="A56" s="42"/>
    </row>
  </sheetData>
  <sheetProtection password="E729" sheet="1" objects="1" scenarios="1" selectLockedCells="1" selectUnlockedCells="1"/>
  <mergeCells count="87">
    <mergeCell ref="H50:I50"/>
    <mergeCell ref="H46:I46"/>
    <mergeCell ref="J45:K45"/>
    <mergeCell ref="H47:I47"/>
    <mergeCell ref="C42:I42"/>
    <mergeCell ref="C43:I43"/>
    <mergeCell ref="C35:D35"/>
    <mergeCell ref="H49:I49"/>
    <mergeCell ref="C51:F51"/>
    <mergeCell ref="A50:F50"/>
    <mergeCell ref="A48:C48"/>
    <mergeCell ref="A49:F49"/>
    <mergeCell ref="A33:B33"/>
    <mergeCell ref="A23:B23"/>
    <mergeCell ref="J50:K50"/>
    <mergeCell ref="J46:K46"/>
    <mergeCell ref="J47:K47"/>
    <mergeCell ref="J48:K48"/>
    <mergeCell ref="J49:K49"/>
    <mergeCell ref="J38:K38"/>
    <mergeCell ref="A35:B35"/>
    <mergeCell ref="A34:B34"/>
    <mergeCell ref="J39:K39"/>
    <mergeCell ref="C26:D26"/>
    <mergeCell ref="C31:D31"/>
    <mergeCell ref="A38:I38"/>
    <mergeCell ref="C23:D23"/>
    <mergeCell ref="A43:B43"/>
    <mergeCell ref="A36:B36"/>
    <mergeCell ref="I10:K10"/>
    <mergeCell ref="A17:B17"/>
    <mergeCell ref="A22:B22"/>
    <mergeCell ref="A18:B18"/>
    <mergeCell ref="A19:B19"/>
    <mergeCell ref="A20:B20"/>
    <mergeCell ref="A21:B21"/>
    <mergeCell ref="C22:D22"/>
    <mergeCell ref="J16:K16"/>
    <mergeCell ref="C18:D18"/>
    <mergeCell ref="E16:F16"/>
    <mergeCell ref="C17:D17"/>
    <mergeCell ref="C19:D19"/>
    <mergeCell ref="C20:D20"/>
    <mergeCell ref="C21:D21"/>
    <mergeCell ref="I5:K5"/>
    <mergeCell ref="I6:K6"/>
    <mergeCell ref="I7:K7"/>
    <mergeCell ref="I8:K8"/>
    <mergeCell ref="I9:K9"/>
    <mergeCell ref="J37:K37"/>
    <mergeCell ref="A28:B28"/>
    <mergeCell ref="A29:B29"/>
    <mergeCell ref="A26:B26"/>
    <mergeCell ref="J41:K41"/>
    <mergeCell ref="A27:B27"/>
    <mergeCell ref="A39:I39"/>
    <mergeCell ref="C33:D33"/>
    <mergeCell ref="C36:D36"/>
    <mergeCell ref="C24:D24"/>
    <mergeCell ref="C32:D32"/>
    <mergeCell ref="C34:D34"/>
    <mergeCell ref="A37:I37"/>
    <mergeCell ref="C29:D29"/>
    <mergeCell ref="A31:B31"/>
    <mergeCell ref="A30:B30"/>
    <mergeCell ref="C30:D30"/>
    <mergeCell ref="A32:B32"/>
    <mergeCell ref="C25:D25"/>
    <mergeCell ref="A24:B24"/>
    <mergeCell ref="A25:B25"/>
    <mergeCell ref="C27:D27"/>
    <mergeCell ref="C28:D28"/>
    <mergeCell ref="A53:K53"/>
    <mergeCell ref="A40:I40"/>
    <mergeCell ref="J40:K40"/>
    <mergeCell ref="E47:G47"/>
    <mergeCell ref="A44:B44"/>
    <mergeCell ref="I51:K51"/>
    <mergeCell ref="A41:B41"/>
    <mergeCell ref="A42:B42"/>
    <mergeCell ref="H48:I48"/>
    <mergeCell ref="J42:K42"/>
    <mergeCell ref="J43:K43"/>
    <mergeCell ref="B52:F52"/>
    <mergeCell ref="J44:K44"/>
    <mergeCell ref="C41:I41"/>
    <mergeCell ref="A51:B51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6"/>
  <sheetViews>
    <sheetView topLeftCell="A28" workbookViewId="0">
      <selection activeCell="A53" sqref="A53:K53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196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197</v>
      </c>
      <c r="B3" s="46"/>
      <c r="C3" s="46"/>
      <c r="D3" s="141">
        <f ca="1">TODAY()</f>
        <v>41509</v>
      </c>
    </row>
    <row r="4" spans="1:13">
      <c r="A4" s="46" t="s">
        <v>99</v>
      </c>
      <c r="B4" s="47"/>
      <c r="C4" s="47"/>
      <c r="D4" s="142">
        <f>Offerteblad!L11</f>
        <v>0</v>
      </c>
    </row>
    <row r="5" spans="1:13">
      <c r="A5" s="45"/>
      <c r="B5" s="47"/>
      <c r="C5" s="47"/>
      <c r="D5" s="141"/>
      <c r="I5" s="320" t="str">
        <f>offerte!I5</f>
        <v>Glasdiscount.nl</v>
      </c>
      <c r="J5" s="320"/>
      <c r="K5" s="320"/>
    </row>
    <row r="6" spans="1:13" ht="15.75">
      <c r="D6" s="143"/>
      <c r="H6" s="26"/>
      <c r="I6" s="320" t="str">
        <f>offerte!I6</f>
        <v>Voorsterweg 20</v>
      </c>
      <c r="J6" s="320"/>
      <c r="K6" s="320"/>
    </row>
    <row r="7" spans="1:13" ht="15">
      <c r="F7" s="87"/>
      <c r="G7" s="87"/>
      <c r="H7" s="27"/>
      <c r="I7" s="320" t="str">
        <f>offerte!I7</f>
        <v>7371 GC Loenen Gld.</v>
      </c>
      <c r="J7" s="320"/>
      <c r="K7" s="320"/>
    </row>
    <row r="8" spans="1:13" ht="15">
      <c r="C8" s="87" t="s">
        <v>82</v>
      </c>
      <c r="D8" s="87"/>
      <c r="E8" s="87"/>
      <c r="F8" s="87"/>
      <c r="G8" s="87"/>
      <c r="H8" s="27"/>
      <c r="I8" s="320" t="str">
        <f>offerte!I8</f>
        <v>KvK: 08062381</v>
      </c>
      <c r="J8" s="320"/>
      <c r="K8" s="320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22" t="s">
        <v>93</v>
      </c>
      <c r="J9" s="322"/>
      <c r="K9" s="322"/>
    </row>
    <row r="10" spans="1:13" ht="15">
      <c r="C10" s="71" t="str">
        <f>IF(Offerteblad!C50="", "",Offerteblad!C50)</f>
        <v/>
      </c>
      <c r="D10" s="71"/>
      <c r="E10" s="87"/>
      <c r="F10" s="71"/>
      <c r="G10" s="71"/>
      <c r="H10" s="27"/>
      <c r="I10" s="368" t="s">
        <v>218</v>
      </c>
      <c r="J10" s="368"/>
      <c r="K10" s="368"/>
    </row>
    <row r="11" spans="1:13" ht="15">
      <c r="C11" s="71" t="str">
        <f>IF(Offerteblad!C51="", "",Offerteblad!C51)</f>
        <v/>
      </c>
      <c r="D11" s="71" t="str">
        <f>IF(Offerteblad!C52="", "",Offerteblad!C52)</f>
        <v/>
      </c>
      <c r="E11" s="71"/>
      <c r="F11" s="28"/>
      <c r="G11" s="28"/>
      <c r="H11" s="27"/>
      <c r="I11" s="368" t="s">
        <v>217</v>
      </c>
      <c r="J11" s="368"/>
      <c r="K11" s="368"/>
    </row>
    <row r="12" spans="1:13" ht="15">
      <c r="C12" s="68"/>
      <c r="F12" s="28"/>
      <c r="G12" s="28"/>
      <c r="I12" s="323" t="s">
        <v>94</v>
      </c>
      <c r="J12" s="324"/>
      <c r="K12" s="324"/>
      <c r="M12" s="27"/>
    </row>
    <row r="13" spans="1:13" ht="15">
      <c r="C13" s="128" t="s">
        <v>198</v>
      </c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299" t="s">
        <v>88</v>
      </c>
      <c r="F16" s="299"/>
      <c r="G16" s="31" t="s">
        <v>6</v>
      </c>
      <c r="H16" s="32" t="s">
        <v>48</v>
      </c>
      <c r="J16" s="299" t="s">
        <v>173</v>
      </c>
      <c r="K16" s="299"/>
      <c r="M16" s="27"/>
    </row>
    <row r="17" spans="1:17" ht="24.75">
      <c r="A17" s="325" t="s">
        <v>10</v>
      </c>
      <c r="B17" s="326"/>
      <c r="C17" s="325" t="s">
        <v>84</v>
      </c>
      <c r="D17" s="326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">
      <c r="A18" s="318" t="str">
        <f>IF(Offerteblad!E13=0,"",Offerteblad!E13)</f>
        <v/>
      </c>
      <c r="B18" s="319"/>
      <c r="C18" s="300" t="str">
        <f>IF(Offerteblad!B13=$C$16,"", Offerteblad!B13)</f>
        <v/>
      </c>
      <c r="D18" s="300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8" t="str">
        <f>IF(Offerteblad!E14=0,"",Offerteblad!E14)</f>
        <v/>
      </c>
      <c r="B19" s="319"/>
      <c r="C19" s="300" t="str">
        <f>IF(Offerteblad!B14=$C$16,"", Offerteblad!B14)</f>
        <v/>
      </c>
      <c r="D19" s="300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8" t="str">
        <f>IF(Offerteblad!E15=0,"",Offerteblad!E15)</f>
        <v/>
      </c>
      <c r="B20" s="319"/>
      <c r="C20" s="300" t="str">
        <f>IF(Offerteblad!B15=$C$16,"", Offerteblad!B15)</f>
        <v/>
      </c>
      <c r="D20" s="300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8" t="str">
        <f>IF(Offerteblad!E16=0,"",Offerteblad!E16)</f>
        <v/>
      </c>
      <c r="B21" s="319"/>
      <c r="C21" s="300" t="str">
        <f>IF(Offerteblad!B16=$C$16,"", Offerteblad!B16)</f>
        <v/>
      </c>
      <c r="D21" s="300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8" t="str">
        <f>IF(Offerteblad!E17=0,"",Offerteblad!E17)</f>
        <v/>
      </c>
      <c r="B22" s="319"/>
      <c r="C22" s="300" t="str">
        <f>IF(Offerteblad!B17=$C$16,"", Offerteblad!B17)</f>
        <v/>
      </c>
      <c r="D22" s="300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8" t="str">
        <f>IF(Offerteblad!E18=0,"",Offerteblad!E18)</f>
        <v/>
      </c>
      <c r="B23" s="319"/>
      <c r="C23" s="300" t="str">
        <f>IF(Offerteblad!B18=$C$16,"", Offerteblad!B18)</f>
        <v/>
      </c>
      <c r="D23" s="300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8" t="str">
        <f>IF(Offerteblad!E19=0,"",Offerteblad!E19)</f>
        <v/>
      </c>
      <c r="B24" s="319"/>
      <c r="C24" s="300" t="str">
        <f>IF(Offerteblad!B19=$C$16,"", Offerteblad!B19)</f>
        <v/>
      </c>
      <c r="D24" s="300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8" t="str">
        <f>IF(Offerteblad!E20=0,"",Offerteblad!E20)</f>
        <v/>
      </c>
      <c r="B25" s="319"/>
      <c r="C25" s="300" t="str">
        <f>IF(Offerteblad!B20=$C$16,"", Offerteblad!B20)</f>
        <v/>
      </c>
      <c r="D25" s="300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8" t="str">
        <f>IF(Offerteblad!E21=0,"",Offerteblad!E21)</f>
        <v/>
      </c>
      <c r="B26" s="319"/>
      <c r="C26" s="300" t="str">
        <f>IF(Offerteblad!B21=$C$16,"", Offerteblad!B21)</f>
        <v/>
      </c>
      <c r="D26" s="300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8" t="str">
        <f>IF(Offerteblad!E22=0,"",Offerteblad!E22)</f>
        <v/>
      </c>
      <c r="B27" s="319"/>
      <c r="C27" s="300" t="str">
        <f>IF(Offerteblad!B22=$C$16,"", Offerteblad!B22)</f>
        <v/>
      </c>
      <c r="D27" s="300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8" t="str">
        <f>IF(Offerteblad!E23=0,"",Offerteblad!E23)</f>
        <v/>
      </c>
      <c r="B28" s="319"/>
      <c r="C28" s="300" t="str">
        <f>IF(Offerteblad!B23=$C$16,"", Offerteblad!B23)</f>
        <v/>
      </c>
      <c r="D28" s="300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8" t="str">
        <f>IF(Offerteblad!E24=0,"",Offerteblad!E24)</f>
        <v/>
      </c>
      <c r="B29" s="319"/>
      <c r="C29" s="300" t="str">
        <f>IF(Offerteblad!B24=$C$16,"", Offerteblad!B24)</f>
        <v/>
      </c>
      <c r="D29" s="300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8" t="str">
        <f>IF(Offerteblad!E25=0,"",Offerteblad!E25)</f>
        <v/>
      </c>
      <c r="B30" s="319"/>
      <c r="C30" s="300" t="str">
        <f>IF(Offerteblad!B25=$C$16,"", Offerteblad!B25)</f>
        <v/>
      </c>
      <c r="D30" s="300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8" t="str">
        <f>IF(Offerteblad!E26=0,"",Offerteblad!E26)</f>
        <v/>
      </c>
      <c r="B31" s="319"/>
      <c r="C31" s="300" t="str">
        <f>IF(Offerteblad!B26=$C$16,"", Offerteblad!B26)</f>
        <v/>
      </c>
      <c r="D31" s="300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8" t="str">
        <f>IF(Offerteblad!E27=0,"",Offerteblad!E27)</f>
        <v/>
      </c>
      <c r="B32" s="319"/>
      <c r="C32" s="300" t="str">
        <f>IF(Offerteblad!B27=$C$16,"", Offerteblad!B27)</f>
        <v/>
      </c>
      <c r="D32" s="300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8" t="str">
        <f>IF(Offerteblad!E28=0,"",Offerteblad!E28)</f>
        <v/>
      </c>
      <c r="B33" s="319"/>
      <c r="C33" s="300" t="str">
        <f>IF(Offerteblad!B28=$C$16,"", Offerteblad!B28)</f>
        <v/>
      </c>
      <c r="D33" s="300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8" t="str">
        <f>IF(Offerteblad!E29=0,"",Offerteblad!E29)</f>
        <v/>
      </c>
      <c r="B34" s="319"/>
      <c r="C34" s="300" t="str">
        <f>IF(Offerteblad!B29=$C$16,"", Offerteblad!B29)</f>
        <v/>
      </c>
      <c r="D34" s="300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8" t="str">
        <f>IF(Offerteblad!E30=0,"",Offerteblad!E30)</f>
        <v/>
      </c>
      <c r="B35" s="319"/>
      <c r="C35" s="300" t="str">
        <f>IF(Offerteblad!B30=$C$16,"", Offerteblad!B30)</f>
        <v/>
      </c>
      <c r="D35" s="300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8" t="str">
        <f>IF(Offerteblad!E31=0,"",Offerteblad!E31)</f>
        <v/>
      </c>
      <c r="B36" s="319"/>
      <c r="C36" s="300" t="str">
        <f>IF(Offerteblad!B31=$C$16,"", Offerteblad!B31)</f>
        <v/>
      </c>
      <c r="D36" s="300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33" t="s">
        <v>164</v>
      </c>
      <c r="B37" s="334"/>
      <c r="C37" s="334"/>
      <c r="D37" s="334"/>
      <c r="E37" s="334"/>
      <c r="F37" s="334"/>
      <c r="G37" s="334"/>
      <c r="H37" s="334"/>
      <c r="I37" s="335"/>
      <c r="J37" s="328">
        <f>SUM(J18:J36)+ SUM(K18:K36)</f>
        <v>0</v>
      </c>
      <c r="K37" s="329"/>
    </row>
    <row r="38" spans="1:12">
      <c r="A38" s="312">
        <f>Offerteblad!H35</f>
        <v>0</v>
      </c>
      <c r="B38" s="313"/>
      <c r="C38" s="313"/>
      <c r="D38" s="313"/>
      <c r="E38" s="313"/>
      <c r="F38" s="313"/>
      <c r="G38" s="313"/>
      <c r="H38" s="313"/>
      <c r="I38" s="314"/>
      <c r="J38" s="343">
        <f>Offerteblad!L35</f>
        <v>0</v>
      </c>
      <c r="K38" s="344"/>
    </row>
    <row r="39" spans="1:12">
      <c r="A39" s="345" t="s">
        <v>59</v>
      </c>
      <c r="B39" s="346"/>
      <c r="C39" s="346"/>
      <c r="D39" s="346"/>
      <c r="E39" s="346"/>
      <c r="F39" s="346"/>
      <c r="G39" s="346"/>
      <c r="H39" s="346"/>
      <c r="I39" s="347"/>
      <c r="J39" s="306">
        <f>Offerteblad!L36</f>
        <v>0</v>
      </c>
      <c r="K39" s="306"/>
    </row>
    <row r="40" spans="1:12">
      <c r="A40" s="351" t="s">
        <v>190</v>
      </c>
      <c r="B40" s="352"/>
      <c r="C40" s="352"/>
      <c r="D40" s="352"/>
      <c r="E40" s="352"/>
      <c r="F40" s="352"/>
      <c r="G40" s="352"/>
      <c r="H40" s="352"/>
      <c r="I40" s="353"/>
      <c r="J40" s="354"/>
      <c r="K40" s="355"/>
    </row>
    <row r="41" spans="1:12">
      <c r="A41" s="348" t="str">
        <f>IF(Offerteblad!$F$40='blad 1'!A3, "", IF(Offerteblad!F37= 0, "",Offerteblad!F37))</f>
        <v/>
      </c>
      <c r="B41" s="348"/>
      <c r="C41" s="303" t="str">
        <f>Offerteblad!H37</f>
        <v xml:space="preserve"> </v>
      </c>
      <c r="D41" s="304"/>
      <c r="E41" s="304"/>
      <c r="F41" s="304"/>
      <c r="G41" s="304"/>
      <c r="H41" s="304"/>
      <c r="I41" s="305"/>
      <c r="J41" s="306" t="str">
        <f>Offerteblad!L37</f>
        <v/>
      </c>
      <c r="K41" s="306"/>
    </row>
    <row r="42" spans="1:12">
      <c r="A42" s="348" t="str">
        <f>IF(Offerteblad!$F$40='blad 1'!A4, "", IF(Offerteblad!F38= 0, "",Offerteblad!F38))</f>
        <v/>
      </c>
      <c r="B42" s="348"/>
      <c r="C42" s="303" t="str">
        <f>Offerteblad!H38</f>
        <v xml:space="preserve"> </v>
      </c>
      <c r="D42" s="304"/>
      <c r="E42" s="304"/>
      <c r="F42" s="304"/>
      <c r="G42" s="304"/>
      <c r="H42" s="304"/>
      <c r="I42" s="305"/>
      <c r="J42" s="306" t="str">
        <f>Offerteblad!L38</f>
        <v/>
      </c>
      <c r="K42" s="306"/>
    </row>
    <row r="43" spans="1:12">
      <c r="A43" s="348" t="str">
        <f>IF(Offerteblad!$F$40='blad 1'!A5, "", IF(Offerteblad!F39= 0, "",Offerteblad!F39))</f>
        <v/>
      </c>
      <c r="B43" s="348"/>
      <c r="C43" s="303" t="str">
        <f>Offerteblad!H39</f>
        <v xml:space="preserve"> </v>
      </c>
      <c r="D43" s="304"/>
      <c r="E43" s="304"/>
      <c r="F43" s="304"/>
      <c r="G43" s="304"/>
      <c r="H43" s="304"/>
      <c r="I43" s="305"/>
      <c r="J43" s="306" t="str">
        <f>Offerteblad!L39</f>
        <v/>
      </c>
      <c r="K43" s="306"/>
    </row>
    <row r="44" spans="1:12">
      <c r="A44" s="362" t="str">
        <f>IF(J44="","",IF(J44&gt;0,1,""))</f>
        <v/>
      </c>
      <c r="B44" s="363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07" t="str">
        <f>Offerteblad!L40</f>
        <v/>
      </c>
      <c r="K44" s="308"/>
    </row>
    <row r="45" spans="1:12">
      <c r="A45" s="356"/>
      <c r="B45" s="357"/>
      <c r="C45" s="357"/>
      <c r="D45" s="357"/>
      <c r="E45" s="357"/>
      <c r="F45" s="357"/>
      <c r="G45" s="357"/>
      <c r="H45" s="357"/>
      <c r="I45" s="358"/>
      <c r="J45" s="306"/>
      <c r="K45" s="306"/>
    </row>
    <row r="46" spans="1:12">
      <c r="A46" s="392"/>
      <c r="B46" s="392"/>
      <c r="C46" s="392"/>
      <c r="D46" s="392"/>
      <c r="E46" s="393"/>
      <c r="F46" s="393"/>
      <c r="G46" s="393"/>
      <c r="H46" s="387" t="s">
        <v>304</v>
      </c>
      <c r="I46" s="358"/>
      <c r="J46" s="307" t="str">
        <f>Offerteblad!L43</f>
        <v>€ 18,95</v>
      </c>
      <c r="K46" s="308"/>
    </row>
    <row r="47" spans="1:12">
      <c r="A47" s="390" t="s">
        <v>188</v>
      </c>
      <c r="B47" s="73"/>
      <c r="C47" s="73"/>
      <c r="D47" s="391" t="str">
        <f>IF(Offerteblad!C58='blad 2'!T12, "",Offerteblad!C58)</f>
        <v/>
      </c>
      <c r="E47" s="359" t="str">
        <f>IF(Offerteblad!D58='blad 2'!T19, "", Offerteblad!D58)</f>
        <v>&lt; kies locatie &gt;</v>
      </c>
      <c r="F47" s="360"/>
      <c r="G47" s="361"/>
      <c r="H47" s="367" t="str">
        <f>CONCATENATE("Af: ",Offerteblad!H44)</f>
        <v>Af: Korting</v>
      </c>
      <c r="I47" s="367"/>
      <c r="J47" s="394">
        <f>Offerteblad!L44</f>
        <v>0</v>
      </c>
      <c r="K47" s="395"/>
      <c r="L47" s="43"/>
    </row>
    <row r="48" spans="1:12" ht="15.75">
      <c r="A48" s="320" t="s">
        <v>96</v>
      </c>
      <c r="B48" s="320"/>
      <c r="C48" s="320"/>
      <c r="D48" s="40" t="str">
        <f>IF(Offerteblad!C60="&lt;selecteer&gt;","Nee",Offerteblad!C60)</f>
        <v>Nee</v>
      </c>
      <c r="H48" s="317" t="s">
        <v>63</v>
      </c>
      <c r="I48" s="317"/>
      <c r="J48" s="309">
        <f>Offerteblad!L45</f>
        <v>18.95</v>
      </c>
      <c r="K48" s="309"/>
    </row>
    <row r="49" spans="1:11" ht="15">
      <c r="A49" s="339" t="str">
        <f>IF(Offerteblad!C61=0,"",Offerteblad!C61)</f>
        <v/>
      </c>
      <c r="B49" s="340"/>
      <c r="C49" s="340"/>
      <c r="D49" s="340"/>
      <c r="E49" s="340"/>
      <c r="F49" s="341"/>
      <c r="H49" s="301" t="s">
        <v>92</v>
      </c>
      <c r="I49" s="302"/>
      <c r="J49" s="310">
        <f>Offerteblad!L46</f>
        <v>3.9794999999999998</v>
      </c>
      <c r="K49" s="310"/>
    </row>
    <row r="50" spans="1:11" ht="15.75">
      <c r="A50" s="336" t="str">
        <f>IF(Offerteblad!C62=0,"",Offerteblad!C62)</f>
        <v/>
      </c>
      <c r="B50" s="337"/>
      <c r="C50" s="337"/>
      <c r="D50" s="337"/>
      <c r="E50" s="337"/>
      <c r="F50" s="338"/>
      <c r="H50" s="332" t="s">
        <v>31</v>
      </c>
      <c r="I50" s="332"/>
      <c r="J50" s="342">
        <f>Offerteblad!L47</f>
        <v>22.929499999999997</v>
      </c>
      <c r="K50" s="342"/>
    </row>
    <row r="51" spans="1:11" ht="15.75" customHeight="1">
      <c r="A51" s="336" t="str">
        <f>IF(Offerteblad!C63=0,"",Offerteblad!C63)</f>
        <v/>
      </c>
      <c r="B51" s="337"/>
      <c r="C51" s="337" t="str">
        <f>IF(Offerteblad!C64=0,"",Offerteblad!C64)</f>
        <v/>
      </c>
      <c r="D51" s="337"/>
      <c r="E51" s="337"/>
      <c r="F51" s="338"/>
      <c r="H51" s="148"/>
      <c r="I51" s="365"/>
      <c r="J51" s="365"/>
      <c r="K51" s="365"/>
    </row>
    <row r="52" spans="1:11" ht="15">
      <c r="A52" s="109" t="s">
        <v>97</v>
      </c>
      <c r="B52" s="330" t="str">
        <f>IF(Offerteblad!C66=0, "",Offerteblad!C66)</f>
        <v/>
      </c>
      <c r="C52" s="330"/>
      <c r="D52" s="330"/>
      <c r="E52" s="330"/>
      <c r="F52" s="331"/>
      <c r="G52" s="118"/>
      <c r="H52" s="118"/>
      <c r="I52" s="118"/>
      <c r="J52" s="118"/>
      <c r="K52" s="118"/>
    </row>
    <row r="53" spans="1:11" ht="48.75" customHeight="1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</row>
    <row r="54" spans="1:11" ht="15">
      <c r="A54" s="144" t="s">
        <v>91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</row>
    <row r="55" spans="1:11" ht="15">
      <c r="A55" s="146" t="s">
        <v>189</v>
      </c>
      <c r="B55" s="145"/>
      <c r="C55" s="145"/>
      <c r="D55" s="145"/>
      <c r="E55" s="145"/>
      <c r="F55" s="145"/>
      <c r="G55" s="145"/>
      <c r="H55" s="145"/>
      <c r="I55" s="145"/>
      <c r="J55" s="145"/>
      <c r="K55" s="145"/>
    </row>
    <row r="56" spans="1:11" ht="15">
      <c r="A56" s="42"/>
    </row>
  </sheetData>
  <sheetProtection password="E729" sheet="1" objects="1" scenarios="1" selectLockedCells="1"/>
  <mergeCells count="90">
    <mergeCell ref="J46:K46"/>
    <mergeCell ref="H46:I46"/>
    <mergeCell ref="A53:K53"/>
    <mergeCell ref="A40:I40"/>
    <mergeCell ref="J40:K40"/>
    <mergeCell ref="A45:I45"/>
    <mergeCell ref="E47:G47"/>
    <mergeCell ref="A44:B44"/>
    <mergeCell ref="B52:F52"/>
    <mergeCell ref="I51:K51"/>
    <mergeCell ref="J42:K42"/>
    <mergeCell ref="J43:K43"/>
    <mergeCell ref="J44:K44"/>
    <mergeCell ref="C42:I42"/>
    <mergeCell ref="C43:I43"/>
    <mergeCell ref="H50:I50"/>
    <mergeCell ref="H47:I47"/>
    <mergeCell ref="A43:B43"/>
    <mergeCell ref="A24:B24"/>
    <mergeCell ref="A25:B25"/>
    <mergeCell ref="C31:D31"/>
    <mergeCell ref="A19:B19"/>
    <mergeCell ref="A20:B20"/>
    <mergeCell ref="A21:B21"/>
    <mergeCell ref="A30:B30"/>
    <mergeCell ref="C24:D24"/>
    <mergeCell ref="A34:B34"/>
    <mergeCell ref="C35:D35"/>
    <mergeCell ref="C30:D30"/>
    <mergeCell ref="A31:B31"/>
    <mergeCell ref="C32:D32"/>
    <mergeCell ref="J37:K37"/>
    <mergeCell ref="C18:D18"/>
    <mergeCell ref="A37:I37"/>
    <mergeCell ref="A35:B35"/>
    <mergeCell ref="A36:B36"/>
    <mergeCell ref="C22:D22"/>
    <mergeCell ref="C23:D23"/>
    <mergeCell ref="C25:D25"/>
    <mergeCell ref="A22:B22"/>
    <mergeCell ref="A26:B26"/>
    <mergeCell ref="A27:B27"/>
    <mergeCell ref="A33:B33"/>
    <mergeCell ref="C33:D33"/>
    <mergeCell ref="C34:D34"/>
    <mergeCell ref="A32:B32"/>
    <mergeCell ref="A28:B28"/>
    <mergeCell ref="H48:I48"/>
    <mergeCell ref="A41:B41"/>
    <mergeCell ref="A42:B42"/>
    <mergeCell ref="C36:D36"/>
    <mergeCell ref="A38:I38"/>
    <mergeCell ref="A39:I39"/>
    <mergeCell ref="A29:B29"/>
    <mergeCell ref="I5:K5"/>
    <mergeCell ref="I6:K6"/>
    <mergeCell ref="I7:K7"/>
    <mergeCell ref="I8:K8"/>
    <mergeCell ref="C21:D21"/>
    <mergeCell ref="I9:K9"/>
    <mergeCell ref="I10:K10"/>
    <mergeCell ref="C19:D19"/>
    <mergeCell ref="C20:D20"/>
    <mergeCell ref="E16:F16"/>
    <mergeCell ref="C17:D17"/>
    <mergeCell ref="J16:K16"/>
    <mergeCell ref="A17:B17"/>
    <mergeCell ref="A18:B18"/>
    <mergeCell ref="A23:B23"/>
    <mergeCell ref="A51:B51"/>
    <mergeCell ref="C51:F51"/>
    <mergeCell ref="A50:F50"/>
    <mergeCell ref="A48:C48"/>
    <mergeCell ref="A49:F49"/>
    <mergeCell ref="J50:K50"/>
    <mergeCell ref="J45:K45"/>
    <mergeCell ref="I12:K12"/>
    <mergeCell ref="I11:K11"/>
    <mergeCell ref="J47:K47"/>
    <mergeCell ref="J48:K48"/>
    <mergeCell ref="J49:K49"/>
    <mergeCell ref="H49:I49"/>
    <mergeCell ref="C41:I41"/>
    <mergeCell ref="J41:K41"/>
    <mergeCell ref="J38:K38"/>
    <mergeCell ref="J39:K39"/>
    <mergeCell ref="C26:D26"/>
    <mergeCell ref="C27:D27"/>
    <mergeCell ref="C28:D28"/>
    <mergeCell ref="C29:D29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9" orientation="portrait" horizontalDpi="4294967293" verticalDpi="300"/>
  <headerFooter alignWithMargins="0">
    <oddFooter>&amp;CBTW-nr: NL8153.29.635.B01</oddFooter>
  </headerFooter>
  <ignoredErrors>
    <ignoredError sqref="D3:D4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150"/>
  </cols>
  <sheetData>
    <row r="1" spans="1:14">
      <c r="A1" s="149" t="s">
        <v>215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>
      <c r="A3" s="149" t="s">
        <v>43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4">
      <c r="A4" s="149" t="s">
        <v>216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topLeftCell="A7" workbookViewId="0">
      <selection activeCell="M14" sqref="M14:M15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9.42578125" style="22" customWidth="1"/>
    <col min="14" max="14" width="17" style="22" customWidth="1"/>
    <col min="15" max="17" width="9.140625" style="22" hidden="1" customWidth="1"/>
    <col min="18" max="16384" width="9.140625" style="22"/>
  </cols>
  <sheetData>
    <row r="1" spans="1:13" ht="18">
      <c r="A1" s="36" t="s">
        <v>129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41509</v>
      </c>
    </row>
    <row r="5" spans="1:13">
      <c r="A5" s="45" t="s">
        <v>99</v>
      </c>
      <c r="B5" s="47"/>
      <c r="C5" s="47"/>
      <c r="D5" s="70">
        <f>Offerteblad!L11</f>
        <v>0</v>
      </c>
      <c r="I5" s="320" t="str">
        <f>offerte!I6</f>
        <v>Voorsterweg 20</v>
      </c>
      <c r="J5" s="320"/>
      <c r="K5" s="320"/>
    </row>
    <row r="6" spans="1:13" ht="15.75">
      <c r="H6" s="26"/>
      <c r="I6" s="320" t="str">
        <f>offerte!I7</f>
        <v>7371 GC Loenen Gld.</v>
      </c>
      <c r="J6" s="320"/>
      <c r="K6" s="320"/>
    </row>
    <row r="7" spans="1:13" ht="15">
      <c r="A7" s="22" t="s">
        <v>128</v>
      </c>
      <c r="D7" s="88" t="str">
        <f>IF(Offerteblad!C57="", "zsm",Offerteblad!C57)</f>
        <v>zsm</v>
      </c>
      <c r="H7" s="27"/>
      <c r="I7" s="321" t="s">
        <v>239</v>
      </c>
      <c r="J7" s="322"/>
      <c r="K7" s="322"/>
    </row>
    <row r="8" spans="1:13" ht="15">
      <c r="H8" s="27"/>
      <c r="I8" s="321" t="s">
        <v>200</v>
      </c>
      <c r="J8" s="322"/>
      <c r="K8" s="322"/>
    </row>
    <row r="9" spans="1:13" ht="15">
      <c r="A9" s="22" t="s">
        <v>95</v>
      </c>
      <c r="D9" s="72">
        <f>IF(Offerteblad!C61="",Offerteblad!C49,Offerteblad!C61)</f>
        <v>0</v>
      </c>
      <c r="E9" s="73"/>
      <c r="F9" s="73"/>
      <c r="G9" s="73"/>
      <c r="H9" s="74"/>
      <c r="I9" s="322" t="s">
        <v>199</v>
      </c>
      <c r="J9" s="322"/>
      <c r="K9" s="322"/>
    </row>
    <row r="10" spans="1:13" ht="15">
      <c r="C10" s="28"/>
      <c r="D10" s="75">
        <f>IF(Offerteblad!C62="",Offerteblad!C50,Offerteblad!C62)</f>
        <v>0</v>
      </c>
      <c r="E10" s="27"/>
      <c r="F10" s="27"/>
      <c r="G10" s="27"/>
      <c r="H10" s="76"/>
      <c r="I10" s="323" t="s">
        <v>94</v>
      </c>
      <c r="J10" s="324"/>
      <c r="K10" s="324"/>
    </row>
    <row r="11" spans="1:13" ht="15">
      <c r="C11" s="28"/>
      <c r="D11" s="77">
        <f>IF(Offerteblad!C63="", Offerteblad!C51,Offerteblad!C63)</f>
        <v>0</v>
      </c>
      <c r="E11" s="375">
        <f>IF(Offerteblad!C64="",Offerteblad!C52,Offerteblad!C64)</f>
        <v>0</v>
      </c>
      <c r="F11" s="375"/>
      <c r="G11" s="375"/>
      <c r="H11" s="376"/>
      <c r="I11" s="27"/>
      <c r="J11" s="27"/>
    </row>
    <row r="12" spans="1:13" ht="15">
      <c r="A12" s="320" t="s">
        <v>130</v>
      </c>
      <c r="B12" s="320"/>
      <c r="C12" s="320"/>
      <c r="D12" s="78">
        <f>IF(Offerteblad!C66="",Offerteblad!C54,Offerteblad!C66)</f>
        <v>0</v>
      </c>
      <c r="E12" s="79"/>
      <c r="F12" s="27"/>
      <c r="G12" s="27"/>
      <c r="H12" s="80"/>
      <c r="M12" s="27"/>
    </row>
    <row r="13" spans="1:13" ht="15">
      <c r="C13" s="29"/>
      <c r="D13" s="81">
        <f>Offerteblad!C55</f>
        <v>0</v>
      </c>
      <c r="E13" s="82"/>
      <c r="F13" s="82"/>
      <c r="G13" s="82"/>
      <c r="H13" s="83"/>
      <c r="M13" s="27"/>
    </row>
    <row r="14" spans="1:13" ht="15">
      <c r="C14" s="29"/>
      <c r="D14" s="29"/>
      <c r="E14" s="28"/>
      <c r="F14" s="28"/>
      <c r="G14" s="28"/>
      <c r="M14" s="157" t="s">
        <v>291</v>
      </c>
    </row>
    <row r="15" spans="1:13">
      <c r="M15" s="157" t="s">
        <v>292</v>
      </c>
    </row>
    <row r="16" spans="1:13">
      <c r="C16" s="30" t="s">
        <v>48</v>
      </c>
      <c r="E16" s="299" t="s">
        <v>88</v>
      </c>
      <c r="F16" s="299"/>
      <c r="G16" s="31" t="s">
        <v>6</v>
      </c>
      <c r="H16" s="32" t="s">
        <v>48</v>
      </c>
      <c r="J16" s="377"/>
      <c r="K16" s="378"/>
      <c r="M16" s="22" t="s">
        <v>208</v>
      </c>
    </row>
    <row r="17" spans="1:18">
      <c r="A17" s="374" t="s">
        <v>10</v>
      </c>
      <c r="B17" s="374"/>
      <c r="C17" s="374" t="s">
        <v>84</v>
      </c>
      <c r="D17" s="374"/>
      <c r="E17" s="33" t="s">
        <v>54</v>
      </c>
      <c r="F17" s="33" t="s">
        <v>53</v>
      </c>
      <c r="G17" s="33" t="s">
        <v>85</v>
      </c>
      <c r="H17" s="33"/>
      <c r="I17" s="33"/>
      <c r="J17" s="84"/>
      <c r="K17" s="84"/>
      <c r="L17" s="34"/>
      <c r="M17" s="166" t="s">
        <v>203</v>
      </c>
      <c r="N17" s="34"/>
      <c r="O17" s="34"/>
      <c r="P17" s="34"/>
      <c r="Q17" s="34"/>
      <c r="R17" s="34" t="s">
        <v>211</v>
      </c>
    </row>
    <row r="18" spans="1:18">
      <c r="A18" s="373" t="str">
        <f>IF(Offerteblad!E13=0,"",Offerteblad!E13)</f>
        <v/>
      </c>
      <c r="B18" s="373"/>
      <c r="C18" s="300" t="str">
        <f>IF(Offerteblad!B13=$C$16,"", Offerteblad!B13)</f>
        <v/>
      </c>
      <c r="D18" s="300"/>
      <c r="E18" s="37" t="str">
        <f>IF(Offerteblad!F13= 0, "",Offerteblad!F13)</f>
        <v/>
      </c>
      <c r="F18" s="37" t="str">
        <f>IF(Offerteblad!G13= 0, "",Offerteblad!G13-R18)</f>
        <v/>
      </c>
      <c r="G18" s="37" t="str">
        <f>IF(Offerteblad!C13=$G$16, "", Offerteblad!C13)</f>
        <v/>
      </c>
      <c r="H18" s="50"/>
      <c r="I18" s="37" t="str">
        <f>IF(Offerteblad!I13 = 0, "",Offerteblad!I13)</f>
        <v/>
      </c>
      <c r="J18" s="85"/>
      <c r="K18" s="85"/>
      <c r="M18" s="167" t="str">
        <f>IF(Offerteblad!H13='blad 2'!$E$2,"",Offerteblad!H13)</f>
        <v/>
      </c>
      <c r="N18" s="34"/>
      <c r="O18" s="34"/>
      <c r="P18" s="34"/>
      <c r="Q18" s="34"/>
      <c r="R18" s="34">
        <f>VLOOKUP(Offerteblad!H13,'blad 2'!$E$2:$H$36,4,TRUE)</f>
        <v>0</v>
      </c>
    </row>
    <row r="19" spans="1:18">
      <c r="A19" s="373" t="str">
        <f>IF(Offerteblad!E14=0,"",Offerteblad!E14)</f>
        <v/>
      </c>
      <c r="B19" s="373"/>
      <c r="C19" s="300" t="str">
        <f>IF(Offerteblad!B14=$C$16,"", Offerteblad!B14)</f>
        <v/>
      </c>
      <c r="D19" s="300"/>
      <c r="E19" s="37" t="str">
        <f>IF(Offerteblad!F14= 0, "",Offerteblad!F14)</f>
        <v/>
      </c>
      <c r="F19" s="37" t="str">
        <f>IF(Offerteblad!G14= 0, "",Offerteblad!G14-R19)</f>
        <v/>
      </c>
      <c r="G19" s="37" t="str">
        <f>IF(Offerteblad!C14=$G$16, "", Offerteblad!C14)</f>
        <v/>
      </c>
      <c r="H19" s="50"/>
      <c r="I19" s="37" t="str">
        <f>IF(Offerteblad!I14 = 0, "",Offerteblad!I14)</f>
        <v/>
      </c>
      <c r="J19" s="85"/>
      <c r="K19" s="85"/>
      <c r="M19" s="167" t="str">
        <f>IF(Offerteblad!H14='blad 2'!$E$2,"",Offerteblad!H14)</f>
        <v/>
      </c>
      <c r="N19" s="34"/>
      <c r="O19" s="34"/>
      <c r="P19" s="34"/>
      <c r="Q19" s="34"/>
      <c r="R19" s="34">
        <f>VLOOKUP(Offerteblad!H14,'blad 2'!$E$2:$H$36,4,TRUE)</f>
        <v>0</v>
      </c>
    </row>
    <row r="20" spans="1:18">
      <c r="A20" s="373" t="str">
        <f>IF(Offerteblad!E15=0,"",Offerteblad!E15)</f>
        <v/>
      </c>
      <c r="B20" s="373"/>
      <c r="C20" s="300" t="str">
        <f>IF(Offerteblad!B15=$C$16,"", Offerteblad!B15)</f>
        <v/>
      </c>
      <c r="D20" s="300"/>
      <c r="E20" s="37" t="str">
        <f>IF(Offerteblad!F15= 0, "",Offerteblad!F15)</f>
        <v/>
      </c>
      <c r="F20" s="37" t="str">
        <f>IF(Offerteblad!G15= 0, "",Offerteblad!G15-R20)</f>
        <v/>
      </c>
      <c r="G20" s="37" t="str">
        <f>IF(Offerteblad!C15=$G$16, "", Offerteblad!C15)</f>
        <v/>
      </c>
      <c r="H20" s="50"/>
      <c r="I20" s="37" t="str">
        <f>IF(Offerteblad!I15 = 0, "",Offerteblad!I15)</f>
        <v/>
      </c>
      <c r="J20" s="85"/>
      <c r="K20" s="85"/>
      <c r="M20" s="167" t="str">
        <f>IF(Offerteblad!H15='blad 2'!$E$2,"",Offerteblad!H15)</f>
        <v/>
      </c>
      <c r="N20" s="34"/>
      <c r="O20" s="34"/>
      <c r="P20" s="34"/>
      <c r="Q20" s="34"/>
      <c r="R20" s="34">
        <f>VLOOKUP(Offerteblad!H15,'blad 2'!$E$2:$H$36,4,TRUE)</f>
        <v>0</v>
      </c>
    </row>
    <row r="21" spans="1:18">
      <c r="A21" s="373" t="str">
        <f>IF(Offerteblad!E16=0,"",Offerteblad!E16)</f>
        <v/>
      </c>
      <c r="B21" s="373"/>
      <c r="C21" s="300" t="str">
        <f>IF(Offerteblad!B16=$C$16,"", Offerteblad!B16)</f>
        <v/>
      </c>
      <c r="D21" s="300"/>
      <c r="E21" s="37" t="str">
        <f>IF(Offerteblad!F16= 0, "",Offerteblad!F16)</f>
        <v/>
      </c>
      <c r="F21" s="37" t="str">
        <f>IF(Offerteblad!G16= 0, "",Offerteblad!G16-R21)</f>
        <v/>
      </c>
      <c r="G21" s="37" t="str">
        <f>IF(Offerteblad!C16=$G$16, "", Offerteblad!C16)</f>
        <v/>
      </c>
      <c r="H21" s="50"/>
      <c r="I21" s="37" t="str">
        <f>IF(Offerteblad!I16 = 0, "",Offerteblad!I16)</f>
        <v/>
      </c>
      <c r="J21" s="85"/>
      <c r="K21" s="85"/>
      <c r="M21" s="167" t="str">
        <f>IF(Offerteblad!H16='blad 2'!$E$2,"",Offerteblad!H16)</f>
        <v/>
      </c>
      <c r="N21" s="34"/>
      <c r="O21" s="34"/>
      <c r="P21" s="34"/>
      <c r="Q21" s="34"/>
      <c r="R21" s="34">
        <f>VLOOKUP(Offerteblad!H16,'blad 2'!$E$2:$H$36,4,TRUE)</f>
        <v>0</v>
      </c>
    </row>
    <row r="22" spans="1:18">
      <c r="A22" s="373" t="str">
        <f>IF(Offerteblad!E17=0,"",Offerteblad!E17)</f>
        <v/>
      </c>
      <c r="B22" s="373"/>
      <c r="C22" s="300" t="str">
        <f>IF(Offerteblad!B17=$C$16,"", Offerteblad!B17)</f>
        <v/>
      </c>
      <c r="D22" s="300"/>
      <c r="E22" s="37" t="str">
        <f>IF(Offerteblad!F17= 0, "",Offerteblad!F17)</f>
        <v/>
      </c>
      <c r="F22" s="37" t="str">
        <f>IF(Offerteblad!G17= 0, "",Offerteblad!G17-R22)</f>
        <v/>
      </c>
      <c r="G22" s="37" t="str">
        <f>IF(Offerteblad!C17=$G$16, "", Offerteblad!C17)</f>
        <v/>
      </c>
      <c r="H22" s="50"/>
      <c r="I22" s="37" t="str">
        <f>IF(Offerteblad!I17 = 0, "",Offerteblad!I17)</f>
        <v/>
      </c>
      <c r="J22" s="85"/>
      <c r="K22" s="85"/>
      <c r="M22" s="167" t="str">
        <f>IF(Offerteblad!H17='blad 2'!$E$2,"",Offerteblad!H17)</f>
        <v/>
      </c>
      <c r="N22" s="34"/>
      <c r="O22" s="34"/>
      <c r="P22" s="34"/>
      <c r="Q22" s="34"/>
      <c r="R22" s="34">
        <f>VLOOKUP(Offerteblad!H17,'blad 2'!$E$2:$H$36,4,TRUE)</f>
        <v>0</v>
      </c>
    </row>
    <row r="23" spans="1:18">
      <c r="A23" s="373" t="str">
        <f>IF(Offerteblad!E18=0,"",Offerteblad!E18)</f>
        <v/>
      </c>
      <c r="B23" s="373"/>
      <c r="C23" s="300" t="str">
        <f>IF(Offerteblad!B18=$C$16,"", Offerteblad!B18)</f>
        <v/>
      </c>
      <c r="D23" s="300"/>
      <c r="E23" s="37" t="str">
        <f>IF(Offerteblad!F18= 0, "",Offerteblad!F18)</f>
        <v/>
      </c>
      <c r="F23" s="37" t="str">
        <f>IF(Offerteblad!G18= 0, "",Offerteblad!G18-R23)</f>
        <v/>
      </c>
      <c r="G23" s="37" t="str">
        <f>IF(Offerteblad!C18=$G$16, "", Offerteblad!C18)</f>
        <v/>
      </c>
      <c r="H23" s="50"/>
      <c r="I23" s="37" t="str">
        <f>IF(Offerteblad!I18 = 0, "",Offerteblad!I18)</f>
        <v/>
      </c>
      <c r="J23" s="85"/>
      <c r="K23" s="85"/>
      <c r="M23" s="167" t="str">
        <f>IF(Offerteblad!H18='blad 2'!$E$2,"",Offerteblad!H18)</f>
        <v/>
      </c>
      <c r="N23" s="34"/>
      <c r="O23" s="34"/>
      <c r="P23" s="34"/>
      <c r="Q23" s="34"/>
      <c r="R23" s="34">
        <f>VLOOKUP(Offerteblad!H18,'blad 2'!$E$2:$H$36,4,TRUE)</f>
        <v>0</v>
      </c>
    </row>
    <row r="24" spans="1:18">
      <c r="A24" s="373" t="str">
        <f>IF(Offerteblad!E19=0,"",Offerteblad!E19)</f>
        <v/>
      </c>
      <c r="B24" s="373"/>
      <c r="C24" s="300" t="str">
        <f>IF(Offerteblad!B19=$C$16,"", Offerteblad!B19)</f>
        <v/>
      </c>
      <c r="D24" s="300"/>
      <c r="E24" s="37" t="str">
        <f>IF(Offerteblad!F19= 0, "",Offerteblad!F19)</f>
        <v/>
      </c>
      <c r="F24" s="37" t="str">
        <f>IF(Offerteblad!G19= 0, "",Offerteblad!G19-R24)</f>
        <v/>
      </c>
      <c r="G24" s="37" t="str">
        <f>IF(Offerteblad!C19=$G$16, "", Offerteblad!C19)</f>
        <v/>
      </c>
      <c r="H24" s="50"/>
      <c r="I24" s="37" t="str">
        <f>IF(Offerteblad!I19 = 0, "",Offerteblad!I19)</f>
        <v/>
      </c>
      <c r="J24" s="85"/>
      <c r="K24" s="85"/>
      <c r="M24" s="167" t="str">
        <f>IF(Offerteblad!H19='blad 2'!$E$2,"",Offerteblad!H19)</f>
        <v/>
      </c>
      <c r="N24" s="34"/>
      <c r="O24" s="34"/>
      <c r="P24" s="34"/>
      <c r="Q24" s="34"/>
      <c r="R24" s="34">
        <f>VLOOKUP(Offerteblad!H19,'blad 2'!$E$2:$H$36,4,TRUE)</f>
        <v>0</v>
      </c>
    </row>
    <row r="25" spans="1:18">
      <c r="A25" s="373" t="str">
        <f>IF(Offerteblad!E20=0,"",Offerteblad!E20)</f>
        <v/>
      </c>
      <c r="B25" s="373"/>
      <c r="C25" s="300" t="str">
        <f>IF(Offerteblad!B20=$C$16,"", Offerteblad!B20)</f>
        <v/>
      </c>
      <c r="D25" s="300"/>
      <c r="E25" s="37" t="str">
        <f>IF(Offerteblad!F20= 0, "",Offerteblad!F20)</f>
        <v/>
      </c>
      <c r="F25" s="37" t="str">
        <f>IF(Offerteblad!G20= 0, "",Offerteblad!G20-R25)</f>
        <v/>
      </c>
      <c r="G25" s="37" t="str">
        <f>IF(Offerteblad!C20=$G$16, "", Offerteblad!C20)</f>
        <v/>
      </c>
      <c r="H25" s="50"/>
      <c r="I25" s="37" t="str">
        <f>IF(Offerteblad!I20 = 0, "",Offerteblad!I20)</f>
        <v/>
      </c>
      <c r="J25" s="85"/>
      <c r="K25" s="85"/>
      <c r="M25" s="167" t="str">
        <f>IF(Offerteblad!H20='blad 2'!$E$2,"",Offerteblad!H20)</f>
        <v/>
      </c>
      <c r="N25" s="34"/>
      <c r="O25" s="34"/>
      <c r="P25" s="34"/>
      <c r="Q25" s="34"/>
      <c r="R25" s="34">
        <f>VLOOKUP(Offerteblad!H20,'blad 2'!$E$2:$H$36,4,TRUE)</f>
        <v>0</v>
      </c>
    </row>
    <row r="26" spans="1:18">
      <c r="A26" s="373" t="str">
        <f>IF(Offerteblad!E21=0,"",Offerteblad!E21)</f>
        <v/>
      </c>
      <c r="B26" s="373"/>
      <c r="C26" s="300" t="str">
        <f>IF(Offerteblad!B21=$C$16,"", Offerteblad!B21)</f>
        <v/>
      </c>
      <c r="D26" s="300"/>
      <c r="E26" s="37" t="str">
        <f>IF(Offerteblad!F21= 0, "",Offerteblad!F21)</f>
        <v/>
      </c>
      <c r="F26" s="37" t="str">
        <f>IF(Offerteblad!G21= 0, "",Offerteblad!G21-R26)</f>
        <v/>
      </c>
      <c r="G26" s="37" t="str">
        <f>IF(Offerteblad!C21=$G$16, "", Offerteblad!C21)</f>
        <v/>
      </c>
      <c r="H26" s="50"/>
      <c r="I26" s="37" t="str">
        <f>IF(Offerteblad!I21 = 0, "",Offerteblad!I21)</f>
        <v/>
      </c>
      <c r="J26" s="85"/>
      <c r="K26" s="85"/>
      <c r="M26" s="167" t="str">
        <f>IF(Offerteblad!H21='blad 2'!$E$2,"",Offerteblad!H21)</f>
        <v/>
      </c>
      <c r="N26" s="34"/>
      <c r="O26" s="34"/>
      <c r="P26" s="34"/>
      <c r="Q26" s="34"/>
      <c r="R26" s="34">
        <f>VLOOKUP(Offerteblad!H21,'blad 2'!$E$2:$H$36,4,TRUE)</f>
        <v>0</v>
      </c>
    </row>
    <row r="27" spans="1:18">
      <c r="A27" s="373" t="str">
        <f>IF(Offerteblad!E22=0,"",Offerteblad!E22)</f>
        <v/>
      </c>
      <c r="B27" s="373"/>
      <c r="C27" s="300" t="str">
        <f>IF(Offerteblad!B22=$C$16,"", Offerteblad!B22)</f>
        <v/>
      </c>
      <c r="D27" s="300"/>
      <c r="E27" s="37" t="str">
        <f>IF(Offerteblad!F22= 0, "",Offerteblad!F22)</f>
        <v/>
      </c>
      <c r="F27" s="37" t="str">
        <f>IF(Offerteblad!G22= 0, "",Offerteblad!G22-R27)</f>
        <v/>
      </c>
      <c r="G27" s="37" t="str">
        <f>IF(Offerteblad!C22=$G$16, "", Offerteblad!C22)</f>
        <v/>
      </c>
      <c r="H27" s="50"/>
      <c r="I27" s="37" t="str">
        <f>IF(Offerteblad!I22 = 0, "",Offerteblad!I22)</f>
        <v/>
      </c>
      <c r="J27" s="85"/>
      <c r="K27" s="85"/>
      <c r="M27" s="167" t="str">
        <f>IF(Offerteblad!H22='blad 2'!$E$2,"",Offerteblad!H22)</f>
        <v/>
      </c>
      <c r="N27" s="34"/>
      <c r="O27" s="34"/>
      <c r="P27" s="34"/>
      <c r="Q27" s="34"/>
      <c r="R27" s="34">
        <f>VLOOKUP(Offerteblad!H22,'blad 2'!$E$2:$H$36,4,TRUE)</f>
        <v>0</v>
      </c>
    </row>
    <row r="28" spans="1:18">
      <c r="A28" s="373" t="str">
        <f>IF(Offerteblad!E23=0,"",Offerteblad!E23)</f>
        <v/>
      </c>
      <c r="B28" s="373"/>
      <c r="C28" s="300" t="str">
        <f>IF(Offerteblad!B23=$C$16,"", Offerteblad!B23)</f>
        <v/>
      </c>
      <c r="D28" s="300"/>
      <c r="E28" s="37" t="str">
        <f>IF(Offerteblad!F23= 0, "",Offerteblad!F23)</f>
        <v/>
      </c>
      <c r="F28" s="37" t="str">
        <f>IF(Offerteblad!G23= 0, "",Offerteblad!G23-R28)</f>
        <v/>
      </c>
      <c r="G28" s="37" t="str">
        <f>IF(Offerteblad!C23=$G$16, "", Offerteblad!C23)</f>
        <v/>
      </c>
      <c r="H28" s="50"/>
      <c r="I28" s="37" t="str">
        <f>IF(Offerteblad!I23 = 0, "",Offerteblad!I23)</f>
        <v/>
      </c>
      <c r="J28" s="85"/>
      <c r="K28" s="85"/>
      <c r="M28" s="167" t="str">
        <f>IF(Offerteblad!H23='blad 2'!$E$2,"",Offerteblad!H23)</f>
        <v/>
      </c>
      <c r="N28" s="34"/>
      <c r="O28" s="34"/>
      <c r="P28" s="34"/>
      <c r="Q28" s="34"/>
      <c r="R28" s="34">
        <f>VLOOKUP(Offerteblad!H23,'blad 2'!$E$2:$H$36,4,TRUE)</f>
        <v>0</v>
      </c>
    </row>
    <row r="29" spans="1:18">
      <c r="A29" s="373" t="str">
        <f>IF(Offerteblad!E24=0,"",Offerteblad!E24)</f>
        <v/>
      </c>
      <c r="B29" s="373"/>
      <c r="C29" s="300" t="str">
        <f>IF(Offerteblad!B24=$C$16,"", Offerteblad!B24)</f>
        <v/>
      </c>
      <c r="D29" s="300"/>
      <c r="E29" s="37" t="str">
        <f>IF(Offerteblad!F24= 0, "",Offerteblad!F24)</f>
        <v/>
      </c>
      <c r="F29" s="37" t="str">
        <f>IF(Offerteblad!G24= 0, "",Offerteblad!G24-R29)</f>
        <v/>
      </c>
      <c r="G29" s="37" t="str">
        <f>IF(Offerteblad!C24=$G$16, "", Offerteblad!C24)</f>
        <v/>
      </c>
      <c r="H29" s="50"/>
      <c r="I29" s="37" t="str">
        <f>IF(Offerteblad!I24 = 0, "",Offerteblad!I24)</f>
        <v/>
      </c>
      <c r="J29" s="85"/>
      <c r="K29" s="85"/>
      <c r="M29" s="167" t="str">
        <f>IF(Offerteblad!H24='blad 2'!$E$2,"",Offerteblad!H24)</f>
        <v/>
      </c>
      <c r="N29" s="34"/>
      <c r="O29" s="34"/>
      <c r="P29" s="34"/>
      <c r="Q29" s="34"/>
      <c r="R29" s="34">
        <f>VLOOKUP(Offerteblad!H24,'blad 2'!$E$2:$H$36,4,TRUE)</f>
        <v>0</v>
      </c>
    </row>
    <row r="30" spans="1:18">
      <c r="A30" s="373" t="str">
        <f>IF(Offerteblad!E25=0,"",Offerteblad!E25)</f>
        <v/>
      </c>
      <c r="B30" s="373"/>
      <c r="C30" s="300" t="str">
        <f>IF(Offerteblad!B25=$C$16,"", Offerteblad!B25)</f>
        <v/>
      </c>
      <c r="D30" s="300"/>
      <c r="E30" s="37" t="str">
        <f>IF(Offerteblad!F25= 0, "",Offerteblad!F25)</f>
        <v/>
      </c>
      <c r="F30" s="37" t="str">
        <f>IF(Offerteblad!G25= 0, "",Offerteblad!G25-R30)</f>
        <v/>
      </c>
      <c r="G30" s="37" t="str">
        <f>IF(Offerteblad!C25=$G$16, "", Offerteblad!C25)</f>
        <v/>
      </c>
      <c r="H30" s="50"/>
      <c r="I30" s="37" t="str">
        <f>IF(Offerteblad!I25 = 0, "",Offerteblad!I25)</f>
        <v/>
      </c>
      <c r="J30" s="85"/>
      <c r="K30" s="85"/>
      <c r="M30" s="167" t="str">
        <f>IF(Offerteblad!H25='blad 2'!$E$2,"",Offerteblad!H25)</f>
        <v/>
      </c>
      <c r="N30" s="34"/>
      <c r="O30" s="34"/>
      <c r="P30" s="34"/>
      <c r="Q30" s="34"/>
      <c r="R30" s="34">
        <f>VLOOKUP(Offerteblad!H25,'blad 2'!$E$2:$H$36,4,TRUE)</f>
        <v>0</v>
      </c>
    </row>
    <row r="31" spans="1:18">
      <c r="A31" s="373" t="str">
        <f>IF(Offerteblad!E26=0,"",Offerteblad!E26)</f>
        <v/>
      </c>
      <c r="B31" s="373"/>
      <c r="C31" s="300" t="str">
        <f>IF(Offerteblad!B26=$C$16,"", Offerteblad!B26)</f>
        <v/>
      </c>
      <c r="D31" s="300"/>
      <c r="E31" s="37" t="str">
        <f>IF(Offerteblad!F26= 0, "",Offerteblad!F26)</f>
        <v/>
      </c>
      <c r="F31" s="37" t="str">
        <f>IF(Offerteblad!G26= 0, "",Offerteblad!G26-R31)</f>
        <v/>
      </c>
      <c r="G31" s="37" t="str">
        <f>IF(Offerteblad!C26=$G$16, "", Offerteblad!C26)</f>
        <v/>
      </c>
      <c r="H31" s="50"/>
      <c r="I31" s="37" t="str">
        <f>IF(Offerteblad!I26 = 0, "",Offerteblad!I26)</f>
        <v/>
      </c>
      <c r="J31" s="85"/>
      <c r="K31" s="85"/>
      <c r="M31" s="167" t="str">
        <f>IF(Offerteblad!H26='blad 2'!$E$2,"",Offerteblad!H26)</f>
        <v/>
      </c>
      <c r="N31" s="34"/>
      <c r="O31" s="34"/>
      <c r="P31" s="34"/>
      <c r="Q31" s="34"/>
      <c r="R31" s="34">
        <f>VLOOKUP(Offerteblad!H26,'blad 2'!$E$2:$H$36,4,TRUE)</f>
        <v>0</v>
      </c>
    </row>
    <row r="32" spans="1:18">
      <c r="A32" s="373" t="str">
        <f>IF(Offerteblad!E27=0,"",Offerteblad!E27)</f>
        <v/>
      </c>
      <c r="B32" s="373"/>
      <c r="C32" s="300" t="str">
        <f>IF(Offerteblad!B27=$C$16,"", Offerteblad!B27)</f>
        <v/>
      </c>
      <c r="D32" s="300"/>
      <c r="E32" s="37" t="str">
        <f>IF(Offerteblad!F27= 0, "",Offerteblad!F27)</f>
        <v/>
      </c>
      <c r="F32" s="37" t="str">
        <f>IF(Offerteblad!G27= 0, "",Offerteblad!G27-R32)</f>
        <v/>
      </c>
      <c r="G32" s="37" t="str">
        <f>IF(Offerteblad!C27=$G$16, "", Offerteblad!C27)</f>
        <v/>
      </c>
      <c r="H32" s="50"/>
      <c r="I32" s="37" t="str">
        <f>IF(Offerteblad!I27 = 0, "",Offerteblad!I27)</f>
        <v/>
      </c>
      <c r="J32" s="85"/>
      <c r="K32" s="85"/>
      <c r="M32" s="167" t="str">
        <f>IF(Offerteblad!H27='blad 2'!$E$2,"",Offerteblad!H27)</f>
        <v/>
      </c>
      <c r="N32" s="34"/>
      <c r="O32" s="34"/>
      <c r="P32" s="34"/>
      <c r="Q32" s="34"/>
      <c r="R32" s="34">
        <f>VLOOKUP(Offerteblad!H27,'blad 2'!$E$2:$H$36,4,TRUE)</f>
        <v>0</v>
      </c>
    </row>
    <row r="33" spans="1:18">
      <c r="A33" s="373" t="str">
        <f>IF(Offerteblad!E28=0,"",Offerteblad!E28)</f>
        <v/>
      </c>
      <c r="B33" s="373"/>
      <c r="C33" s="300" t="str">
        <f>IF(Offerteblad!B28=$C$16,"", Offerteblad!B28)</f>
        <v/>
      </c>
      <c r="D33" s="300"/>
      <c r="E33" s="37" t="str">
        <f>IF(Offerteblad!F28= 0, "",Offerteblad!F28)</f>
        <v/>
      </c>
      <c r="F33" s="37" t="str">
        <f>IF(Offerteblad!G28= 0, "",Offerteblad!G28-R33)</f>
        <v/>
      </c>
      <c r="G33" s="37" t="str">
        <f>IF(Offerteblad!C28=$G$16, "", Offerteblad!C28)</f>
        <v/>
      </c>
      <c r="H33" s="50"/>
      <c r="I33" s="37" t="str">
        <f>IF(Offerteblad!I28 = 0, "",Offerteblad!I28)</f>
        <v/>
      </c>
      <c r="J33" s="85"/>
      <c r="K33" s="85"/>
      <c r="M33" s="167" t="str">
        <f>IF(Offerteblad!H28='blad 2'!$E$2,"",Offerteblad!H28)</f>
        <v/>
      </c>
      <c r="N33" s="34"/>
      <c r="O33" s="34"/>
      <c r="P33" s="34"/>
      <c r="Q33" s="34"/>
      <c r="R33" s="34">
        <f>VLOOKUP(Offerteblad!H28,'blad 2'!$E$2:$H$36,4,TRUE)</f>
        <v>0</v>
      </c>
    </row>
    <row r="34" spans="1:18">
      <c r="A34" s="373" t="str">
        <f>IF(Offerteblad!E29=0,"",Offerteblad!E29)</f>
        <v/>
      </c>
      <c r="B34" s="373"/>
      <c r="C34" s="300" t="str">
        <f>IF(Offerteblad!B29=$C$16,"", Offerteblad!B29)</f>
        <v/>
      </c>
      <c r="D34" s="300"/>
      <c r="E34" s="37" t="str">
        <f>IF(Offerteblad!F29= 0, "",Offerteblad!F29)</f>
        <v/>
      </c>
      <c r="F34" s="37" t="str">
        <f>IF(Offerteblad!G29= 0, "",Offerteblad!G29-R34)</f>
        <v/>
      </c>
      <c r="G34" s="37" t="str">
        <f>IF(Offerteblad!C29=$G$16, "", Offerteblad!C29)</f>
        <v/>
      </c>
      <c r="H34" s="50"/>
      <c r="I34" s="37" t="str">
        <f>IF(Offerteblad!I29 = 0, "",Offerteblad!I29)</f>
        <v/>
      </c>
      <c r="J34" s="85"/>
      <c r="K34" s="85"/>
      <c r="M34" s="167" t="str">
        <f>IF(Offerteblad!H29='blad 2'!$E$2,"",Offerteblad!H29)</f>
        <v/>
      </c>
      <c r="N34" s="34"/>
      <c r="O34" s="34"/>
      <c r="P34" s="34"/>
      <c r="Q34" s="34"/>
      <c r="R34" s="34">
        <f>VLOOKUP(Offerteblad!H29,'blad 2'!$E$2:$H$36,4,TRUE)</f>
        <v>0</v>
      </c>
    </row>
    <row r="35" spans="1:18">
      <c r="A35" s="373" t="str">
        <f>IF(Offerteblad!E30=0,"",Offerteblad!E30)</f>
        <v/>
      </c>
      <c r="B35" s="373"/>
      <c r="C35" s="300" t="str">
        <f>IF(Offerteblad!B30=$C$16,"", Offerteblad!B30)</f>
        <v/>
      </c>
      <c r="D35" s="300"/>
      <c r="E35" s="37" t="str">
        <f>IF(Offerteblad!F30= 0, "",Offerteblad!F30)</f>
        <v/>
      </c>
      <c r="F35" s="37" t="str">
        <f>IF(Offerteblad!G30= 0, "",Offerteblad!G30-R35)</f>
        <v/>
      </c>
      <c r="G35" s="37" t="str">
        <f>IF(Offerteblad!C30=$G$16, "", Offerteblad!C30)</f>
        <v/>
      </c>
      <c r="H35" s="50"/>
      <c r="I35" s="37" t="str">
        <f>IF(Offerteblad!I30 = 0, "",Offerteblad!I30)</f>
        <v/>
      </c>
      <c r="J35" s="85"/>
      <c r="K35" s="85"/>
      <c r="M35" s="167" t="str">
        <f>IF(Offerteblad!H30='blad 2'!$E$2,"",Offerteblad!H30)</f>
        <v/>
      </c>
      <c r="N35" s="34"/>
      <c r="O35" s="34"/>
      <c r="P35" s="34"/>
      <c r="Q35" s="34"/>
      <c r="R35" s="34">
        <f>VLOOKUP(Offerteblad!H30,'blad 2'!$E$2:$H$36,4,TRUE)</f>
        <v>0</v>
      </c>
    </row>
    <row r="36" spans="1:18">
      <c r="A36" s="373" t="str">
        <f>IF(Offerteblad!E31=0,"",Offerteblad!E31)</f>
        <v/>
      </c>
      <c r="B36" s="373"/>
      <c r="C36" s="300" t="str">
        <f>IF(Offerteblad!B31=$C$16,"", Offerteblad!B31)</f>
        <v/>
      </c>
      <c r="D36" s="300"/>
      <c r="E36" s="37" t="str">
        <f>IF(Offerteblad!F31= 0, "",Offerteblad!F31)</f>
        <v/>
      </c>
      <c r="F36" s="37" t="str">
        <f>IF(Offerteblad!G31= 0, "",Offerteblad!G31-R36)</f>
        <v/>
      </c>
      <c r="G36" s="37" t="str">
        <f>IF(Offerteblad!C31=$G$16, "", Offerteblad!C31)</f>
        <v/>
      </c>
      <c r="H36" s="50"/>
      <c r="I36" s="37" t="str">
        <f>IF(Offerteblad!I31 = 0, "",Offerteblad!I31)</f>
        <v/>
      </c>
      <c r="J36" s="85"/>
      <c r="K36" s="85"/>
      <c r="M36" s="167" t="str">
        <f>IF(Offerteblad!H31='blad 2'!$E$2,"",Offerteblad!H31)</f>
        <v/>
      </c>
      <c r="N36" s="34"/>
      <c r="O36" s="34"/>
      <c r="P36" s="34"/>
      <c r="Q36" s="34"/>
      <c r="R36" s="34">
        <f>VLOOKUP(Offerteblad!H31,'blad 2'!$E$2:$H$36,4,TRUE)</f>
        <v>0</v>
      </c>
    </row>
    <row r="37" spans="1:18">
      <c r="C37" s="32" t="s">
        <v>6</v>
      </c>
      <c r="H37" s="372"/>
      <c r="I37" s="372"/>
      <c r="J37" s="86"/>
      <c r="K37" s="86"/>
    </row>
    <row r="38" spans="1:18">
      <c r="C38" s="31"/>
      <c r="H38" s="371"/>
      <c r="I38" s="371"/>
      <c r="J38" s="370"/>
      <c r="K38" s="370"/>
    </row>
    <row r="39" spans="1:18">
      <c r="A39" s="168" t="s">
        <v>290</v>
      </c>
    </row>
    <row r="40" spans="1:18" ht="15">
      <c r="A40" s="41"/>
    </row>
  </sheetData>
  <sheetProtection password="E729" sheet="1" objects="1" scenarios="1" selectLockedCells="1" selectUnlockedCells="1"/>
  <mergeCells count="53">
    <mergeCell ref="A21:B21"/>
    <mergeCell ref="J16:K16"/>
    <mergeCell ref="E16:F16"/>
    <mergeCell ref="A25:B25"/>
    <mergeCell ref="C24:D24"/>
    <mergeCell ref="A23:B23"/>
    <mergeCell ref="A24:B24"/>
    <mergeCell ref="A22:B22"/>
    <mergeCell ref="A28:B28"/>
    <mergeCell ref="I5:K5"/>
    <mergeCell ref="I6:K6"/>
    <mergeCell ref="I7:K7"/>
    <mergeCell ref="I8:K8"/>
    <mergeCell ref="I10:K10"/>
    <mergeCell ref="I9:K9"/>
    <mergeCell ref="A17:B17"/>
    <mergeCell ref="C17:D17"/>
    <mergeCell ref="C20:D20"/>
    <mergeCell ref="C21:D21"/>
    <mergeCell ref="A12:C12"/>
    <mergeCell ref="E11:H11"/>
    <mergeCell ref="A20:B20"/>
    <mergeCell ref="C22:D22"/>
    <mergeCell ref="C23:D23"/>
    <mergeCell ref="A29:B29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C31:D31"/>
    <mergeCell ref="C25:D25"/>
    <mergeCell ref="C26:D26"/>
    <mergeCell ref="C27:D27"/>
    <mergeCell ref="C28:D28"/>
    <mergeCell ref="C33:D33"/>
    <mergeCell ref="A36:B36"/>
    <mergeCell ref="A34:B34"/>
    <mergeCell ref="A35:B35"/>
    <mergeCell ref="A32:B32"/>
    <mergeCell ref="A33:B33"/>
    <mergeCell ref="C34:D34"/>
    <mergeCell ref="C32:D32"/>
    <mergeCell ref="J38:K38"/>
    <mergeCell ref="H38:I38"/>
    <mergeCell ref="C35:D35"/>
    <mergeCell ref="H37:I37"/>
    <mergeCell ref="C36:D3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34</vt:i4>
      </vt:variant>
    </vt:vector>
  </HeadingPairs>
  <TitlesOfParts>
    <vt:vector size="44" baseType="lpstr">
      <vt:lpstr>Offerteblad</vt:lpstr>
      <vt:lpstr>blad 1</vt:lpstr>
      <vt:lpstr>blad 2</vt:lpstr>
      <vt:lpstr>blad3</vt:lpstr>
      <vt:lpstr>offerte</vt:lpstr>
      <vt:lpstr>Opdrachtbevestiging</vt:lpstr>
      <vt:lpstr>Factuur</vt:lpstr>
      <vt:lpstr>Copyright</vt:lpstr>
      <vt:lpstr>Bestelling glas</vt:lpstr>
      <vt:lpstr>Bestelling roosters</vt:lpstr>
      <vt:lpstr>'Bestelling glas'!Afdrukbereik</vt:lpstr>
      <vt:lpstr>'Bestelling roosters'!Afdrukbereik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2010-11-06T13:11:55Z</cp:lastPrinted>
  <dcterms:created xsi:type="dcterms:W3CDTF">2004-09-01T06:34:16Z</dcterms:created>
  <dcterms:modified xsi:type="dcterms:W3CDTF">2013-08-23T07:24:04Z</dcterms:modified>
</cp:coreProperties>
</file>