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ardo Klopman\Desktop\"/>
    </mc:Choice>
  </mc:AlternateContent>
  <workbookProtection workbookAlgorithmName="SHA-512" workbookHashValue="AONZOPBvoBmn0WjUZ/yBmqNINeKlNl5zaoHJinvj1LDXW0v5DibOxl8DljS9fmnnK4yzV8uzcPUq7LpbGwDoeg==" workbookSaltValue="/gXe+PNqS/nO7muQCYzGvw==" workbookSpinCount="100000" lockStructure="1"/>
  <bookViews>
    <workbookView xWindow="0" yWindow="0" windowWidth="24000" windowHeight="10320" tabRatio="721"/>
  </bookViews>
  <sheets>
    <sheet name="Offerteblad" sheetId="1" r:id="rId1"/>
    <sheet name="Offerte" sheetId="19" r:id="rId2"/>
    <sheet name="Opdrachtbevestiging" sheetId="24" r:id="rId3"/>
    <sheet name="Factuur" sheetId="25" r:id="rId4"/>
    <sheet name="Bestellijst glas" sheetId="26" state="hidden" r:id="rId5"/>
    <sheet name="© Copyright" sheetId="4" r:id="rId6"/>
    <sheet name="_Prijzenblad" sheetId="3" state="hidden" r:id="rId7"/>
    <sheet name="_Gegevensblad" sheetId="2" state="hidden" r:id="rId8"/>
    <sheet name="_Rekenblad" sheetId="5" state="hidden" r:id="rId9"/>
  </sheets>
  <definedNames>
    <definedName name="_xlnm._FilterDatabase" localSheetId="7" hidden="1">_Gegevensblad!#REF!</definedName>
    <definedName name="_xlnm._FilterDatabase" localSheetId="0" hidden="1">Offerteblad!$K$16:$K$67</definedName>
    <definedName name="adres_land">_Gegevensblad!$P$4:$P$7</definedName>
    <definedName name="_xlnm.Print_Area" localSheetId="4">'Bestellijst glas'!$B$2:$H$64</definedName>
    <definedName name="_xlnm.Print_Area" localSheetId="3">Factuur!$B$2:$H$65</definedName>
    <definedName name="_xlnm.Print_Area" localSheetId="1">Offerte!$B$2:$H$65</definedName>
    <definedName name="_xlnm.Print_Area" localSheetId="0">Offerteblad!$B$2:$K$92</definedName>
    <definedName name="_xlnm.Print_Area" localSheetId="2">Opdrachtbevestiging!$B$2:$H$65</definedName>
    <definedName name="afhaallocatie">_Gegevensblad!$L$4:$L$16</definedName>
    <definedName name="afhalen_bezorgen">_Gegevensblad!$N$4:$N$7</definedName>
    <definedName name="btw_hoog">_Gegevensblad!$H$4</definedName>
    <definedName name="btw_laag">_Gegevensblad!$H$5</definedName>
    <definedName name="enkelglas">_Prijzenblad!$B$5:$C$28</definedName>
    <definedName name="enkelglas_artikel">_Prijzenblad!$B$5:$B$28</definedName>
    <definedName name="enkelglas_korting">_Gegevensblad!$B$4:$E$8</definedName>
    <definedName name="enkelglas_prijs">_Prijzenblad!$C$5:$C$28</definedName>
    <definedName name="ja_nee_selectie">_Gegevensblad!$R$4:$R$7</definedName>
    <definedName name="toebehoren_band">_Prijzenblad!$F$4</definedName>
    <definedName name="toebehoren_blokjes">_Prijzenblad!$F$5</definedName>
    <definedName name="toebehoren_kit">_Prijzenblad!$F$3</definedName>
    <definedName name="verzend_hoog">_Prijzenblad!$J$3</definedName>
    <definedName name="verzend_laag">_Prijzenblad!$J$4</definedName>
    <definedName name="verzend_tot">_Prijzenblad!$J$6+_Prijzenblad!$K$3</definedName>
  </definedNames>
  <calcPr calcId="152511"/>
</workbook>
</file>

<file path=xl/calcChain.xml><?xml version="1.0" encoding="utf-8"?>
<calcChain xmlns="http://schemas.openxmlformats.org/spreadsheetml/2006/main">
  <c r="K49" i="1" l="1"/>
  <c r="F20" i="26" l="1"/>
  <c r="C5" i="26" l="1"/>
  <c r="B68" i="26"/>
  <c r="B67" i="26"/>
  <c r="B66" i="26"/>
  <c r="F44" i="26"/>
  <c r="E44" i="26"/>
  <c r="C44" i="26"/>
  <c r="B44" i="26"/>
  <c r="F43" i="26"/>
  <c r="E43" i="26"/>
  <c r="C43" i="26"/>
  <c r="B43" i="26"/>
  <c r="F42" i="26"/>
  <c r="E42" i="26"/>
  <c r="C42" i="26"/>
  <c r="B42" i="26"/>
  <c r="F41" i="26"/>
  <c r="E41" i="26"/>
  <c r="C41" i="26"/>
  <c r="B41" i="26"/>
  <c r="F40" i="26"/>
  <c r="E40" i="26"/>
  <c r="C40" i="26"/>
  <c r="B40" i="26"/>
  <c r="F39" i="26"/>
  <c r="E39" i="26"/>
  <c r="C39" i="26"/>
  <c r="B39" i="26"/>
  <c r="F38" i="26"/>
  <c r="E38" i="26"/>
  <c r="C38" i="26"/>
  <c r="B38" i="26"/>
  <c r="F37" i="26"/>
  <c r="E37" i="26"/>
  <c r="C37" i="26"/>
  <c r="B37" i="26"/>
  <c r="F36" i="26"/>
  <c r="E36" i="26"/>
  <c r="C36" i="26"/>
  <c r="B36" i="26"/>
  <c r="F35" i="26"/>
  <c r="E35" i="26"/>
  <c r="C35" i="26"/>
  <c r="B35" i="26"/>
  <c r="F34" i="26"/>
  <c r="E34" i="26"/>
  <c r="C34" i="26"/>
  <c r="B34" i="26"/>
  <c r="F33" i="26"/>
  <c r="E33" i="26"/>
  <c r="C33" i="26"/>
  <c r="B33" i="26"/>
  <c r="F32" i="26"/>
  <c r="E32" i="26"/>
  <c r="C32" i="26"/>
  <c r="B32" i="26"/>
  <c r="F31" i="26"/>
  <c r="E31" i="26"/>
  <c r="C31" i="26"/>
  <c r="B31" i="26"/>
  <c r="F30" i="26"/>
  <c r="E30" i="26"/>
  <c r="C30" i="26"/>
  <c r="B30" i="26"/>
  <c r="F29" i="26"/>
  <c r="E29" i="26"/>
  <c r="C29" i="26"/>
  <c r="B29" i="26"/>
  <c r="F28" i="26"/>
  <c r="E28" i="26"/>
  <c r="C28" i="26"/>
  <c r="B28" i="26"/>
  <c r="F27" i="26"/>
  <c r="E27" i="26"/>
  <c r="C27" i="26"/>
  <c r="B27" i="26"/>
  <c r="F26" i="26"/>
  <c r="E26" i="26"/>
  <c r="C26" i="26"/>
  <c r="B26" i="26"/>
  <c r="E20" i="26"/>
  <c r="B15" i="26"/>
  <c r="E14" i="26"/>
  <c r="D14" i="26"/>
  <c r="B14" i="26"/>
  <c r="E13" i="26"/>
  <c r="B13" i="26"/>
  <c r="F12" i="26"/>
  <c r="E12" i="26"/>
  <c r="C12" i="26"/>
  <c r="B12" i="26"/>
  <c r="E11" i="26"/>
  <c r="B11" i="26"/>
  <c r="E10" i="26"/>
  <c r="B10" i="26"/>
  <c r="E8" i="26"/>
  <c r="C4" i="26"/>
  <c r="D14" i="24" l="1"/>
  <c r="D14" i="25"/>
  <c r="D14" i="19"/>
  <c r="B14" i="24"/>
  <c r="B14" i="25"/>
  <c r="B14" i="19"/>
  <c r="C5" i="25"/>
  <c r="C5" i="24"/>
  <c r="B70" i="25"/>
  <c r="B69" i="25"/>
  <c r="B68" i="25"/>
  <c r="J55" i="25"/>
  <c r="C53" i="25"/>
  <c r="G44" i="25"/>
  <c r="F44" i="25"/>
  <c r="E44" i="25"/>
  <c r="C44" i="25"/>
  <c r="B44" i="25"/>
  <c r="G43" i="25"/>
  <c r="F43" i="25"/>
  <c r="E43" i="25"/>
  <c r="C43" i="25"/>
  <c r="B43" i="25"/>
  <c r="G42" i="25"/>
  <c r="F42" i="25"/>
  <c r="E42" i="25"/>
  <c r="C42" i="25"/>
  <c r="B42" i="25"/>
  <c r="G41" i="25"/>
  <c r="F41" i="25"/>
  <c r="E41" i="25"/>
  <c r="C41" i="25"/>
  <c r="B41" i="25"/>
  <c r="G40" i="25"/>
  <c r="F40" i="25"/>
  <c r="E40" i="25"/>
  <c r="C40" i="25"/>
  <c r="B40" i="25"/>
  <c r="G39" i="25"/>
  <c r="F39" i="25"/>
  <c r="E39" i="25"/>
  <c r="C39" i="25"/>
  <c r="B39" i="25"/>
  <c r="G38" i="25"/>
  <c r="F38" i="25"/>
  <c r="E38" i="25"/>
  <c r="C38" i="25"/>
  <c r="B38" i="25"/>
  <c r="G37" i="25"/>
  <c r="F37" i="25"/>
  <c r="E37" i="25"/>
  <c r="C37" i="25"/>
  <c r="B37" i="25"/>
  <c r="G36" i="25"/>
  <c r="F36" i="25"/>
  <c r="E36" i="25"/>
  <c r="C36" i="25"/>
  <c r="B36" i="25"/>
  <c r="G35" i="25"/>
  <c r="F35" i="25"/>
  <c r="E35" i="25"/>
  <c r="C35" i="25"/>
  <c r="B35" i="25"/>
  <c r="G34" i="25"/>
  <c r="F34" i="25"/>
  <c r="E34" i="25"/>
  <c r="C34" i="25"/>
  <c r="B34" i="25"/>
  <c r="G33" i="25"/>
  <c r="F33" i="25"/>
  <c r="E33" i="25"/>
  <c r="C33" i="25"/>
  <c r="B33" i="25"/>
  <c r="G32" i="25"/>
  <c r="F32" i="25"/>
  <c r="E32" i="25"/>
  <c r="C32" i="25"/>
  <c r="B32" i="25"/>
  <c r="G31" i="25"/>
  <c r="F31" i="25"/>
  <c r="E31" i="25"/>
  <c r="C31" i="25"/>
  <c r="B31" i="25"/>
  <c r="G30" i="25"/>
  <c r="F30" i="25"/>
  <c r="E30" i="25"/>
  <c r="C30" i="25"/>
  <c r="B30" i="25"/>
  <c r="G29" i="25"/>
  <c r="F29" i="25"/>
  <c r="E29" i="25"/>
  <c r="C29" i="25"/>
  <c r="B29" i="25"/>
  <c r="G28" i="25"/>
  <c r="F28" i="25"/>
  <c r="E28" i="25"/>
  <c r="C28" i="25"/>
  <c r="B28" i="25"/>
  <c r="F27" i="25"/>
  <c r="E27" i="25"/>
  <c r="C27" i="25"/>
  <c r="B27" i="25"/>
  <c r="F26" i="25"/>
  <c r="E26" i="25"/>
  <c r="C26" i="25"/>
  <c r="B26" i="25"/>
  <c r="F20" i="25"/>
  <c r="E20" i="25"/>
  <c r="B15" i="25"/>
  <c r="E14" i="25"/>
  <c r="E13" i="25"/>
  <c r="B13" i="25"/>
  <c r="F12" i="25"/>
  <c r="E12" i="25"/>
  <c r="C12" i="25"/>
  <c r="B12" i="25"/>
  <c r="E11" i="25"/>
  <c r="B11" i="25"/>
  <c r="E10" i="25"/>
  <c r="B10" i="25"/>
  <c r="E8" i="25"/>
  <c r="C4" i="25"/>
  <c r="E4" i="25" s="1"/>
  <c r="B70" i="24" l="1"/>
  <c r="B69" i="24"/>
  <c r="B68" i="24"/>
  <c r="J55" i="24"/>
  <c r="C53" i="24"/>
  <c r="G44" i="24"/>
  <c r="F44" i="24"/>
  <c r="E44" i="24"/>
  <c r="C44" i="24"/>
  <c r="B44" i="24"/>
  <c r="G43" i="24"/>
  <c r="F43" i="24"/>
  <c r="E43" i="24"/>
  <c r="C43" i="24"/>
  <c r="B43" i="24"/>
  <c r="G42" i="24"/>
  <c r="F42" i="24"/>
  <c r="E42" i="24"/>
  <c r="C42" i="24"/>
  <c r="B42" i="24"/>
  <c r="G41" i="24"/>
  <c r="F41" i="24"/>
  <c r="E41" i="24"/>
  <c r="C41" i="24"/>
  <c r="B41" i="24"/>
  <c r="G40" i="24"/>
  <c r="F40" i="24"/>
  <c r="E40" i="24"/>
  <c r="C40" i="24"/>
  <c r="B40" i="24"/>
  <c r="G39" i="24"/>
  <c r="F39" i="24"/>
  <c r="E39" i="24"/>
  <c r="C39" i="24"/>
  <c r="B39" i="24"/>
  <c r="G38" i="24"/>
  <c r="F38" i="24"/>
  <c r="E38" i="24"/>
  <c r="C38" i="24"/>
  <c r="B38" i="24"/>
  <c r="G37" i="24"/>
  <c r="F37" i="24"/>
  <c r="E37" i="24"/>
  <c r="C37" i="24"/>
  <c r="B37" i="24"/>
  <c r="G36" i="24"/>
  <c r="F36" i="24"/>
  <c r="E36" i="24"/>
  <c r="C36" i="24"/>
  <c r="B36" i="24"/>
  <c r="G35" i="24"/>
  <c r="F35" i="24"/>
  <c r="E35" i="24"/>
  <c r="C35" i="24"/>
  <c r="B35" i="24"/>
  <c r="G34" i="24"/>
  <c r="F34" i="24"/>
  <c r="E34" i="24"/>
  <c r="C34" i="24"/>
  <c r="B34" i="24"/>
  <c r="G33" i="24"/>
  <c r="F33" i="24"/>
  <c r="E33" i="24"/>
  <c r="C33" i="24"/>
  <c r="B33" i="24"/>
  <c r="G32" i="24"/>
  <c r="F32" i="24"/>
  <c r="E32" i="24"/>
  <c r="C32" i="24"/>
  <c r="B32" i="24"/>
  <c r="G31" i="24"/>
  <c r="F31" i="24"/>
  <c r="E31" i="24"/>
  <c r="C31" i="24"/>
  <c r="B31" i="24"/>
  <c r="G30" i="24"/>
  <c r="F30" i="24"/>
  <c r="E30" i="24"/>
  <c r="C30" i="24"/>
  <c r="B30" i="24"/>
  <c r="G29" i="24"/>
  <c r="F29" i="24"/>
  <c r="E29" i="24"/>
  <c r="C29" i="24"/>
  <c r="B29" i="24"/>
  <c r="G28" i="24"/>
  <c r="F28" i="24"/>
  <c r="E28" i="24"/>
  <c r="C28" i="24"/>
  <c r="B28" i="24"/>
  <c r="F27" i="24"/>
  <c r="E27" i="24"/>
  <c r="C27" i="24"/>
  <c r="B27" i="24"/>
  <c r="F26" i="24"/>
  <c r="E26" i="24"/>
  <c r="C26" i="24"/>
  <c r="B26" i="24"/>
  <c r="F20" i="24"/>
  <c r="E20" i="24"/>
  <c r="B15" i="24"/>
  <c r="E14" i="24"/>
  <c r="E13" i="24"/>
  <c r="B13" i="24"/>
  <c r="F12" i="24"/>
  <c r="E12" i="24"/>
  <c r="C12" i="24"/>
  <c r="B12" i="24"/>
  <c r="E11" i="24"/>
  <c r="B11" i="24"/>
  <c r="E10" i="24"/>
  <c r="B10" i="24"/>
  <c r="E8" i="24"/>
  <c r="C4" i="24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26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F26" i="19"/>
  <c r="E26" i="19"/>
  <c r="F12" i="19" l="1"/>
  <c r="E12" i="19"/>
  <c r="F20" i="19" l="1"/>
  <c r="E20" i="19" l="1"/>
  <c r="E14" i="19"/>
  <c r="E11" i="19"/>
  <c r="C53" i="19"/>
  <c r="E10" i="19"/>
  <c r="J59" i="1" l="1"/>
  <c r="J58" i="1"/>
  <c r="J53" i="1"/>
  <c r="G78" i="1"/>
  <c r="G77" i="1"/>
  <c r="G49" i="1"/>
  <c r="G62" i="25" l="1"/>
  <c r="G63" i="25"/>
  <c r="G62" i="24"/>
  <c r="G62" i="19"/>
  <c r="G63" i="19"/>
  <c r="G63" i="24"/>
  <c r="G65" i="1"/>
  <c r="E8" i="19" s="1"/>
  <c r="E6" i="2" l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6" i="1"/>
  <c r="J55" i="19" l="1"/>
  <c r="B48" i="1"/>
  <c r="B47" i="1"/>
  <c r="B46" i="1"/>
  <c r="D48" i="1"/>
  <c r="D47" i="1"/>
  <c r="D46" i="1"/>
  <c r="K59" i="1"/>
  <c r="E7" i="2"/>
  <c r="E5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33" i="1" s="1"/>
  <c r="I34" i="1"/>
  <c r="I16" i="1"/>
  <c r="B7" i="5"/>
  <c r="C7" i="5"/>
  <c r="D7" i="5"/>
  <c r="L25" i="1"/>
  <c r="H21" i="5"/>
  <c r="F16" i="5"/>
  <c r="G16" i="5" s="1"/>
  <c r="K32" i="1"/>
  <c r="F12" i="5"/>
  <c r="G12" i="5" s="1"/>
  <c r="K22" i="1"/>
  <c r="K19" i="1"/>
  <c r="E13" i="19"/>
  <c r="B13" i="19"/>
  <c r="B97" i="1"/>
  <c r="B96" i="1"/>
  <c r="B95" i="1"/>
  <c r="C4" i="1"/>
  <c r="B69" i="19"/>
  <c r="B70" i="19"/>
  <c r="B68" i="19"/>
  <c r="B28" i="19"/>
  <c r="B27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26" i="19"/>
  <c r="B15" i="19"/>
  <c r="B12" i="19"/>
  <c r="B11" i="19"/>
  <c r="B10" i="19"/>
  <c r="C12" i="19"/>
  <c r="C4" i="19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5" i="5"/>
  <c r="D5" i="5"/>
  <c r="C6" i="5"/>
  <c r="D6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G26" i="25" l="1"/>
  <c r="G26" i="24"/>
  <c r="G27" i="19"/>
  <c r="G27" i="25"/>
  <c r="G27" i="24"/>
  <c r="H32" i="25"/>
  <c r="H42" i="25"/>
  <c r="H63" i="25"/>
  <c r="J63" i="25" s="1"/>
  <c r="H29" i="25"/>
  <c r="H32" i="24"/>
  <c r="H42" i="24"/>
  <c r="H63" i="24"/>
  <c r="J63" i="24" s="1"/>
  <c r="H29" i="19"/>
  <c r="H29" i="24"/>
  <c r="K16" i="1"/>
  <c r="G26" i="19"/>
  <c r="F23" i="5"/>
  <c r="G23" i="5" s="1"/>
  <c r="J34" i="1"/>
  <c r="L32" i="1"/>
  <c r="J32" i="1"/>
  <c r="L30" i="1"/>
  <c r="J30" i="1"/>
  <c r="K28" i="1"/>
  <c r="J28" i="1"/>
  <c r="F15" i="5"/>
  <c r="G15" i="5" s="1"/>
  <c r="J26" i="1"/>
  <c r="L24" i="1"/>
  <c r="J24" i="1"/>
  <c r="F11" i="5"/>
  <c r="G11" i="5" s="1"/>
  <c r="J22" i="1"/>
  <c r="L20" i="1"/>
  <c r="J20" i="1"/>
  <c r="F7" i="5"/>
  <c r="G7" i="5" s="1"/>
  <c r="J18" i="1"/>
  <c r="K31" i="1"/>
  <c r="J31" i="1"/>
  <c r="L29" i="1"/>
  <c r="J29" i="1"/>
  <c r="L27" i="1"/>
  <c r="J27" i="1"/>
  <c r="H14" i="5"/>
  <c r="J25" i="1"/>
  <c r="H12" i="5"/>
  <c r="J23" i="1"/>
  <c r="F10" i="5"/>
  <c r="G10" i="5" s="1"/>
  <c r="J21" i="1"/>
  <c r="L19" i="1"/>
  <c r="J19" i="1"/>
  <c r="L17" i="1"/>
  <c r="J17" i="1"/>
  <c r="H5" i="5"/>
  <c r="J16" i="1"/>
  <c r="H10" i="5"/>
  <c r="H18" i="5"/>
  <c r="K29" i="1"/>
  <c r="L21" i="1"/>
  <c r="K25" i="1"/>
  <c r="H20" i="5"/>
  <c r="L23" i="1"/>
  <c r="L18" i="1"/>
  <c r="F19" i="5"/>
  <c r="G19" i="5" s="1"/>
  <c r="F13" i="5"/>
  <c r="G13" i="5" s="1"/>
  <c r="F21" i="5"/>
  <c r="G21" i="5" s="1"/>
  <c r="D13" i="2"/>
  <c r="D12" i="2"/>
  <c r="F8" i="5"/>
  <c r="G8" i="5" s="1"/>
  <c r="H6" i="5"/>
  <c r="F6" i="5"/>
  <c r="G6" i="5" s="1"/>
  <c r="E12" i="5"/>
  <c r="E18" i="5"/>
  <c r="K21" i="1"/>
  <c r="K17" i="1"/>
  <c r="F14" i="5"/>
  <c r="G14" i="5" s="1"/>
  <c r="K23" i="1"/>
  <c r="H8" i="5"/>
  <c r="K30" i="1"/>
  <c r="H16" i="5"/>
  <c r="F18" i="5"/>
  <c r="G18" i="5" s="1"/>
  <c r="K27" i="1"/>
  <c r="H19" i="5"/>
  <c r="H42" i="19"/>
  <c r="H63" i="19"/>
  <c r="J63" i="19" s="1"/>
  <c r="E6" i="5"/>
  <c r="E19" i="5"/>
  <c r="K24" i="1"/>
  <c r="F20" i="5"/>
  <c r="G20" i="5" s="1"/>
  <c r="L26" i="1"/>
  <c r="E15" i="5"/>
  <c r="E9" i="5"/>
  <c r="E22" i="5"/>
  <c r="H13" i="5"/>
  <c r="F22" i="5"/>
  <c r="G22" i="5" s="1"/>
  <c r="H38" i="19"/>
  <c r="E7" i="5"/>
  <c r="L34" i="1"/>
  <c r="K34" i="1"/>
  <c r="E11" i="5"/>
  <c r="H32" i="19"/>
  <c r="H23" i="5"/>
  <c r="L33" i="1"/>
  <c r="K33" i="1"/>
  <c r="H22" i="5"/>
  <c r="L31" i="1"/>
  <c r="F17" i="5"/>
  <c r="G17" i="5" s="1"/>
  <c r="L28" i="1"/>
  <c r="H17" i="5"/>
  <c r="H15" i="5"/>
  <c r="K26" i="1"/>
  <c r="L22" i="1"/>
  <c r="H11" i="5"/>
  <c r="H9" i="5"/>
  <c r="F9" i="5"/>
  <c r="G9" i="5" s="1"/>
  <c r="K20" i="1"/>
  <c r="H7" i="5"/>
  <c r="K18" i="1"/>
  <c r="E23" i="5"/>
  <c r="E21" i="5"/>
  <c r="E17" i="5"/>
  <c r="E13" i="5"/>
  <c r="E20" i="5"/>
  <c r="E16" i="5"/>
  <c r="E14" i="5"/>
  <c r="E10" i="5"/>
  <c r="E8" i="5"/>
  <c r="B25" i="5"/>
  <c r="C29" i="5" s="1"/>
  <c r="E5" i="5"/>
  <c r="F5" i="5"/>
  <c r="G5" i="5" s="1"/>
  <c r="L16" i="1"/>
  <c r="H28" i="25" l="1"/>
  <c r="H30" i="25"/>
  <c r="H43" i="25"/>
  <c r="H34" i="25"/>
  <c r="H37" i="25"/>
  <c r="H31" i="25"/>
  <c r="H35" i="25"/>
  <c r="H39" i="25"/>
  <c r="H41" i="25"/>
  <c r="H38" i="25"/>
  <c r="H26" i="25"/>
  <c r="H36" i="25"/>
  <c r="H44" i="25"/>
  <c r="H40" i="25"/>
  <c r="H33" i="25"/>
  <c r="H27" i="25"/>
  <c r="H41" i="19"/>
  <c r="H36" i="24"/>
  <c r="H28" i="24"/>
  <c r="H30" i="24"/>
  <c r="H43" i="24"/>
  <c r="H44" i="24"/>
  <c r="H41" i="24"/>
  <c r="H26" i="24"/>
  <c r="H34" i="24"/>
  <c r="H37" i="24"/>
  <c r="H31" i="24"/>
  <c r="H40" i="24"/>
  <c r="H33" i="24"/>
  <c r="H27" i="19"/>
  <c r="H27" i="24"/>
  <c r="H35" i="19"/>
  <c r="H35" i="24"/>
  <c r="H39" i="19"/>
  <c r="H39" i="24"/>
  <c r="H38" i="24"/>
  <c r="H31" i="19"/>
  <c r="H33" i="19"/>
  <c r="E48" i="1"/>
  <c r="H37" i="19"/>
  <c r="H40" i="19"/>
  <c r="H34" i="19"/>
  <c r="H25" i="5"/>
  <c r="J54" i="1" s="1"/>
  <c r="H30" i="19"/>
  <c r="H36" i="19"/>
  <c r="H43" i="19"/>
  <c r="H44" i="19"/>
  <c r="H28" i="19"/>
  <c r="K36" i="1"/>
  <c r="E25" i="5"/>
  <c r="C28" i="5" s="1"/>
  <c r="E47" i="1" s="1"/>
  <c r="H26" i="19"/>
  <c r="H46" i="25" l="1"/>
  <c r="G58" i="25"/>
  <c r="H46" i="24"/>
  <c r="G58" i="19"/>
  <c r="G58" i="24"/>
  <c r="K47" i="1"/>
  <c r="G47" i="1"/>
  <c r="K48" i="1"/>
  <c r="G48" i="1"/>
  <c r="K54" i="1"/>
  <c r="H46" i="19"/>
  <c r="C27" i="5"/>
  <c r="H52" i="25" l="1"/>
  <c r="B52" i="25" s="1"/>
  <c r="H52" i="24"/>
  <c r="B52" i="24" s="1"/>
  <c r="H51" i="25"/>
  <c r="B51" i="25" s="1"/>
  <c r="H51" i="24"/>
  <c r="B51" i="24" s="1"/>
  <c r="C52" i="25"/>
  <c r="C51" i="25"/>
  <c r="H58" i="25"/>
  <c r="H58" i="24"/>
  <c r="C52" i="19"/>
  <c r="C52" i="24"/>
  <c r="C51" i="19"/>
  <c r="C51" i="24"/>
  <c r="H52" i="19"/>
  <c r="B52" i="19" s="1"/>
  <c r="E46" i="1"/>
  <c r="H51" i="19"/>
  <c r="B51" i="19" s="1"/>
  <c r="K46" i="1" l="1"/>
  <c r="G46" i="1"/>
  <c r="K53" i="1" l="1"/>
  <c r="H57" i="19" s="1"/>
  <c r="H50" i="25"/>
  <c r="B50" i="25" s="1"/>
  <c r="H50" i="24"/>
  <c r="B50" i="24" s="1"/>
  <c r="C50" i="25"/>
  <c r="H57" i="25"/>
  <c r="C50" i="19"/>
  <c r="C50" i="24"/>
  <c r="H50" i="19"/>
  <c r="B50" i="19" s="1"/>
  <c r="H58" i="19"/>
  <c r="H57" i="24" l="1"/>
  <c r="H53" i="25"/>
  <c r="H55" i="25" s="1"/>
  <c r="K51" i="1"/>
  <c r="K56" i="1" s="1"/>
  <c r="H60" i="19" s="1"/>
  <c r="H53" i="24"/>
  <c r="H53" i="19"/>
  <c r="B53" i="25" l="1"/>
  <c r="H60" i="25"/>
  <c r="K58" i="1"/>
  <c r="K61" i="1" s="1"/>
  <c r="H60" i="24"/>
  <c r="B53" i="24"/>
  <c r="H55" i="24"/>
  <c r="B53" i="19"/>
  <c r="H55" i="19"/>
  <c r="H65" i="25" l="1"/>
  <c r="H62" i="25"/>
  <c r="H62" i="19"/>
  <c r="H65" i="19"/>
  <c r="H62" i="24"/>
  <c r="H65" i="24"/>
</calcChain>
</file>

<file path=xl/sharedStrings.xml><?xml version="1.0" encoding="utf-8"?>
<sst xmlns="http://schemas.openxmlformats.org/spreadsheetml/2006/main" count="395" uniqueCount="230">
  <si>
    <t>Glasdiscount.nl
Voorsterweg 20
7371 GC  Loenen (Gld.)
Tel.:  055- 843 42 02
info@glasdiscount.nl</t>
  </si>
  <si>
    <t>Datum:</t>
  </si>
  <si>
    <t>Offerteprogramma</t>
  </si>
  <si>
    <t>Ordernr.:</t>
  </si>
  <si>
    <t>……</t>
  </si>
  <si>
    <r>
      <t xml:space="preserve">Stel zelf uw offerte samen door onderstaand formulier in te vullen. Wilt u bestellen, mail het Excel-bestand dan naar info@glasdiscount.nl.
Alleen de blauw gekleurde vakken zijn invoervelden. De overige velden zijn beveiligd. Waar &lt;selecteer&gt; staat kunt u uit een lijst selecteren.
Indien u niet voldoende regels heeft, kunt u een tweede formulier invullen. Als er nog vragen zijn, neem dan contact met ons op.
</t>
    </r>
    <r>
      <rPr>
        <i/>
        <sz val="10"/>
        <color rgb="FF06506F"/>
        <rFont val="Arial"/>
        <family val="2"/>
      </rPr>
      <t>Prijzen zijn exclusief btw en inclusief transportverzekering, verwijderingsbijdrage en energietoeslag.</t>
    </r>
  </si>
  <si>
    <t>STAP 1: Voer de gegevens van de beglazing in</t>
  </si>
  <si>
    <t>Aantal</t>
  </si>
  <si>
    <t>Breedte</t>
  </si>
  <si>
    <t>Hoogte</t>
  </si>
  <si>
    <t>Opp. ruit</t>
  </si>
  <si>
    <t>Prijs glas</t>
  </si>
  <si>
    <t>soort en samenstelling</t>
  </si>
  <si>
    <t>mm</t>
  </si>
  <si>
    <t>€</t>
  </si>
  <si>
    <t>stuks</t>
  </si>
  <si>
    <t>m2</t>
  </si>
  <si>
    <t xml:space="preserve">  &lt;selecteer&gt;</t>
  </si>
  <si>
    <t>&lt;selecteer&gt;</t>
  </si>
  <si>
    <t>*1 = Prijs gebaseerd minimaal 0,5 m2 per ruit</t>
  </si>
  <si>
    <t>*2 = Ruit &gt; 5 m2, neem contact op met Glasdiscount.nl</t>
  </si>
  <si>
    <t>Subtotaal</t>
  </si>
  <si>
    <t>STAP 2: Selecteer de benodigde beglazingsproducten</t>
  </si>
  <si>
    <t>Voor de montage van de hierboven opgegeven beglazing heeft u onderstaand beglazingsmateriaal nodig. U kunt de aantallen zelf aanpassen.</t>
  </si>
  <si>
    <t>Benodigde producten</t>
  </si>
  <si>
    <t>Prijs/eh.</t>
  </si>
  <si>
    <t>Prijs</t>
  </si>
  <si>
    <t>===&gt;</t>
  </si>
  <si>
    <t>Beglazingsmateriaal bestellen?</t>
  </si>
  <si>
    <t>Totaal excl. btw</t>
  </si>
  <si>
    <t>Op al onze leveringen zijn de leveringsvoorwaarden van
Glasdiscount.nl van toepassing.
Deze voorwaarden kunt u lezen of downloaden op onze
website www.glasdiscount.nl.</t>
  </si>
  <si>
    <t>Arbeidsdeel van het bedrag in €</t>
  </si>
  <si>
    <t>Totaal incl. btw</t>
  </si>
  <si>
    <t>STAP 3: Vul uw contactgegevens in</t>
  </si>
  <si>
    <t>Factuuradres</t>
  </si>
  <si>
    <t xml:space="preserve">Naam: </t>
  </si>
  <si>
    <t>*</t>
  </si>
  <si>
    <t>Straat en huisnummer:</t>
  </si>
  <si>
    <t>Postcode:</t>
  </si>
  <si>
    <t>Woonplaats:</t>
  </si>
  <si>
    <t>Land:</t>
  </si>
  <si>
    <t>Telefoonnummer 1:</t>
  </si>
  <si>
    <t>Telefoonnummer 2:</t>
  </si>
  <si>
    <t>E-mail</t>
  </si>
  <si>
    <t>Afwijkend afleveradres?</t>
  </si>
  <si>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===&gt;</t>
    </r>
  </si>
  <si>
    <t>Bezorgen of afhalen?</t>
  </si>
  <si>
    <t>&lt;kies locatie&gt;</t>
  </si>
  <si>
    <t>STAP 4: Eventuele opmerkingen</t>
  </si>
  <si>
    <t>Offerte</t>
  </si>
  <si>
    <t>Offertenr.:</t>
  </si>
  <si>
    <t>Glas</t>
  </si>
  <si>
    <t>Beglazingsmaterialen</t>
  </si>
  <si>
    <t>Opmerkingen:</t>
  </si>
  <si>
    <t>Verzending en afhandeling</t>
  </si>
  <si>
    <t>Op al onze leveringen zijn de leveringsvoorwaarden van Glasdiscount.nl van toepassing.
Deze voorwaarden kunt u lezen of downloaden op onze website www.glasdiscount.nl</t>
  </si>
  <si>
    <t>Opdrachtbevestiging</t>
  </si>
  <si>
    <t>Vervaldatum:</t>
  </si>
  <si>
    <t>Factuur</t>
  </si>
  <si>
    <t>Bij betaling het ordernummer vermelden.</t>
  </si>
  <si>
    <t>Bestellijst glas</t>
  </si>
  <si>
    <t>Zo spoedig mogelijk</t>
  </si>
  <si>
    <t>Opmerkingen</t>
  </si>
  <si>
    <t>Opmerkingen algemeen:</t>
  </si>
  <si>
    <t>Deze spreadsheet is eigendom van Glasdiscount.nl en mag uitsluitend gebruikt worden door (potentiële) relaties en klanten van Glasdiscount.nl</t>
  </si>
  <si>
    <t>Op geen enkele wijze mag dit programma gekopieerd of hergebruikt worden tenzij schriftelijke toestemming is verleend door Glasdiscount.nl</t>
  </si>
  <si>
    <t>ISOLATIEGLAS</t>
  </si>
  <si>
    <t>TOEBEHOREN GLAS</t>
  </si>
  <si>
    <t>VERZENDKOSTEN</t>
  </si>
  <si>
    <t>materiaal</t>
  </si>
  <si>
    <t>prijs</t>
  </si>
  <si>
    <t>bedrag</t>
  </si>
  <si>
    <t>tot €</t>
  </si>
  <si>
    <t>toebehoren_kit</t>
  </si>
  <si>
    <t>verzend_hoog</t>
  </si>
  <si>
    <t>verzend-tot</t>
  </si>
  <si>
    <t>verkoopprijs per m2</t>
  </si>
  <si>
    <t>toebehoren_band</t>
  </si>
  <si>
    <t>Beglazingsband 9x3 mm wit, rol á 25 m1</t>
  </si>
  <si>
    <t>verzend_laag</t>
  </si>
  <si>
    <t>toebehoren_blokjes</t>
  </si>
  <si>
    <t>Beglazingsblokjes, set per ruit</t>
  </si>
  <si>
    <t>KORTING % ISOLATIEGLAS</t>
  </si>
  <si>
    <t>ADRES LAND</t>
  </si>
  <si>
    <t>BEZORGEN/AFHALEN</t>
  </si>
  <si>
    <t>AFHAALOCATIE</t>
  </si>
  <si>
    <t>JA/NEE SELECTIE</t>
  </si>
  <si>
    <t>BTW</t>
  </si>
  <si>
    <t>adres_land</t>
  </si>
  <si>
    <t>afhalen_bezorgen</t>
  </si>
  <si>
    <t>afhaallocatie</t>
  </si>
  <si>
    <t>ja_nee_selectie</t>
  </si>
  <si>
    <t>van m2</t>
  </si>
  <si>
    <t>tot m2</t>
  </si>
  <si>
    <t>korting %</t>
  </si>
  <si>
    <t>Omschrijving</t>
  </si>
  <si>
    <t>land</t>
  </si>
  <si>
    <t>Ja of Nee</t>
  </si>
  <si>
    <t>btw type</t>
  </si>
  <si>
    <t>%</t>
  </si>
  <si>
    <t>0% korting</t>
  </si>
  <si>
    <t>Btw hoog</t>
  </si>
  <si>
    <t>btw_hoog</t>
  </si>
  <si>
    <t>Nederland</t>
  </si>
  <si>
    <t>Bezorgen</t>
  </si>
  <si>
    <t>Ja</t>
  </si>
  <si>
    <t>Btw laag</t>
  </si>
  <si>
    <t>btw_laag</t>
  </si>
  <si>
    <t>België</t>
  </si>
  <si>
    <t>Afhalen</t>
  </si>
  <si>
    <t>Almelo</t>
  </si>
  <si>
    <t>Nee</t>
  </si>
  <si>
    <t>Amsterdam</t>
  </si>
  <si>
    <t>Arnhem</t>
  </si>
  <si>
    <t>Den Helder</t>
  </si>
  <si>
    <t>Test korting %</t>
  </si>
  <si>
    <t>Eindhoven</t>
  </si>
  <si>
    <t>Aantal m2</t>
  </si>
  <si>
    <t>Emmen</t>
  </si>
  <si>
    <t>Kortings%</t>
  </si>
  <si>
    <t>Groningen</t>
  </si>
  <si>
    <t>Loenen</t>
  </si>
  <si>
    <t>Rijswijk</t>
  </si>
  <si>
    <t>Zwolle</t>
  </si>
  <si>
    <t>aantal</t>
  </si>
  <si>
    <t>breedte</t>
  </si>
  <si>
    <t>hoogte</t>
  </si>
  <si>
    <t>omtrek</t>
  </si>
  <si>
    <t>opp./ruit</t>
  </si>
  <si>
    <t>m2 glas t.b.v.</t>
  </si>
  <si>
    <t>opp. Totaal</t>
  </si>
  <si>
    <t>m1</t>
  </si>
  <si>
    <t>Kit</t>
  </si>
  <si>
    <t>kokers á 310 ml</t>
  </si>
  <si>
    <t>Band</t>
  </si>
  <si>
    <t>rollen á 25 m1</t>
  </si>
  <si>
    <t>Blokjes</t>
  </si>
  <si>
    <t>setjes</t>
  </si>
  <si>
    <t>Beglazingskit Easyseal XPS wit, koker á 310 ml</t>
  </si>
  <si>
    <t>© 2004 - 2019 Glasdiscount.nl</t>
  </si>
  <si>
    <t>Betaalwijze</t>
  </si>
  <si>
    <t>Verzendwijze</t>
  </si>
  <si>
    <t>ADVIES BEGLAZINGSMATERIAAL:</t>
  </si>
  <si>
    <t>Gewenste leverdatum</t>
  </si>
  <si>
    <t>tarieven</t>
  </si>
  <si>
    <t>m²</t>
  </si>
  <si>
    <t>Prijs/m²</t>
  </si>
  <si>
    <t>Enkel glas</t>
  </si>
  <si>
    <t>soort</t>
  </si>
  <si>
    <t>Telefoonnummer:</t>
  </si>
  <si>
    <t>In onze webshop is een meer uitgebreide keuze aan glastoebehoren te vinden.
Bezoek voor meer informatie onze website www.glasdiscount.nl.</t>
  </si>
  <si>
    <t>!</t>
  </si>
  <si>
    <t>Draadglas Spiegeldraadglas 6 mm</t>
  </si>
  <si>
    <t>Figuurglas Bamboo 5 mm</t>
  </si>
  <si>
    <t>Figuurglas Crepi 4 mm</t>
  </si>
  <si>
    <t>Figuurglas Niagara 5 mm</t>
  </si>
  <si>
    <t>Figuurglas Waterdrup (Jan Hagel) 4 mm</t>
  </si>
  <si>
    <t>&gt;0</t>
  </si>
  <si>
    <t>Glassoort</t>
  </si>
  <si>
    <t>Opp. glas totaal</t>
  </si>
  <si>
    <t>!!Opgegeven maatvoering zijn glasmaten!!</t>
  </si>
  <si>
    <t>x</t>
  </si>
  <si>
    <t>Draadglas Blank glad 6 mm</t>
  </si>
  <si>
    <t>Draadglas Blank brute gefigureerd (Engels) 6 mm</t>
  </si>
  <si>
    <t>Floatglas Blank 3 mm</t>
  </si>
  <si>
    <t>Floatglas Blank 4 mm</t>
  </si>
  <si>
    <t>Floatglas Blank 5 mm</t>
  </si>
  <si>
    <t>Floatglas Blank 6 mm</t>
  </si>
  <si>
    <t>Floatglas Blank 8 mm</t>
  </si>
  <si>
    <t>Floatglas Blank 10 mm</t>
  </si>
  <si>
    <t>Diamant Extra helder 4 mm</t>
  </si>
  <si>
    <t>Diamant Extra helder 6 mm</t>
  </si>
  <si>
    <t>Diamant Extra helder 8 mm</t>
  </si>
  <si>
    <t>Diamant Extra helder 10 mm</t>
  </si>
  <si>
    <t>Diamant Extra helder gehard 6 mm</t>
  </si>
  <si>
    <t>Diamant Extra helder gehard 8 mm</t>
  </si>
  <si>
    <t>Diamant Extra helder gehard 10 mm</t>
  </si>
  <si>
    <t>Floatglas Gekleurd Brons 4 mm</t>
  </si>
  <si>
    <t>Floatglas Gekleurd Grijs 4 mm</t>
  </si>
  <si>
    <t>Floatglas Gekleurd Groen 4 mm</t>
  </si>
  <si>
    <t>Floatglas Gekleurd Brons 6 mm</t>
  </si>
  <si>
    <t>Floatglas Gekleurd Groen 6 mm</t>
  </si>
  <si>
    <t>Floatglas Gekleurd Grijs 6 mm</t>
  </si>
  <si>
    <t>Floatglas Gekleurd Brons 8 mm</t>
  </si>
  <si>
    <t>Floatglas Gekleurd Groen 8 mm</t>
  </si>
  <si>
    <t>Floatglas Gekleurd Grijs 8 mm</t>
  </si>
  <si>
    <t>Floatglas Gekleurd Grijs 10 mm</t>
  </si>
  <si>
    <t>Figuurglas Brute 5 mm</t>
  </si>
  <si>
    <t>Spiegel Blank 3 mm</t>
  </si>
  <si>
    <t>Spiegel Blank 4 mm</t>
  </si>
  <si>
    <t>Spiegel Blank 6 mm</t>
  </si>
  <si>
    <t>Figuurglas Aero Blank 4 mm</t>
  </si>
  <si>
    <t>Figuurglas Aero Mat/Blank 4 mm</t>
  </si>
  <si>
    <t>Figuurglas Chincilla Blank 4 mm</t>
  </si>
  <si>
    <t>Figuurglas Cotswold Blank</t>
  </si>
  <si>
    <t>Figuurglas Delta Blank 4 mm</t>
  </si>
  <si>
    <t>Figuurglas Delta Mat/Blank 4 mm</t>
  </si>
  <si>
    <t>Figuurglas Farao Blank 4 mm</t>
  </si>
  <si>
    <t>Figuurglas Flutes (Canallé) Blank 4 mm</t>
  </si>
  <si>
    <t>Figuurglas Flutes (Canallé) Mat/Blank 4 mm</t>
  </si>
  <si>
    <t>Figuurglas Gegoten antiek Blank 4 mm</t>
  </si>
  <si>
    <t>Figuurglas Gothic Geel 4 mm</t>
  </si>
  <si>
    <t>Figuurglas Mastercarré Blank 4 mm</t>
  </si>
  <si>
    <t>Figuurglas Masterligne Blank 4 mm</t>
  </si>
  <si>
    <t>Figuurglas Masterpoint Blank 4 mm</t>
  </si>
  <si>
    <t xml:space="preserve">Figuurglas Matelux/Satijn 4 mm </t>
  </si>
  <si>
    <t xml:space="preserve">Figuurglas Matelux/Satijn 6 mm </t>
  </si>
  <si>
    <t>Figuurglas Matelux/Satijn 8 mm</t>
  </si>
  <si>
    <t>Figuurglas Matobel 2-zijdig ontspiegeld 2 mm</t>
  </si>
  <si>
    <t>Figuurglas Silvit Blank 4 mm</t>
  </si>
  <si>
    <t>Figuurglas Spotlite Blank 4 mm</t>
  </si>
  <si>
    <t>ENKELGLAS</t>
  </si>
  <si>
    <t>enkelglas</t>
  </si>
  <si>
    <t>enkelglas_artikel</t>
  </si>
  <si>
    <t>enkelglas_prijs</t>
  </si>
  <si>
    <t>enkelglas_korting</t>
  </si>
  <si>
    <t>x Geen prijs glassolutions</t>
  </si>
  <si>
    <t>Figuurglas Byzantijns fijn Blank 4 mm</t>
  </si>
  <si>
    <t>x nieuw</t>
  </si>
  <si>
    <t>Figuurglas Antique 4 mm</t>
  </si>
  <si>
    <t>Figuurglas Cathedral max Blank 4 mm</t>
  </si>
  <si>
    <t>Figuurglas Cathedraal min Blank 4 mm</t>
  </si>
  <si>
    <t>Figuurglas Cathedraal min Geel 4 mm</t>
  </si>
  <si>
    <t>Figuurglas Cathedraal min Groen 4 mm</t>
  </si>
  <si>
    <t>Figuurglas Byzantijns grof Blank 4 mm</t>
  </si>
  <si>
    <t>x naamswijziging</t>
  </si>
  <si>
    <t>?? Naamswijziging</t>
  </si>
  <si>
    <t>Figuurglas Canale Blank 4 mm</t>
  </si>
  <si>
    <t>Figuurglas Gothic Blank 4 mm</t>
  </si>
  <si>
    <t>Figuurglas Nylon Blank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</si>
</sst>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€&quot;\ * #,##0.00_ ;_ &quot;€&quot;\ * \-#,##0.00_ ;_ &quot;€&quot;\ * &quot;-&quot;??_ ;_ @_ 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&quot;€&quot;\ #,##0.00_-"/>
    <numFmt numFmtId="167" formatCode="0.000"/>
    <numFmt numFmtId="168" formatCode="0#########"/>
    <numFmt numFmtId="169" formatCode="&quot;€&quot;\ #,##0.00"/>
    <numFmt numFmtId="170" formatCode="[$-413]d\ mmmm\ yyyy;@"/>
    <numFmt numFmtId="171" formatCode="#,##0.000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i/>
      <sz val="10"/>
      <color rgb="FF06506F"/>
      <name val="Arial"/>
      <family val="2"/>
    </font>
    <font>
      <sz val="11"/>
      <color rgb="FFFF0000"/>
      <name val="Arial"/>
      <family val="2"/>
    </font>
    <font>
      <i/>
      <sz val="10"/>
      <color rgb="FFFF0000"/>
      <name val="Arial Narrow"/>
      <family val="2"/>
    </font>
    <font>
      <sz val="22"/>
      <color theme="0"/>
      <name val="Arial"/>
      <family val="2"/>
    </font>
    <font>
      <i/>
      <sz val="10"/>
      <color rgb="FFFF0000"/>
      <name val="Arial"/>
      <family val="2"/>
    </font>
    <font>
      <sz val="10"/>
      <color rgb="FF06506F"/>
      <name val="Arial"/>
      <family val="2"/>
    </font>
    <font>
      <b/>
      <sz val="12"/>
      <color rgb="FF06506F"/>
      <name val="Arial"/>
      <family val="2"/>
    </font>
    <font>
      <i/>
      <sz val="8"/>
      <color rgb="FFFF0000"/>
      <name val="Arial"/>
      <family val="2"/>
    </font>
    <font>
      <i/>
      <sz val="10"/>
      <color rgb="FF06506F"/>
      <name val="Arial Narrow"/>
      <family val="2"/>
    </font>
    <font>
      <b/>
      <i/>
      <sz val="8"/>
      <name val="Arial Narrow"/>
      <family val="2"/>
    </font>
    <font>
      <sz val="1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506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30" fillId="0" borderId="0" applyFont="0" applyFill="0" applyBorder="0" applyAlignment="0" applyProtection="0"/>
  </cellStyleXfs>
  <cellXfs count="495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Border="1"/>
    <xf numFmtId="0" fontId="1" fillId="3" borderId="0" xfId="0" applyFont="1" applyFill="1" applyAlignment="1">
      <alignment horizontal="right" vertical="center"/>
    </xf>
    <xf numFmtId="169" fontId="0" fillId="3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right" vertical="center"/>
    </xf>
    <xf numFmtId="169" fontId="0" fillId="3" borderId="0" xfId="0" applyNumberForma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12" fillId="3" borderId="3" xfId="0" applyFont="1" applyFill="1" applyBorder="1"/>
    <xf numFmtId="0" fontId="12" fillId="3" borderId="4" xfId="0" applyFont="1" applyFill="1" applyBorder="1"/>
    <xf numFmtId="169" fontId="12" fillId="3" borderId="5" xfId="0" applyNumberFormat="1" applyFont="1" applyFill="1" applyBorder="1"/>
    <xf numFmtId="0" fontId="12" fillId="3" borderId="6" xfId="0" applyFont="1" applyFill="1" applyBorder="1"/>
    <xf numFmtId="0" fontId="12" fillId="3" borderId="2" xfId="0" applyFont="1" applyFill="1" applyBorder="1"/>
    <xf numFmtId="0" fontId="1" fillId="6" borderId="8" xfId="0" applyFont="1" applyFill="1" applyBorder="1" applyAlignment="1">
      <alignment horizontal="left" indent="1"/>
    </xf>
    <xf numFmtId="0" fontId="0" fillId="6" borderId="9" xfId="0" applyFill="1" applyBorder="1"/>
    <xf numFmtId="0" fontId="0" fillId="6" borderId="10" xfId="0" applyFill="1" applyBorder="1"/>
    <xf numFmtId="0" fontId="18" fillId="4" borderId="11" xfId="0" applyFont="1" applyFill="1" applyBorder="1" applyAlignment="1">
      <alignment horizontal="left" indent="1"/>
    </xf>
    <xf numFmtId="0" fontId="18" fillId="4" borderId="12" xfId="0" applyFont="1" applyFill="1" applyBorder="1"/>
    <xf numFmtId="0" fontId="18" fillId="4" borderId="14" xfId="0" applyFont="1" applyFill="1" applyBorder="1" applyAlignment="1">
      <alignment horizontal="left" indent="1"/>
    </xf>
    <xf numFmtId="0" fontId="18" fillId="4" borderId="15" xfId="0" applyNumberFormat="1" applyFont="1" applyFill="1" applyBorder="1"/>
    <xf numFmtId="0" fontId="18" fillId="4" borderId="15" xfId="0" applyFont="1" applyFill="1" applyBorder="1"/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" fillId="3" borderId="0" xfId="0" applyFont="1" applyFill="1" applyAlignment="1">
      <alignment horizontal="right" vertical="center" indent="1"/>
    </xf>
    <xf numFmtId="169" fontId="10" fillId="3" borderId="9" xfId="0" applyNumberFormat="1" applyFont="1" applyFill="1" applyBorder="1" applyAlignment="1">
      <alignment horizontal="right" vertical="center"/>
    </xf>
    <xf numFmtId="0" fontId="19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Alignment="1">
      <alignment horizontal="right" vertical="center" indent="1"/>
    </xf>
    <xf numFmtId="14" fontId="1" fillId="3" borderId="0" xfId="0" applyNumberFormat="1" applyFont="1" applyFill="1" applyBorder="1" applyAlignment="1">
      <alignment horizontal="left" indent="1"/>
    </xf>
    <xf numFmtId="1" fontId="18" fillId="4" borderId="0" xfId="0" applyNumberFormat="1" applyFont="1" applyFill="1" applyBorder="1" applyAlignment="1" applyProtection="1">
      <alignment horizontal="left"/>
      <protection locked="0"/>
    </xf>
    <xf numFmtId="0" fontId="12" fillId="3" borderId="0" xfId="0" applyFont="1" applyFill="1" applyBorder="1"/>
    <xf numFmtId="1" fontId="18" fillId="4" borderId="0" xfId="0" applyNumberFormat="1" applyFont="1" applyFill="1" applyBorder="1" applyAlignment="1" applyProtection="1">
      <alignment horizontal="left"/>
    </xf>
    <xf numFmtId="0" fontId="0" fillId="3" borderId="1" xfId="0" applyFill="1" applyBorder="1" applyAlignment="1"/>
    <xf numFmtId="0" fontId="16" fillId="6" borderId="25" xfId="0" applyFont="1" applyFill="1" applyBorder="1" applyAlignment="1">
      <alignment horizontal="center"/>
    </xf>
    <xf numFmtId="0" fontId="16" fillId="6" borderId="26" xfId="0" applyFont="1" applyFill="1" applyBorder="1" applyAlignment="1">
      <alignment horizontal="center"/>
    </xf>
    <xf numFmtId="0" fontId="12" fillId="3" borderId="27" xfId="0" applyFont="1" applyFill="1" applyBorder="1"/>
    <xf numFmtId="0" fontId="12" fillId="3" borderId="29" xfId="0" applyFont="1" applyFill="1" applyBorder="1"/>
    <xf numFmtId="0" fontId="8" fillId="3" borderId="0" xfId="0" applyFont="1" applyFill="1" applyBorder="1" applyAlignment="1" applyProtection="1">
      <alignment vertical="top" wrapText="1"/>
    </xf>
    <xf numFmtId="0" fontId="13" fillId="3" borderId="0" xfId="0" applyFont="1" applyFill="1" applyBorder="1" applyAlignment="1" applyProtection="1">
      <alignment horizontal="left" vertical="top" wrapText="1" indent="1"/>
    </xf>
    <xf numFmtId="0" fontId="20" fillId="2" borderId="0" xfId="0" applyFont="1" applyFill="1"/>
    <xf numFmtId="4" fontId="1" fillId="3" borderId="30" xfId="0" applyNumberFormat="1" applyFont="1" applyFill="1" applyBorder="1" applyProtection="1"/>
    <xf numFmtId="0" fontId="1" fillId="3" borderId="0" xfId="0" applyFont="1" applyFill="1" applyBorder="1" applyAlignment="1" applyProtection="1"/>
    <xf numFmtId="167" fontId="1" fillId="3" borderId="0" xfId="0" applyNumberFormat="1" applyFont="1" applyFill="1" applyBorder="1" applyAlignment="1" applyProtection="1">
      <alignment horizontal="right" vertical="center" indent="1"/>
    </xf>
    <xf numFmtId="0" fontId="2" fillId="7" borderId="21" xfId="0" applyFont="1" applyFill="1" applyBorder="1" applyProtection="1">
      <protection locked="0"/>
    </xf>
    <xf numFmtId="49" fontId="1" fillId="3" borderId="0" xfId="0" applyNumberFormat="1" applyFont="1" applyFill="1" applyBorder="1" applyAlignment="1" applyProtection="1"/>
    <xf numFmtId="168" fontId="1" fillId="3" borderId="0" xfId="0" applyNumberFormat="1" applyFont="1" applyFill="1" applyBorder="1" applyAlignment="1" applyProtection="1"/>
    <xf numFmtId="0" fontId="2" fillId="3" borderId="0" xfId="0" applyFont="1" applyFill="1" applyBorder="1" applyAlignment="1" applyProtection="1">
      <alignment horizontal="left"/>
    </xf>
    <xf numFmtId="0" fontId="17" fillId="3" borderId="0" xfId="0" applyFont="1" applyFill="1" applyBorder="1" applyAlignment="1" applyProtection="1"/>
    <xf numFmtId="49" fontId="17" fillId="3" borderId="0" xfId="0" applyNumberFormat="1" applyFont="1" applyFill="1" applyBorder="1" applyAlignment="1" applyProtection="1"/>
    <xf numFmtId="168" fontId="17" fillId="3" borderId="0" xfId="0" applyNumberFormat="1" applyFont="1" applyFill="1" applyBorder="1" applyAlignment="1" applyProtection="1"/>
    <xf numFmtId="3" fontId="2" fillId="7" borderId="23" xfId="0" applyNumberFormat="1" applyFont="1" applyFill="1" applyBorder="1" applyProtection="1">
      <protection locked="0"/>
    </xf>
    <xf numFmtId="3" fontId="2" fillId="7" borderId="24" xfId="0" applyNumberFormat="1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 vertical="center"/>
    </xf>
    <xf numFmtId="0" fontId="0" fillId="5" borderId="0" xfId="0" applyFill="1" applyProtection="1"/>
    <xf numFmtId="0" fontId="0" fillId="3" borderId="0" xfId="0" applyFill="1" applyProtection="1"/>
    <xf numFmtId="0" fontId="18" fillId="4" borderId="11" xfId="0" applyFont="1" applyFill="1" applyBorder="1" applyAlignment="1" applyProtection="1">
      <alignment horizontal="left" indent="1"/>
    </xf>
    <xf numFmtId="0" fontId="18" fillId="4" borderId="12" xfId="0" applyFont="1" applyFill="1" applyBorder="1" applyAlignment="1" applyProtection="1">
      <alignment horizontal="left" indent="1"/>
    </xf>
    <xf numFmtId="0" fontId="18" fillId="4" borderId="12" xfId="0" applyFont="1" applyFill="1" applyBorder="1" applyProtection="1"/>
    <xf numFmtId="0" fontId="18" fillId="4" borderId="38" xfId="0" applyFont="1" applyFill="1" applyBorder="1" applyAlignment="1" applyProtection="1">
      <alignment horizontal="right"/>
    </xf>
    <xf numFmtId="0" fontId="18" fillId="4" borderId="0" xfId="0" applyFont="1" applyFill="1" applyBorder="1" applyAlignment="1" applyProtection="1">
      <alignment horizontal="left"/>
    </xf>
    <xf numFmtId="0" fontId="18" fillId="4" borderId="0" xfId="0" applyFont="1" applyFill="1" applyBorder="1" applyProtection="1"/>
    <xf numFmtId="0" fontId="18" fillId="4" borderId="14" xfId="0" applyFont="1" applyFill="1" applyBorder="1" applyAlignment="1" applyProtection="1">
      <alignment horizontal="left" indent="1"/>
    </xf>
    <xf numFmtId="0" fontId="18" fillId="4" borderId="15" xfId="0" applyFont="1" applyFill="1" applyBorder="1" applyAlignment="1" applyProtection="1">
      <alignment horizontal="left" indent="1"/>
    </xf>
    <xf numFmtId="0" fontId="18" fillId="4" borderId="15" xfId="0" applyNumberFormat="1" applyFont="1" applyFill="1" applyBorder="1" applyProtection="1"/>
    <xf numFmtId="0" fontId="18" fillId="4" borderId="15" xfId="0" applyFont="1" applyFill="1" applyBorder="1" applyProtection="1"/>
    <xf numFmtId="0" fontId="0" fillId="3" borderId="12" xfId="0" applyFill="1" applyBorder="1" applyProtection="1"/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left"/>
    </xf>
    <xf numFmtId="0" fontId="16" fillId="6" borderId="49" xfId="0" applyFont="1" applyFill="1" applyBorder="1" applyAlignment="1" applyProtection="1">
      <alignment horizontal="center"/>
    </xf>
    <xf numFmtId="0" fontId="16" fillId="6" borderId="17" xfId="0" applyFont="1" applyFill="1" applyBorder="1" applyAlignment="1" applyProtection="1">
      <alignment horizontal="center"/>
    </xf>
    <xf numFmtId="0" fontId="16" fillId="6" borderId="19" xfId="0" applyFont="1" applyFill="1" applyBorder="1" applyAlignment="1" applyProtection="1">
      <alignment horizontal="center"/>
    </xf>
    <xf numFmtId="0" fontId="16" fillId="6" borderId="31" xfId="0" applyFont="1" applyFill="1" applyBorder="1" applyAlignment="1" applyProtection="1">
      <alignment horizontal="center"/>
    </xf>
    <xf numFmtId="0" fontId="16" fillId="6" borderId="18" xfId="0" applyFont="1" applyFill="1" applyBorder="1" applyAlignment="1" applyProtection="1">
      <alignment horizontal="center"/>
    </xf>
    <xf numFmtId="0" fontId="16" fillId="6" borderId="20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0" fillId="3" borderId="5" xfId="0" applyFill="1" applyBorder="1" applyAlignment="1" applyProtection="1">
      <alignment horizontal="left"/>
    </xf>
    <xf numFmtId="0" fontId="0" fillId="3" borderId="3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3" xfId="0" applyFill="1" applyBorder="1" applyProtection="1"/>
    <xf numFmtId="0" fontId="11" fillId="3" borderId="0" xfId="0" applyFont="1" applyFill="1" applyProtection="1"/>
    <xf numFmtId="0" fontId="0" fillId="3" borderId="6" xfId="0" applyFill="1" applyBorder="1" applyProtection="1"/>
    <xf numFmtId="0" fontId="0" fillId="3" borderId="2" xfId="0" applyFill="1" applyBorder="1" applyProtection="1"/>
    <xf numFmtId="0" fontId="0" fillId="3" borderId="30" xfId="0" applyFill="1" applyBorder="1" applyProtection="1"/>
    <xf numFmtId="2" fontId="1" fillId="3" borderId="6" xfId="0" applyNumberFormat="1" applyFont="1" applyFill="1" applyBorder="1" applyProtection="1"/>
    <xf numFmtId="0" fontId="1" fillId="3" borderId="0" xfId="0" applyFont="1" applyFill="1" applyBorder="1" applyAlignment="1" applyProtection="1">
      <alignment vertical="top" wrapText="1"/>
    </xf>
    <xf numFmtId="0" fontId="1" fillId="3" borderId="0" xfId="0" applyFont="1" applyFill="1" applyBorder="1" applyAlignment="1" applyProtection="1">
      <alignment horizontal="right" vertical="center" indent="1"/>
    </xf>
    <xf numFmtId="166" fontId="0" fillId="5" borderId="0" xfId="0" applyNumberFormat="1" applyFill="1" applyBorder="1" applyProtection="1"/>
    <xf numFmtId="166" fontId="0" fillId="3" borderId="0" xfId="0" applyNumberForma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right"/>
    </xf>
    <xf numFmtId="0" fontId="16" fillId="6" borderId="51" xfId="0" applyFont="1" applyFill="1" applyBorder="1" applyAlignment="1" applyProtection="1">
      <alignment horizontal="center"/>
    </xf>
    <xf numFmtId="0" fontId="16" fillId="3" borderId="4" xfId="0" applyFont="1" applyFill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center"/>
    </xf>
    <xf numFmtId="166" fontId="1" fillId="3" borderId="0" xfId="0" applyNumberFormat="1" applyFont="1" applyFill="1" applyBorder="1" applyProtection="1"/>
    <xf numFmtId="0" fontId="1" fillId="3" borderId="0" xfId="0" quotePrefix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left"/>
    </xf>
    <xf numFmtId="0" fontId="1" fillId="3" borderId="3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vertical="center" wrapText="1"/>
    </xf>
    <xf numFmtId="166" fontId="4" fillId="5" borderId="0" xfId="0" applyNumberFormat="1" applyFont="1" applyFill="1" applyBorder="1" applyProtection="1"/>
    <xf numFmtId="0" fontId="16" fillId="3" borderId="0" xfId="0" applyFont="1" applyFill="1" applyBorder="1" applyAlignment="1" applyProtection="1">
      <alignment vertical="top" wrapText="1"/>
    </xf>
    <xf numFmtId="166" fontId="1" fillId="3" borderId="0" xfId="0" quotePrefix="1" applyNumberFormat="1" applyFont="1" applyFill="1" applyBorder="1" applyProtection="1"/>
    <xf numFmtId="0" fontId="1" fillId="3" borderId="3" xfId="0" applyFont="1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 wrapText="1"/>
    </xf>
    <xf numFmtId="0" fontId="1" fillId="3" borderId="21" xfId="0" applyFont="1" applyFill="1" applyBorder="1" applyAlignment="1" applyProtection="1">
      <alignment horizontal="left" indent="1"/>
    </xf>
    <xf numFmtId="0" fontId="0" fillId="5" borderId="0" xfId="0" applyFill="1" applyBorder="1" applyAlignment="1" applyProtection="1">
      <alignment vertical="top" wrapText="1" shrinkToFit="1"/>
    </xf>
    <xf numFmtId="0" fontId="1" fillId="3" borderId="0" xfId="0" applyFont="1" applyFill="1" applyBorder="1" applyAlignment="1" applyProtection="1">
      <alignment vertical="top" wrapText="1" shrinkToFit="1"/>
    </xf>
    <xf numFmtId="0" fontId="0" fillId="3" borderId="0" xfId="0" applyFill="1" applyBorder="1" applyAlignment="1" applyProtection="1">
      <alignment vertical="top" wrapText="1" shrinkToFit="1"/>
    </xf>
    <xf numFmtId="0" fontId="17" fillId="3" borderId="0" xfId="0" applyFont="1" applyFill="1" applyBorder="1" applyProtection="1"/>
    <xf numFmtId="0" fontId="1" fillId="3" borderId="6" xfId="0" applyFont="1" applyFill="1" applyBorder="1" applyProtection="1"/>
    <xf numFmtId="0" fontId="1" fillId="3" borderId="0" xfId="0" applyFont="1" applyFill="1" applyBorder="1" applyAlignment="1" applyProtection="1">
      <alignment horizontal="left" indent="1"/>
    </xf>
    <xf numFmtId="14" fontId="1" fillId="3" borderId="0" xfId="0" applyNumberFormat="1" applyFont="1" applyFill="1" applyBorder="1" applyAlignment="1" applyProtection="1"/>
    <xf numFmtId="14" fontId="1" fillId="3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horizontal="left" vertical="top"/>
    </xf>
    <xf numFmtId="14" fontId="3" fillId="3" borderId="0" xfId="0" applyNumberFormat="1" applyFont="1" applyFill="1" applyBorder="1" applyAlignment="1" applyProtection="1">
      <alignment horizontal="left"/>
    </xf>
    <xf numFmtId="14" fontId="0" fillId="3" borderId="0" xfId="0" applyNumberFormat="1" applyFill="1" applyBorder="1" applyAlignment="1" applyProtection="1">
      <alignment horizontal="center"/>
    </xf>
    <xf numFmtId="0" fontId="1" fillId="3" borderId="0" xfId="0" quotePrefix="1" applyFont="1" applyFill="1" applyProtection="1"/>
    <xf numFmtId="0" fontId="19" fillId="3" borderId="0" xfId="0" applyFont="1" applyFill="1" applyBorder="1" applyAlignment="1" applyProtection="1">
      <alignment wrapText="1"/>
    </xf>
    <xf numFmtId="166" fontId="16" fillId="6" borderId="42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horizontal="right" vertical="center" indent="1"/>
    </xf>
    <xf numFmtId="0" fontId="1" fillId="9" borderId="0" xfId="0" applyFont="1" applyFill="1" applyProtection="1"/>
    <xf numFmtId="0" fontId="28" fillId="3" borderId="0" xfId="0" applyFont="1" applyFill="1" applyAlignment="1">
      <alignment horizontal="center"/>
    </xf>
    <xf numFmtId="0" fontId="26" fillId="3" borderId="0" xfId="0" applyFont="1" applyFill="1"/>
    <xf numFmtId="0" fontId="28" fillId="3" borderId="0" xfId="0" applyFont="1" applyFill="1" applyAlignment="1" applyProtection="1">
      <alignment horizontal="center"/>
    </xf>
    <xf numFmtId="167" fontId="1" fillId="3" borderId="55" xfId="0" applyNumberFormat="1" applyFont="1" applyFill="1" applyBorder="1" applyProtection="1"/>
    <xf numFmtId="171" fontId="1" fillId="3" borderId="0" xfId="0" applyNumberFormat="1" applyFont="1" applyFill="1" applyProtection="1"/>
    <xf numFmtId="171" fontId="1" fillId="3" borderId="56" xfId="0" applyNumberFormat="1" applyFont="1" applyFill="1" applyBorder="1" applyProtection="1"/>
    <xf numFmtId="0" fontId="19" fillId="3" borderId="0" xfId="0" applyFont="1" applyFill="1" applyBorder="1" applyAlignment="1" applyProtection="1">
      <alignment vertical="center" wrapText="1"/>
    </xf>
    <xf numFmtId="0" fontId="1" fillId="3" borderId="55" xfId="0" applyFont="1" applyFill="1" applyBorder="1"/>
    <xf numFmtId="0" fontId="1" fillId="3" borderId="56" xfId="0" applyFont="1" applyFill="1" applyBorder="1"/>
    <xf numFmtId="3" fontId="1" fillId="3" borderId="0" xfId="0" applyNumberFormat="1" applyFont="1" applyFill="1"/>
    <xf numFmtId="3" fontId="1" fillId="3" borderId="55" xfId="0" applyNumberFormat="1" applyFont="1" applyFill="1" applyBorder="1"/>
    <xf numFmtId="0" fontId="1" fillId="9" borderId="0" xfId="0" applyFont="1" applyFill="1"/>
    <xf numFmtId="2" fontId="2" fillId="3" borderId="21" xfId="0" applyNumberFormat="1" applyFont="1" applyFill="1" applyBorder="1" applyProtection="1">
      <protection hidden="1"/>
    </xf>
    <xf numFmtId="0" fontId="1" fillId="7" borderId="33" xfId="0" applyFont="1" applyFill="1" applyBorder="1" applyAlignment="1" applyProtection="1">
      <alignment horizontal="center"/>
      <protection locked="0" hidden="1"/>
    </xf>
    <xf numFmtId="0" fontId="1" fillId="7" borderId="24" xfId="0" applyFont="1" applyFill="1" applyBorder="1" applyAlignment="1" applyProtection="1">
      <alignment horizontal="center"/>
      <protection locked="0" hidden="1"/>
    </xf>
    <xf numFmtId="0" fontId="26" fillId="3" borderId="0" xfId="0" quotePrefix="1" applyFont="1" applyFill="1"/>
    <xf numFmtId="0" fontId="1" fillId="3" borderId="0" xfId="0" applyFont="1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/>
      <protection locked="0"/>
    </xf>
    <xf numFmtId="0" fontId="21" fillId="3" borderId="15" xfId="0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0" xfId="0" quotePrefix="1" applyFont="1" applyFill="1" applyBorder="1" applyAlignment="1" applyProtection="1">
      <alignment horizontal="left" vertical="center"/>
    </xf>
    <xf numFmtId="0" fontId="28" fillId="3" borderId="0" xfId="0" applyFont="1" applyFill="1" applyBorder="1" applyAlignment="1" applyProtection="1">
      <alignment horizontal="center"/>
    </xf>
    <xf numFmtId="0" fontId="28" fillId="3" borderId="0" xfId="0" applyFont="1" applyFill="1" applyBorder="1" applyAlignment="1" applyProtection="1">
      <alignment horizontal="center" wrapText="1"/>
    </xf>
    <xf numFmtId="0" fontId="1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Protection="1"/>
    <xf numFmtId="0" fontId="1" fillId="6" borderId="0" xfId="0" applyFont="1" applyFill="1" applyBorder="1" applyProtection="1"/>
    <xf numFmtId="165" fontId="1" fillId="6" borderId="0" xfId="0" applyNumberFormat="1" applyFont="1" applyFill="1" applyBorder="1" applyProtection="1"/>
    <xf numFmtId="164" fontId="1" fillId="6" borderId="0" xfId="0" applyNumberFormat="1" applyFont="1" applyFill="1" applyBorder="1" applyProtection="1"/>
    <xf numFmtId="166" fontId="1" fillId="9" borderId="0" xfId="0" applyNumberFormat="1" applyFont="1" applyFill="1" applyBorder="1" applyProtection="1"/>
    <xf numFmtId="166" fontId="1" fillId="6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>
      <alignment horizontal="left"/>
    </xf>
    <xf numFmtId="164" fontId="1" fillId="6" borderId="0" xfId="0" applyNumberFormat="1" applyFont="1" applyFill="1" applyBorder="1" applyAlignment="1" applyProtection="1"/>
    <xf numFmtId="169" fontId="1" fillId="3" borderId="0" xfId="0" applyNumberFormat="1" applyFont="1" applyFill="1" applyBorder="1" applyProtection="1"/>
    <xf numFmtId="164" fontId="1" fillId="6" borderId="0" xfId="0" applyNumberFormat="1" applyFont="1" applyFill="1" applyProtection="1"/>
    <xf numFmtId="166" fontId="1" fillId="3" borderId="0" xfId="0" applyNumberFormat="1" applyFont="1" applyFill="1" applyBorder="1" applyAlignment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/>
    <xf numFmtId="0" fontId="1" fillId="9" borderId="0" xfId="0" applyFont="1" applyFill="1" applyAlignment="1" applyProtection="1">
      <alignment horizontal="center"/>
    </xf>
    <xf numFmtId="0" fontId="1" fillId="6" borderId="0" xfId="0" applyFont="1" applyFill="1" applyProtection="1"/>
    <xf numFmtId="2" fontId="1" fillId="6" borderId="0" xfId="0" applyNumberFormat="1" applyFont="1" applyFill="1" applyBorder="1" applyAlignment="1" applyProtection="1">
      <alignment horizontal="right"/>
    </xf>
    <xf numFmtId="9" fontId="1" fillId="6" borderId="0" xfId="0" applyNumberFormat="1" applyFont="1" applyFill="1" applyBorder="1" applyAlignment="1" applyProtection="1">
      <alignment horizontal="center"/>
    </xf>
    <xf numFmtId="0" fontId="28" fillId="3" borderId="0" xfId="0" applyFont="1" applyFill="1" applyBorder="1" applyProtection="1"/>
    <xf numFmtId="0" fontId="1" fillId="6" borderId="0" xfId="0" applyFont="1" applyFill="1" applyBorder="1" applyAlignment="1" applyProtection="1">
      <alignment horizontal="left"/>
    </xf>
    <xf numFmtId="9" fontId="1" fillId="3" borderId="0" xfId="0" applyNumberFormat="1" applyFont="1" applyFill="1" applyBorder="1" applyAlignment="1" applyProtection="1">
      <alignment horizontal="left"/>
    </xf>
    <xf numFmtId="44" fontId="1" fillId="7" borderId="54" xfId="0" applyNumberFormat="1" applyFont="1" applyFill="1" applyBorder="1" applyAlignment="1" applyProtection="1">
      <alignment horizontal="left"/>
      <protection locked="0"/>
    </xf>
    <xf numFmtId="164" fontId="1" fillId="3" borderId="53" xfId="0" quotePrefix="1" applyNumberFormat="1" applyFont="1" applyFill="1" applyBorder="1" applyAlignment="1" applyProtection="1">
      <alignment horizontal="left"/>
    </xf>
    <xf numFmtId="164" fontId="1" fillId="3" borderId="23" xfId="0" quotePrefix="1" applyNumberFormat="1" applyFont="1" applyFill="1" applyBorder="1" applyAlignment="1" applyProtection="1">
      <alignment horizontal="left"/>
    </xf>
    <xf numFmtId="164" fontId="2" fillId="3" borderId="24" xfId="0" applyNumberFormat="1" applyFont="1" applyFill="1" applyBorder="1" applyAlignment="1" applyProtection="1">
      <alignment horizontal="left"/>
      <protection hidden="1"/>
    </xf>
    <xf numFmtId="0" fontId="16" fillId="6" borderId="5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 indent="1"/>
    </xf>
    <xf numFmtId="0" fontId="18" fillId="4" borderId="0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Border="1" applyAlignment="1" applyProtection="1">
      <alignment horizontal="left" vertical="top" wrapText="1" indent="1"/>
    </xf>
    <xf numFmtId="0" fontId="29" fillId="3" borderId="0" xfId="0" applyFont="1" applyFill="1" applyProtection="1"/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12" fillId="3" borderId="43" xfId="0" applyFont="1" applyFill="1" applyBorder="1" applyAlignment="1">
      <alignment horizontal="center"/>
    </xf>
    <xf numFmtId="170" fontId="18" fillId="4" borderId="0" xfId="0" applyNumberFormat="1" applyFont="1" applyFill="1" applyBorder="1" applyAlignment="1" applyProtection="1">
      <alignment horizontal="left"/>
    </xf>
    <xf numFmtId="169" fontId="12" fillId="3" borderId="30" xfId="0" applyNumberFormat="1" applyFont="1" applyFill="1" applyBorder="1" applyAlignment="1">
      <alignment horizontal="right" vertical="center"/>
    </xf>
    <xf numFmtId="169" fontId="12" fillId="3" borderId="5" xfId="0" applyNumberFormat="1" applyFont="1" applyFill="1" applyBorder="1" applyAlignment="1">
      <alignment horizontal="right" vertical="center"/>
    </xf>
    <xf numFmtId="0" fontId="18" fillId="4" borderId="38" xfId="0" applyFont="1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 indent="1"/>
    </xf>
    <xf numFmtId="49" fontId="1" fillId="3" borderId="29" xfId="1" applyNumberFormat="1" applyFont="1" applyFill="1" applyBorder="1" applyAlignment="1" applyProtection="1"/>
    <xf numFmtId="49" fontId="1" fillId="3" borderId="36" xfId="1" applyNumberFormat="1" applyFont="1" applyFill="1" applyBorder="1" applyAlignment="1" applyProtection="1"/>
    <xf numFmtId="0" fontId="26" fillId="3" borderId="0" xfId="0" applyFont="1" applyFill="1" applyBorder="1" applyAlignment="1" applyProtection="1">
      <alignment horizontal="left" wrapText="1" indent="1"/>
    </xf>
    <xf numFmtId="166" fontId="16" fillId="8" borderId="1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18" fillId="4" borderId="38" xfId="0" applyFont="1" applyFill="1" applyBorder="1" applyAlignment="1">
      <alignment horizontal="left" indent="1"/>
    </xf>
    <xf numFmtId="0" fontId="1" fillId="3" borderId="38" xfId="0" applyNumberFormat="1" applyFont="1" applyFill="1" applyBorder="1" applyAlignment="1">
      <alignment horizontal="left" indent="1"/>
    </xf>
    <xf numFmtId="0" fontId="1" fillId="3" borderId="0" xfId="0" applyNumberFormat="1" applyFont="1" applyFill="1" applyBorder="1" applyAlignment="1">
      <alignment horizontal="left" indent="1"/>
    </xf>
    <xf numFmtId="0" fontId="12" fillId="3" borderId="43" xfId="0" applyFont="1" applyFill="1" applyBorder="1" applyAlignment="1">
      <alignment horizontal="center"/>
    </xf>
    <xf numFmtId="170" fontId="18" fillId="4" borderId="0" xfId="0" applyNumberFormat="1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 wrapText="1" indent="1"/>
    </xf>
    <xf numFmtId="166" fontId="1" fillId="3" borderId="5" xfId="0" applyNumberFormat="1" applyFont="1" applyFill="1" applyBorder="1" applyProtection="1"/>
    <xf numFmtId="44" fontId="1" fillId="3" borderId="33" xfId="0" applyNumberFormat="1" applyFont="1" applyFill="1" applyBorder="1" applyAlignment="1" applyProtection="1">
      <alignment horizontal="left"/>
      <protection hidden="1"/>
    </xf>
    <xf numFmtId="44" fontId="1" fillId="3" borderId="7" xfId="0" quotePrefix="1" applyNumberFormat="1" applyFont="1" applyFill="1" applyBorder="1" applyAlignment="1" applyProtection="1">
      <alignment horizontal="left"/>
      <protection hidden="1"/>
    </xf>
    <xf numFmtId="0" fontId="0" fillId="3" borderId="44" xfId="0" applyFill="1" applyBorder="1" applyProtection="1"/>
    <xf numFmtId="2" fontId="1" fillId="3" borderId="36" xfId="0" applyNumberFormat="1" applyFont="1" applyFill="1" applyBorder="1" applyProtection="1"/>
    <xf numFmtId="2" fontId="26" fillId="3" borderId="34" xfId="0" applyNumberFormat="1" applyFont="1" applyFill="1" applyBorder="1" applyAlignment="1" applyProtection="1">
      <alignment horizontal="center"/>
      <protection hidden="1"/>
    </xf>
    <xf numFmtId="0" fontId="0" fillId="5" borderId="0" xfId="0" applyFill="1" applyBorder="1" applyProtection="1"/>
    <xf numFmtId="0" fontId="26" fillId="5" borderId="0" xfId="0" applyFont="1" applyFill="1" applyBorder="1" applyProtection="1"/>
    <xf numFmtId="0" fontId="6" fillId="5" borderId="0" xfId="0" applyFont="1" applyFill="1" applyBorder="1" applyProtection="1"/>
    <xf numFmtId="0" fontId="0" fillId="3" borderId="5" xfId="0" applyFill="1" applyBorder="1" applyProtection="1"/>
    <xf numFmtId="44" fontId="2" fillId="3" borderId="24" xfId="0" applyNumberFormat="1" applyFont="1" applyFill="1" applyBorder="1" applyAlignment="1" applyProtection="1">
      <alignment horizontal="left"/>
      <protection hidden="1"/>
    </xf>
    <xf numFmtId="164" fontId="1" fillId="3" borderId="30" xfId="0" applyNumberFormat="1" applyFont="1" applyFill="1" applyBorder="1" applyProtection="1"/>
    <xf numFmtId="44" fontId="7" fillId="3" borderId="57" xfId="0" applyNumberFormat="1" applyFont="1" applyFill="1" applyBorder="1" applyAlignment="1" applyProtection="1">
      <alignment horizontal="left" vertical="center"/>
      <protection hidden="1"/>
    </xf>
    <xf numFmtId="0" fontId="1" fillId="3" borderId="30" xfId="0" applyFont="1" applyFill="1" applyBorder="1" applyAlignment="1" applyProtection="1">
      <alignment horizontal="right"/>
    </xf>
    <xf numFmtId="44" fontId="7" fillId="3" borderId="42" xfId="0" applyNumberFormat="1" applyFont="1" applyFill="1" applyBorder="1" applyAlignment="1" applyProtection="1">
      <alignment horizontal="left" vertical="center"/>
      <protection hidden="1"/>
    </xf>
    <xf numFmtId="44" fontId="1" fillId="3" borderId="58" xfId="0" applyNumberFormat="1" applyFont="1" applyFill="1" applyBorder="1" applyAlignment="1" applyProtection="1">
      <alignment horizontal="left" vertical="center"/>
      <protection hidden="1"/>
    </xf>
    <xf numFmtId="44" fontId="1" fillId="3" borderId="54" xfId="0" applyNumberFormat="1" applyFont="1" applyFill="1" applyBorder="1" applyAlignment="1" applyProtection="1">
      <alignment horizontal="left" vertical="center"/>
      <protection hidden="1"/>
    </xf>
    <xf numFmtId="44" fontId="10" fillId="6" borderId="42" xfId="0" applyNumberFormat="1" applyFont="1" applyFill="1" applyBorder="1" applyAlignment="1" applyProtection="1">
      <alignment horizontal="left" vertical="center"/>
      <protection hidden="1"/>
    </xf>
    <xf numFmtId="44" fontId="1" fillId="3" borderId="42" xfId="0" quotePrefix="1" applyNumberFormat="1" applyFont="1" applyFill="1" applyBorder="1" applyAlignment="1" applyProtection="1">
      <alignment horizontal="left" vertical="center"/>
      <protection hidden="1"/>
    </xf>
    <xf numFmtId="14" fontId="1" fillId="7" borderId="0" xfId="0" applyNumberFormat="1" applyFont="1" applyFill="1" applyBorder="1" applyAlignment="1" applyProtection="1">
      <protection locked="0"/>
    </xf>
    <xf numFmtId="49" fontId="1" fillId="3" borderId="37" xfId="1" applyNumberFormat="1" applyFont="1" applyFill="1" applyBorder="1" applyAlignment="1" applyProtection="1"/>
    <xf numFmtId="0" fontId="16" fillId="6" borderId="59" xfId="0" applyFont="1" applyFill="1" applyBorder="1" applyAlignment="1" applyProtection="1">
      <alignment horizontal="center"/>
    </xf>
    <xf numFmtId="0" fontId="16" fillId="6" borderId="57" xfId="0" applyFont="1" applyFill="1" applyBorder="1" applyAlignment="1" applyProtection="1">
      <alignment horizontal="center"/>
    </xf>
    <xf numFmtId="0" fontId="27" fillId="3" borderId="0" xfId="0" applyFont="1" applyFill="1" applyBorder="1" applyAlignment="1" applyProtection="1">
      <alignment vertical="center" wrapText="1"/>
    </xf>
    <xf numFmtId="0" fontId="0" fillId="3" borderId="58" xfId="0" applyFill="1" applyBorder="1" applyAlignment="1" applyProtection="1">
      <alignment horizontal="left"/>
    </xf>
    <xf numFmtId="164" fontId="2" fillId="3" borderId="60" xfId="0" applyNumberFormat="1" applyFont="1" applyFill="1" applyBorder="1" applyAlignment="1" applyProtection="1">
      <alignment horizontal="left"/>
      <protection hidden="1"/>
    </xf>
    <xf numFmtId="4" fontId="1" fillId="3" borderId="54" xfId="0" applyNumberFormat="1" applyFont="1" applyFill="1" applyBorder="1" applyProtection="1"/>
    <xf numFmtId="44" fontId="1" fillId="6" borderId="0" xfId="0" applyNumberFormat="1" applyFont="1" applyFill="1"/>
    <xf numFmtId="0" fontId="1" fillId="6" borderId="0" xfId="0" applyFont="1" applyFill="1" applyBorder="1" applyProtection="1">
      <protection hidden="1"/>
    </xf>
    <xf numFmtId="0" fontId="1" fillId="6" borderId="0" xfId="0" applyFont="1" applyFill="1" applyBorder="1" applyAlignment="1">
      <alignment vertical="top" wrapText="1"/>
    </xf>
    <xf numFmtId="0" fontId="1" fillId="6" borderId="0" xfId="0" applyFont="1" applyFill="1" applyBorder="1" applyAlignment="1"/>
    <xf numFmtId="44" fontId="1" fillId="6" borderId="0" xfId="2" applyNumberFormat="1" applyFont="1" applyFill="1"/>
    <xf numFmtId="44" fontId="1" fillId="6" borderId="0" xfId="2" applyNumberFormat="1" applyFont="1" applyFill="1" applyAlignment="1">
      <alignment horizontal="right"/>
    </xf>
    <xf numFmtId="0" fontId="1" fillId="6" borderId="0" xfId="0" applyFont="1" applyFill="1" applyBorder="1" applyAlignment="1">
      <alignment horizontal="left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169" fontId="12" fillId="3" borderId="30" xfId="0" applyNumberFormat="1" applyFont="1" applyFill="1" applyBorder="1"/>
    <xf numFmtId="0" fontId="0" fillId="3" borderId="13" xfId="0" applyFill="1" applyBorder="1" applyAlignment="1"/>
    <xf numFmtId="0" fontId="0" fillId="3" borderId="16" xfId="0" applyFill="1" applyBorder="1" applyAlignment="1"/>
    <xf numFmtId="0" fontId="2" fillId="3" borderId="21" xfId="0" applyFont="1" applyFill="1" applyBorder="1" applyAlignment="1">
      <alignment horizontal="right" indent="1"/>
    </xf>
    <xf numFmtId="4" fontId="2" fillId="3" borderId="23" xfId="0" applyNumberFormat="1" applyFont="1" applyFill="1" applyBorder="1" applyAlignment="1">
      <alignment horizontal="right" indent="1"/>
    </xf>
    <xf numFmtId="3" fontId="2" fillId="3" borderId="23" xfId="0" applyNumberFormat="1" applyFont="1" applyFill="1" applyBorder="1" applyAlignment="1">
      <alignment horizontal="right" indent="1"/>
    </xf>
    <xf numFmtId="0" fontId="8" fillId="3" borderId="0" xfId="0" applyFont="1" applyFill="1" applyBorder="1" applyAlignment="1" applyProtection="1">
      <alignment vertical="top" wrapText="1"/>
      <protection locked="0"/>
    </xf>
    <xf numFmtId="0" fontId="1" fillId="3" borderId="12" xfId="0" applyFont="1" applyFill="1" applyBorder="1" applyAlignment="1">
      <alignment wrapText="1"/>
    </xf>
    <xf numFmtId="0" fontId="2" fillId="3" borderId="22" xfId="0" applyFont="1" applyFill="1" applyBorder="1" applyAlignment="1">
      <alignment horizontal="right" indent="1"/>
    </xf>
    <xf numFmtId="44" fontId="2" fillId="3" borderId="24" xfId="0" applyNumberFormat="1" applyFont="1" applyFill="1" applyBorder="1" applyAlignment="1">
      <alignment horizontal="left"/>
    </xf>
    <xf numFmtId="44" fontId="7" fillId="3" borderId="42" xfId="0" applyNumberFormat="1" applyFont="1" applyFill="1" applyBorder="1" applyAlignment="1">
      <alignment horizontal="left"/>
    </xf>
    <xf numFmtId="44" fontId="0" fillId="3" borderId="58" xfId="0" applyNumberFormat="1" applyFill="1" applyBorder="1" applyAlignment="1">
      <alignment horizontal="left"/>
    </xf>
    <xf numFmtId="44" fontId="0" fillId="3" borderId="54" xfId="0" applyNumberFormat="1" applyFill="1" applyBorder="1" applyAlignment="1">
      <alignment horizontal="left"/>
    </xf>
    <xf numFmtId="44" fontId="10" fillId="6" borderId="42" xfId="0" applyNumberFormat="1" applyFont="1" applyFill="1" applyBorder="1" applyAlignment="1">
      <alignment horizontal="left"/>
    </xf>
    <xf numFmtId="44" fontId="0" fillId="3" borderId="42" xfId="0" applyNumberFormat="1" applyFill="1" applyBorder="1" applyAlignment="1">
      <alignment horizontal="left"/>
    </xf>
    <xf numFmtId="165" fontId="1" fillId="3" borderId="12" xfId="0" applyNumberFormat="1" applyFont="1" applyFill="1" applyBorder="1" applyAlignment="1" applyProtection="1">
      <alignment horizontal="left"/>
    </xf>
    <xf numFmtId="164" fontId="1" fillId="3" borderId="12" xfId="0" applyNumberFormat="1" applyFont="1" applyFill="1" applyBorder="1" applyAlignment="1" applyProtection="1">
      <alignment horizontal="left" vertical="center"/>
      <protection hidden="1"/>
    </xf>
    <xf numFmtId="0" fontId="18" fillId="4" borderId="38" xfId="0" applyFont="1" applyFill="1" applyBorder="1" applyAlignment="1" applyProtection="1">
      <alignment horizontal="left" indent="1"/>
    </xf>
    <xf numFmtId="0" fontId="1" fillId="3" borderId="11" xfId="0" applyFont="1" applyFill="1" applyBorder="1" applyAlignment="1" applyProtection="1"/>
    <xf numFmtId="0" fontId="0" fillId="3" borderId="12" xfId="0" applyFill="1" applyBorder="1" applyAlignment="1" applyProtection="1"/>
    <xf numFmtId="0" fontId="0" fillId="3" borderId="13" xfId="0" applyFill="1" applyBorder="1" applyAlignment="1" applyProtection="1"/>
    <xf numFmtId="0" fontId="1" fillId="3" borderId="38" xfId="0" applyNumberFormat="1" applyFont="1" applyFill="1" applyBorder="1" applyAlignment="1" applyProtection="1">
      <alignment horizontal="left" indent="1"/>
    </xf>
    <xf numFmtId="0" fontId="1" fillId="3" borderId="0" xfId="0" applyNumberFormat="1" applyFont="1" applyFill="1" applyBorder="1" applyAlignment="1" applyProtection="1">
      <alignment horizontal="left" indent="1"/>
    </xf>
    <xf numFmtId="0" fontId="0" fillId="3" borderId="14" xfId="0" applyFill="1" applyBorder="1" applyAlignment="1" applyProtection="1"/>
    <xf numFmtId="0" fontId="0" fillId="3" borderId="15" xfId="0" applyFill="1" applyBorder="1" applyAlignment="1" applyProtection="1"/>
    <xf numFmtId="0" fontId="0" fillId="3" borderId="16" xfId="0" applyFill="1" applyBorder="1" applyAlignment="1" applyProtection="1"/>
    <xf numFmtId="14" fontId="1" fillId="3" borderId="0" xfId="0" applyNumberFormat="1" applyFont="1" applyFill="1" applyBorder="1" applyAlignment="1" applyProtection="1">
      <alignment horizontal="left" indent="1"/>
    </xf>
    <xf numFmtId="0" fontId="0" fillId="3" borderId="1" xfId="0" applyFill="1" applyBorder="1" applyAlignment="1" applyProtection="1"/>
    <xf numFmtId="0" fontId="12" fillId="3" borderId="3" xfId="0" applyFont="1" applyFill="1" applyBorder="1" applyProtection="1"/>
    <xf numFmtId="0" fontId="12" fillId="3" borderId="4" xfId="0" applyFont="1" applyFill="1" applyBorder="1" applyProtection="1"/>
    <xf numFmtId="169" fontId="12" fillId="3" borderId="5" xfId="0" applyNumberFormat="1" applyFont="1" applyFill="1" applyBorder="1" applyProtection="1"/>
    <xf numFmtId="0" fontId="2" fillId="3" borderId="21" xfId="0" applyFont="1" applyFill="1" applyBorder="1" applyAlignment="1" applyProtection="1">
      <alignment horizontal="right" indent="1"/>
    </xf>
    <xf numFmtId="3" fontId="2" fillId="3" borderId="23" xfId="0" applyNumberFormat="1" applyFont="1" applyFill="1" applyBorder="1" applyAlignment="1" applyProtection="1">
      <alignment horizontal="right" indent="1"/>
    </xf>
    <xf numFmtId="4" fontId="2" fillId="3" borderId="23" xfId="0" applyNumberFormat="1" applyFont="1" applyFill="1" applyBorder="1" applyAlignment="1" applyProtection="1">
      <alignment horizontal="right" indent="1"/>
    </xf>
    <xf numFmtId="44" fontId="2" fillId="3" borderId="24" xfId="0" applyNumberFormat="1" applyFont="1" applyFill="1" applyBorder="1" applyAlignment="1" applyProtection="1">
      <alignment horizontal="left"/>
    </xf>
    <xf numFmtId="0" fontId="12" fillId="3" borderId="6" xfId="0" applyFont="1" applyFill="1" applyBorder="1" applyProtection="1"/>
    <xf numFmtId="0" fontId="12" fillId="3" borderId="43" xfId="0" applyFont="1" applyFill="1" applyBorder="1" applyAlignment="1" applyProtection="1">
      <alignment horizontal="center"/>
    </xf>
    <xf numFmtId="0" fontId="12" fillId="3" borderId="2" xfId="0" applyFont="1" applyFill="1" applyBorder="1" applyProtection="1"/>
    <xf numFmtId="169" fontId="12" fillId="3" borderId="30" xfId="0" applyNumberFormat="1" applyFont="1" applyFill="1" applyBorder="1" applyProtection="1"/>
    <xf numFmtId="44" fontId="7" fillId="3" borderId="42" xfId="0" applyNumberFormat="1" applyFont="1" applyFill="1" applyBorder="1" applyAlignment="1" applyProtection="1">
      <alignment horizontal="left"/>
    </xf>
    <xf numFmtId="0" fontId="1" fillId="6" borderId="8" xfId="0" applyFont="1" applyFill="1" applyBorder="1" applyAlignment="1" applyProtection="1">
      <alignment horizontal="left" indent="1"/>
    </xf>
    <xf numFmtId="0" fontId="0" fillId="6" borderId="9" xfId="0" applyFill="1" applyBorder="1" applyProtection="1"/>
    <xf numFmtId="0" fontId="0" fillId="6" borderId="10" xfId="0" applyFill="1" applyBorder="1" applyProtection="1"/>
    <xf numFmtId="169" fontId="12" fillId="3" borderId="5" xfId="0" applyNumberFormat="1" applyFont="1" applyFill="1" applyBorder="1" applyAlignment="1" applyProtection="1">
      <alignment horizontal="right" vertical="center"/>
    </xf>
    <xf numFmtId="0" fontId="2" fillId="3" borderId="22" xfId="0" applyFont="1" applyFill="1" applyBorder="1" applyAlignment="1" applyProtection="1">
      <alignment horizontal="right" indent="1"/>
    </xf>
    <xf numFmtId="169" fontId="12" fillId="3" borderId="30" xfId="0" applyNumberFormat="1" applyFont="1" applyFill="1" applyBorder="1" applyAlignment="1" applyProtection="1">
      <alignment horizontal="right" vertical="center"/>
    </xf>
    <xf numFmtId="0" fontId="1" fillId="3" borderId="12" xfId="0" applyFont="1" applyFill="1" applyBorder="1" applyAlignment="1" applyProtection="1">
      <alignment horizontal="left" wrapText="1" indent="1"/>
    </xf>
    <xf numFmtId="0" fontId="1" fillId="3" borderId="12" xfId="0" applyFont="1" applyFill="1" applyBorder="1" applyAlignment="1" applyProtection="1">
      <alignment wrapText="1"/>
    </xf>
    <xf numFmtId="0" fontId="26" fillId="3" borderId="0" xfId="0" applyFont="1" applyFill="1" applyProtection="1"/>
    <xf numFmtId="169" fontId="0" fillId="3" borderId="0" xfId="0" applyNumberForma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right" vertical="center" indent="1"/>
    </xf>
    <xf numFmtId="44" fontId="0" fillId="3" borderId="58" xfId="0" applyNumberFormat="1" applyFill="1" applyBorder="1" applyAlignment="1" applyProtection="1">
      <alignment horizontal="left"/>
    </xf>
    <xf numFmtId="44" fontId="0" fillId="3" borderId="54" xfId="0" applyNumberForma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right" vertical="center"/>
    </xf>
    <xf numFmtId="169" fontId="0" fillId="3" borderId="0" xfId="0" applyNumberFormat="1" applyFill="1" applyBorder="1" applyAlignment="1" applyProtection="1">
      <alignment horizontal="right" vertical="center"/>
    </xf>
    <xf numFmtId="0" fontId="19" fillId="3" borderId="0" xfId="0" applyFont="1" applyFill="1" applyAlignment="1" applyProtection="1">
      <alignment vertical="center" wrapText="1"/>
    </xf>
    <xf numFmtId="0" fontId="9" fillId="3" borderId="0" xfId="0" applyFont="1" applyFill="1" applyAlignment="1" applyProtection="1">
      <alignment horizontal="right" vertical="center" indent="1"/>
    </xf>
    <xf numFmtId="44" fontId="10" fillId="6" borderId="42" xfId="0" applyNumberFormat="1" applyFont="1" applyFill="1" applyBorder="1" applyAlignment="1" applyProtection="1">
      <alignment horizontal="left"/>
    </xf>
    <xf numFmtId="169" fontId="10" fillId="3" borderId="9" xfId="0" applyNumberFormat="1" applyFont="1" applyFill="1" applyBorder="1" applyAlignment="1" applyProtection="1">
      <alignment horizontal="right" vertical="center"/>
    </xf>
    <xf numFmtId="44" fontId="0" fillId="3" borderId="42" xfId="0" applyNumberFormat="1" applyFill="1" applyBorder="1" applyAlignment="1" applyProtection="1">
      <alignment horizontal="left"/>
    </xf>
    <xf numFmtId="0" fontId="26" fillId="3" borderId="0" xfId="0" quotePrefix="1" applyFont="1" applyFill="1" applyProtection="1"/>
    <xf numFmtId="0" fontId="22" fillId="4" borderId="0" xfId="0" applyFont="1" applyFill="1" applyBorder="1" applyAlignment="1" applyProtection="1">
      <alignment vertical="center"/>
    </xf>
    <xf numFmtId="0" fontId="12" fillId="3" borderId="0" xfId="0" applyFont="1" applyFill="1" applyBorder="1" applyAlignment="1"/>
    <xf numFmtId="3" fontId="2" fillId="3" borderId="28" xfId="0" applyNumberFormat="1" applyFont="1" applyFill="1" applyBorder="1" applyAlignment="1">
      <alignment horizontal="right" indent="1"/>
    </xf>
    <xf numFmtId="170" fontId="18" fillId="4" borderId="0" xfId="0" applyNumberFormat="1" applyFont="1" applyFill="1" applyBorder="1" applyAlignment="1" applyProtection="1">
      <alignment horizontal="right" indent="1"/>
    </xf>
    <xf numFmtId="0" fontId="1" fillId="6" borderId="0" xfId="0" applyFont="1" applyFill="1" applyBorder="1"/>
    <xf numFmtId="44" fontId="1" fillId="6" borderId="0" xfId="0" applyNumberFormat="1" applyFont="1" applyFill="1" applyBorder="1" applyAlignment="1">
      <alignment horizontal="right"/>
    </xf>
    <xf numFmtId="44" fontId="1" fillId="6" borderId="0" xfId="2" applyFont="1" applyFill="1" applyBorder="1" applyAlignment="1">
      <alignment horizontal="right"/>
    </xf>
    <xf numFmtId="0" fontId="1" fillId="6" borderId="0" xfId="0" quotePrefix="1" applyNumberFormat="1" applyFont="1" applyFill="1" applyBorder="1" applyAlignment="1" applyProtection="1">
      <alignment horizontal="left"/>
    </xf>
    <xf numFmtId="0" fontId="0" fillId="6" borderId="0" xfId="0" applyFill="1"/>
    <xf numFmtId="14" fontId="1" fillId="7" borderId="61" xfId="0" applyNumberFormat="1" applyFont="1" applyFill="1" applyBorder="1" applyAlignment="1" applyProtection="1">
      <protection locked="0"/>
    </xf>
    <xf numFmtId="14" fontId="1" fillId="3" borderId="0" xfId="0" applyNumberFormat="1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left"/>
    </xf>
    <xf numFmtId="0" fontId="1" fillId="3" borderId="48" xfId="0" applyFont="1" applyFill="1" applyBorder="1" applyAlignment="1" applyProtection="1">
      <alignment horizontal="left" indent="1"/>
    </xf>
    <xf numFmtId="0" fontId="1" fillId="3" borderId="32" xfId="0" applyFont="1" applyFill="1" applyBorder="1" applyAlignment="1" applyProtection="1">
      <alignment horizontal="left" indent="1"/>
    </xf>
    <xf numFmtId="0" fontId="1" fillId="3" borderId="47" xfId="0" applyFont="1" applyFill="1" applyBorder="1" applyAlignment="1" applyProtection="1">
      <alignment horizontal="left" indent="1"/>
    </xf>
    <xf numFmtId="0" fontId="1" fillId="3" borderId="43" xfId="0" applyFont="1" applyFill="1" applyBorder="1" applyAlignment="1" applyProtection="1">
      <alignment horizontal="left" indent="1"/>
    </xf>
    <xf numFmtId="0" fontId="1" fillId="3" borderId="27" xfId="0" applyFont="1" applyFill="1" applyBorder="1" applyAlignment="1" applyProtection="1">
      <alignment horizontal="center" vertical="top" wrapText="1"/>
    </xf>
    <xf numFmtId="0" fontId="1" fillId="3" borderId="44" xfId="0" applyFont="1" applyFill="1" applyBorder="1" applyAlignment="1" applyProtection="1">
      <alignment horizontal="center" vertical="top" wrapText="1"/>
    </xf>
    <xf numFmtId="0" fontId="1" fillId="3" borderId="46" xfId="0" applyFont="1" applyFill="1" applyBorder="1" applyAlignment="1" applyProtection="1">
      <alignment horizontal="center" vertical="top" wrapText="1"/>
    </xf>
    <xf numFmtId="49" fontId="1" fillId="7" borderId="28" xfId="0" applyNumberFormat="1" applyFont="1" applyFill="1" applyBorder="1" applyAlignment="1" applyProtection="1">
      <alignment horizontal="left" indent="1"/>
      <protection locked="0"/>
    </xf>
    <xf numFmtId="49" fontId="1" fillId="7" borderId="34" xfId="0" applyNumberFormat="1" applyFont="1" applyFill="1" applyBorder="1" applyAlignment="1" applyProtection="1">
      <alignment horizontal="left" indent="1"/>
      <protection locked="0"/>
    </xf>
    <xf numFmtId="49" fontId="1" fillId="7" borderId="35" xfId="0" applyNumberFormat="1" applyFont="1" applyFill="1" applyBorder="1" applyAlignment="1" applyProtection="1">
      <alignment horizontal="left" indent="1"/>
      <protection locked="0"/>
    </xf>
    <xf numFmtId="0" fontId="25" fillId="6" borderId="8" xfId="0" applyFont="1" applyFill="1" applyBorder="1" applyAlignment="1" applyProtection="1">
      <alignment horizontal="left" vertical="center" indent="1"/>
    </xf>
    <xf numFmtId="0" fontId="25" fillId="6" borderId="9" xfId="0" applyFont="1" applyFill="1" applyBorder="1" applyAlignment="1" applyProtection="1">
      <alignment horizontal="left" vertical="center" indent="1"/>
    </xf>
    <xf numFmtId="0" fontId="25" fillId="6" borderId="10" xfId="0" applyFont="1" applyFill="1" applyBorder="1" applyAlignment="1" applyProtection="1">
      <alignment horizontal="left" vertical="center" indent="1"/>
    </xf>
    <xf numFmtId="0" fontId="1" fillId="3" borderId="0" xfId="0" applyFont="1" applyFill="1" applyBorder="1" applyAlignment="1" applyProtection="1">
      <alignment horizontal="center" vertical="top" wrapText="1" shrinkToFit="1"/>
    </xf>
    <xf numFmtId="49" fontId="5" fillId="7" borderId="28" xfId="1" applyNumberFormat="1" applyFill="1" applyBorder="1" applyAlignment="1" applyProtection="1">
      <alignment horizontal="left" indent="1"/>
      <protection locked="0"/>
    </xf>
    <xf numFmtId="0" fontId="1" fillId="7" borderId="28" xfId="0" applyFont="1" applyFill="1" applyBorder="1" applyAlignment="1" applyProtection="1">
      <alignment horizontal="left" indent="1"/>
      <protection locked="0"/>
    </xf>
    <xf numFmtId="0" fontId="1" fillId="7" borderId="34" xfId="0" applyFont="1" applyFill="1" applyBorder="1" applyAlignment="1" applyProtection="1">
      <alignment horizontal="left" indent="1"/>
      <protection locked="0"/>
    </xf>
    <xf numFmtId="0" fontId="1" fillId="7" borderId="35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Alignment="1" applyProtection="1">
      <alignment horizontal="left" vertical="center" wrapText="1"/>
    </xf>
    <xf numFmtId="14" fontId="1" fillId="7" borderId="62" xfId="0" applyNumberFormat="1" applyFont="1" applyFill="1" applyBorder="1" applyAlignment="1" applyProtection="1">
      <alignment horizontal="left"/>
      <protection locked="0"/>
    </xf>
    <xf numFmtId="14" fontId="1" fillId="7" borderId="63" xfId="0" applyNumberFormat="1" applyFont="1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26" fillId="3" borderId="0" xfId="0" applyFont="1" applyFill="1" applyAlignment="1" applyProtection="1">
      <alignment horizontal="left"/>
    </xf>
    <xf numFmtId="14" fontId="1" fillId="7" borderId="32" xfId="0" applyNumberFormat="1" applyFont="1" applyFill="1" applyBorder="1" applyAlignment="1" applyProtection="1">
      <alignment horizontal="left" indent="1"/>
      <protection locked="0"/>
    </xf>
    <xf numFmtId="14" fontId="1" fillId="7" borderId="23" xfId="0" applyNumberFormat="1" applyFont="1" applyFill="1" applyBorder="1" applyAlignment="1" applyProtection="1">
      <alignment horizontal="left" indent="1"/>
      <protection locked="0"/>
    </xf>
    <xf numFmtId="14" fontId="1" fillId="7" borderId="24" xfId="0" applyNumberFormat="1" applyFont="1" applyFill="1" applyBorder="1" applyAlignment="1" applyProtection="1">
      <alignment horizontal="left" indent="1"/>
      <protection locked="0"/>
    </xf>
    <xf numFmtId="49" fontId="1" fillId="7" borderId="32" xfId="0" applyNumberFormat="1" applyFont="1" applyFill="1" applyBorder="1" applyAlignment="1" applyProtection="1">
      <alignment horizontal="left" indent="1"/>
      <protection locked="0"/>
    </xf>
    <xf numFmtId="49" fontId="1" fillId="7" borderId="23" xfId="0" applyNumberFormat="1" applyFont="1" applyFill="1" applyBorder="1" applyAlignment="1" applyProtection="1">
      <alignment horizontal="left" indent="1"/>
      <protection locked="0"/>
    </xf>
    <xf numFmtId="49" fontId="1" fillId="7" borderId="24" xfId="0" applyNumberFormat="1" applyFont="1" applyFill="1" applyBorder="1" applyAlignment="1" applyProtection="1">
      <alignment horizontal="left" indent="1"/>
      <protection locked="0"/>
    </xf>
    <xf numFmtId="0" fontId="2" fillId="3" borderId="0" xfId="0" applyFont="1" applyFill="1" applyBorder="1" applyAlignment="1" applyProtection="1">
      <alignment horizontal="right" vertical="center" wrapText="1" indent="1"/>
    </xf>
    <xf numFmtId="0" fontId="22" fillId="4" borderId="0" xfId="0" applyFont="1" applyFill="1" applyBorder="1" applyAlignment="1" applyProtection="1">
      <alignment horizontal="right" vertical="center"/>
    </xf>
    <xf numFmtId="0" fontId="1" fillId="3" borderId="12" xfId="0" applyFont="1" applyFill="1" applyBorder="1" applyAlignment="1" applyProtection="1">
      <alignment horizontal="left"/>
    </xf>
    <xf numFmtId="0" fontId="0" fillId="3" borderId="12" xfId="0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 indent="1"/>
    </xf>
    <xf numFmtId="0" fontId="18" fillId="4" borderId="0" xfId="0" applyFont="1" applyFill="1" applyBorder="1" applyAlignment="1" applyProtection="1">
      <alignment horizontal="left" indent="1"/>
      <protection locked="0"/>
    </xf>
    <xf numFmtId="0" fontId="24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26" fillId="3" borderId="0" xfId="0" applyFont="1" applyFill="1" applyBorder="1" applyAlignment="1" applyProtection="1">
      <alignment horizontal="left" vertical="top" wrapText="1" indent="1"/>
    </xf>
    <xf numFmtId="0" fontId="26" fillId="3" borderId="12" xfId="0" applyFont="1" applyFill="1" applyBorder="1" applyAlignment="1" applyProtection="1">
      <alignment horizontal="left" wrapText="1" indent="1"/>
    </xf>
    <xf numFmtId="0" fontId="2" fillId="7" borderId="48" xfId="0" applyFont="1" applyFill="1" applyBorder="1" applyAlignment="1" applyProtection="1">
      <alignment horizontal="left" indent="1"/>
      <protection locked="0"/>
    </xf>
    <xf numFmtId="0" fontId="2" fillId="7" borderId="32" xfId="0" applyFont="1" applyFill="1" applyBorder="1" applyAlignment="1" applyProtection="1">
      <alignment horizontal="left" indent="1"/>
      <protection locked="0"/>
    </xf>
    <xf numFmtId="0" fontId="1" fillId="3" borderId="45" xfId="0" applyFont="1" applyFill="1" applyBorder="1" applyAlignment="1" applyProtection="1">
      <alignment horizontal="center"/>
    </xf>
    <xf numFmtId="0" fontId="1" fillId="3" borderId="41" xfId="0" applyFont="1" applyFill="1" applyBorder="1" applyAlignment="1" applyProtection="1">
      <alignment horizontal="center"/>
    </xf>
    <xf numFmtId="0" fontId="0" fillId="3" borderId="47" xfId="0" applyFill="1" applyBorder="1" applyAlignment="1" applyProtection="1">
      <alignment horizontal="center"/>
    </xf>
    <xf numFmtId="0" fontId="0" fillId="3" borderId="43" xfId="0" applyFill="1" applyBorder="1" applyAlignment="1" applyProtection="1">
      <alignment horizontal="center"/>
    </xf>
    <xf numFmtId="0" fontId="16" fillId="6" borderId="11" xfId="0" applyFont="1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16" fillId="6" borderId="14" xfId="0" applyFont="1" applyFill="1" applyBorder="1" applyAlignment="1" applyProtection="1">
      <alignment horizontal="center" vertical="center"/>
    </xf>
    <xf numFmtId="0" fontId="16" fillId="6" borderId="40" xfId="0" applyFont="1" applyFill="1" applyBorder="1" applyAlignment="1" applyProtection="1">
      <alignment horizontal="center" vertical="center"/>
    </xf>
    <xf numFmtId="0" fontId="16" fillId="6" borderId="17" xfId="0" applyFont="1" applyFill="1" applyBorder="1" applyAlignment="1" applyProtection="1">
      <alignment horizontal="center" vertical="center"/>
    </xf>
    <xf numFmtId="0" fontId="16" fillId="6" borderId="18" xfId="0" applyFont="1" applyFill="1" applyBorder="1" applyAlignment="1" applyProtection="1">
      <alignment horizontal="center" vertical="center"/>
    </xf>
    <xf numFmtId="168" fontId="1" fillId="7" borderId="43" xfId="0" applyNumberFormat="1" applyFont="1" applyFill="1" applyBorder="1" applyAlignment="1" applyProtection="1">
      <alignment horizontal="left" indent="1"/>
      <protection locked="0"/>
    </xf>
    <xf numFmtId="168" fontId="1" fillId="7" borderId="2" xfId="0" applyNumberFormat="1" applyFont="1" applyFill="1" applyBorder="1" applyAlignment="1" applyProtection="1">
      <alignment horizontal="left" indent="1"/>
      <protection locked="0"/>
    </xf>
    <xf numFmtId="168" fontId="1" fillId="7" borderId="30" xfId="0" applyNumberFormat="1" applyFont="1" applyFill="1" applyBorder="1" applyAlignment="1" applyProtection="1">
      <alignment horizontal="left" indent="1"/>
      <protection locked="0"/>
    </xf>
    <xf numFmtId="0" fontId="1" fillId="7" borderId="32" xfId="0" applyFont="1" applyFill="1" applyBorder="1" applyAlignment="1" applyProtection="1">
      <alignment horizontal="left" indent="1"/>
      <protection locked="0"/>
    </xf>
    <xf numFmtId="0" fontId="1" fillId="7" borderId="23" xfId="0" applyFont="1" applyFill="1" applyBorder="1" applyAlignment="1" applyProtection="1">
      <alignment horizontal="left" indent="1"/>
      <protection locked="0"/>
    </xf>
    <xf numFmtId="0" fontId="1" fillId="7" borderId="24" xfId="0" applyFont="1" applyFill="1" applyBorder="1" applyAlignment="1" applyProtection="1">
      <alignment horizontal="left" indent="1"/>
      <protection locked="0"/>
    </xf>
    <xf numFmtId="0" fontId="16" fillId="6" borderId="8" xfId="0" applyFont="1" applyFill="1" applyBorder="1" applyAlignment="1" applyProtection="1">
      <alignment horizontal="center"/>
    </xf>
    <xf numFmtId="0" fontId="16" fillId="6" borderId="52" xfId="0" applyFont="1" applyFill="1" applyBorder="1" applyAlignment="1" applyProtection="1">
      <alignment horizontal="center"/>
    </xf>
    <xf numFmtId="0" fontId="16" fillId="3" borderId="45" xfId="0" applyFont="1" applyFill="1" applyBorder="1" applyAlignment="1" applyProtection="1">
      <alignment horizontal="center"/>
    </xf>
    <xf numFmtId="0" fontId="16" fillId="3" borderId="41" xfId="0" applyFont="1" applyFill="1" applyBorder="1" applyAlignment="1" applyProtection="1">
      <alignment horizontal="center"/>
    </xf>
    <xf numFmtId="0" fontId="21" fillId="3" borderId="0" xfId="0" applyFont="1" applyFill="1" applyAlignment="1" applyProtection="1">
      <alignment horizontal="center"/>
    </xf>
    <xf numFmtId="0" fontId="1" fillId="3" borderId="45" xfId="0" applyFont="1" applyFill="1" applyBorder="1" applyAlignment="1" applyProtection="1">
      <alignment horizontal="left"/>
    </xf>
    <xf numFmtId="0" fontId="0" fillId="3" borderId="44" xfId="0" applyFill="1" applyBorder="1" applyAlignment="1" applyProtection="1">
      <alignment horizontal="left"/>
    </xf>
    <xf numFmtId="0" fontId="0" fillId="3" borderId="46" xfId="0" applyFill="1" applyBorder="1" applyAlignment="1" applyProtection="1">
      <alignment horizontal="left"/>
    </xf>
    <xf numFmtId="0" fontId="1" fillId="3" borderId="48" xfId="0" applyFont="1" applyFill="1" applyBorder="1" applyAlignment="1" applyProtection="1">
      <alignment horizontal="left" indent="1"/>
      <protection locked="0"/>
    </xf>
    <xf numFmtId="0" fontId="0" fillId="3" borderId="34" xfId="0" applyFill="1" applyBorder="1" applyAlignment="1" applyProtection="1">
      <alignment horizontal="left" indent="1"/>
      <protection locked="0"/>
    </xf>
    <xf numFmtId="0" fontId="0" fillId="3" borderId="35" xfId="0" applyFill="1" applyBorder="1" applyAlignment="1" applyProtection="1">
      <alignment horizontal="left" indent="1"/>
      <protection locked="0"/>
    </xf>
    <xf numFmtId="0" fontId="0" fillId="3" borderId="47" xfId="0" applyFill="1" applyBorder="1" applyAlignment="1" applyProtection="1">
      <alignment horizontal="left"/>
    </xf>
    <xf numFmtId="0" fontId="0" fillId="3" borderId="36" xfId="0" applyFill="1" applyBorder="1" applyAlignment="1" applyProtection="1">
      <alignment horizontal="left"/>
    </xf>
    <xf numFmtId="0" fontId="0" fillId="3" borderId="37" xfId="0" applyFill="1" applyBorder="1" applyAlignment="1" applyProtection="1">
      <alignment horizontal="left"/>
    </xf>
    <xf numFmtId="0" fontId="19" fillId="3" borderId="0" xfId="0" applyFont="1" applyFill="1" applyBorder="1" applyAlignment="1" applyProtection="1">
      <alignment horizontal="left" vertical="center" wrapText="1" indent="1"/>
    </xf>
    <xf numFmtId="0" fontId="27" fillId="3" borderId="0" xfId="0" applyFont="1" applyFill="1" applyBorder="1" applyAlignment="1" applyProtection="1">
      <alignment horizontal="left" vertical="center" wrapText="1" indent="1"/>
    </xf>
    <xf numFmtId="0" fontId="1" fillId="3" borderId="47" xfId="0" applyFont="1" applyFill="1" applyBorder="1" applyAlignment="1" applyProtection="1">
      <alignment horizontal="center"/>
    </xf>
    <xf numFmtId="0" fontId="1" fillId="3" borderId="36" xfId="0" applyFont="1" applyFill="1" applyBorder="1" applyAlignment="1" applyProtection="1">
      <alignment horizontal="center"/>
    </xf>
    <xf numFmtId="0" fontId="1" fillId="3" borderId="43" xfId="0" applyFont="1" applyFill="1" applyBorder="1" applyAlignment="1" applyProtection="1">
      <alignment horizontal="center"/>
    </xf>
    <xf numFmtId="0" fontId="16" fillId="6" borderId="9" xfId="0" applyFont="1" applyFill="1" applyBorder="1" applyAlignment="1" applyProtection="1">
      <alignment horizontal="center"/>
    </xf>
    <xf numFmtId="0" fontId="16" fillId="6" borderId="10" xfId="0" applyFont="1" applyFill="1" applyBorder="1" applyAlignment="1" applyProtection="1">
      <alignment horizontal="center"/>
    </xf>
    <xf numFmtId="0" fontId="19" fillId="3" borderId="0" xfId="0" applyFont="1" applyFill="1" applyBorder="1" applyAlignment="1" applyProtection="1">
      <alignment horizontal="center" vertical="center" wrapText="1"/>
    </xf>
    <xf numFmtId="0" fontId="1" fillId="3" borderId="34" xfId="0" applyFont="1" applyFill="1" applyBorder="1" applyAlignment="1" applyProtection="1">
      <alignment horizontal="left" indent="1"/>
    </xf>
    <xf numFmtId="0" fontId="1" fillId="7" borderId="28" xfId="0" applyFont="1" applyFill="1" applyBorder="1" applyAlignment="1" applyProtection="1">
      <alignment horizontal="center"/>
      <protection locked="0"/>
    </xf>
    <xf numFmtId="0" fontId="1" fillId="7" borderId="35" xfId="0" applyFont="1" applyFill="1" applyBorder="1" applyAlignment="1" applyProtection="1">
      <alignment horizontal="center"/>
      <protection locked="0"/>
    </xf>
    <xf numFmtId="0" fontId="1" fillId="6" borderId="8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6" fillId="6" borderId="8" xfId="0" applyFont="1" applyFill="1" applyBorder="1" applyAlignment="1" applyProtection="1">
      <alignment horizontal="center" vertical="top" wrapText="1"/>
    </xf>
    <xf numFmtId="0" fontId="16" fillId="6" borderId="9" xfId="0" applyFont="1" applyFill="1" applyBorder="1" applyAlignment="1" applyProtection="1">
      <alignment horizontal="center" vertical="top" wrapText="1"/>
    </xf>
    <xf numFmtId="0" fontId="16" fillId="6" borderId="10" xfId="0" applyFont="1" applyFill="1" applyBorder="1" applyAlignment="1" applyProtection="1">
      <alignment horizontal="center" vertical="top" wrapText="1"/>
    </xf>
    <xf numFmtId="0" fontId="1" fillId="3" borderId="44" xfId="0" applyFont="1" applyFill="1" applyBorder="1" applyAlignment="1" applyProtection="1">
      <alignment horizontal="center"/>
    </xf>
    <xf numFmtId="0" fontId="19" fillId="3" borderId="0" xfId="0" applyFont="1" applyFill="1" applyAlignment="1">
      <alignment horizontal="center" vertical="center" wrapText="1"/>
    </xf>
    <xf numFmtId="0" fontId="1" fillId="3" borderId="12" xfId="0" applyFont="1" applyFill="1" applyBorder="1" applyAlignment="1">
      <alignment horizontal="left" wrapText="1" indent="1"/>
    </xf>
    <xf numFmtId="0" fontId="1" fillId="6" borderId="8" xfId="0" applyFont="1" applyFill="1" applyBorder="1" applyAlignment="1">
      <alignment horizontal="left" vertical="center" indent="1"/>
    </xf>
    <xf numFmtId="0" fontId="1" fillId="6" borderId="9" xfId="0" applyFont="1" applyFill="1" applyBorder="1" applyAlignment="1">
      <alignment horizontal="left" vertical="center" indent="1"/>
    </xf>
    <xf numFmtId="0" fontId="1" fillId="6" borderId="10" xfId="0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1" fillId="3" borderId="0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2" fillId="3" borderId="28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21" fillId="3" borderId="0" xfId="0" applyFont="1" applyFill="1" applyAlignment="1">
      <alignment horizontal="center"/>
    </xf>
    <xf numFmtId="0" fontId="2" fillId="3" borderId="3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 vertical="center" wrapText="1" indent="1"/>
    </xf>
    <xf numFmtId="0" fontId="16" fillId="6" borderId="3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left" indent="1"/>
    </xf>
    <xf numFmtId="0" fontId="1" fillId="3" borderId="38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left" indent="1"/>
      <protection locked="0"/>
    </xf>
    <xf numFmtId="0" fontId="16" fillId="6" borderId="26" xfId="0" applyFont="1" applyFill="1" applyBorder="1" applyAlignment="1">
      <alignment horizontal="center" vertical="center"/>
    </xf>
    <xf numFmtId="0" fontId="16" fillId="6" borderId="39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1" fontId="18" fillId="4" borderId="0" xfId="0" applyNumberFormat="1" applyFont="1" applyFill="1" applyBorder="1" applyAlignment="1" applyProtection="1">
      <alignment horizontal="left"/>
      <protection locked="0"/>
    </xf>
    <xf numFmtId="0" fontId="12" fillId="3" borderId="29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8" fillId="3" borderId="0" xfId="0" applyFont="1" applyFill="1" applyBorder="1" applyAlignment="1" applyProtection="1">
      <alignment horizontal="left" vertical="top" wrapText="1"/>
      <protection locked="0"/>
    </xf>
    <xf numFmtId="0" fontId="22" fillId="4" borderId="0" xfId="0" applyFont="1" applyFill="1" applyBorder="1" applyAlignment="1">
      <alignment horizontal="right" vertical="center" indent="1"/>
    </xf>
    <xf numFmtId="14" fontId="1" fillId="3" borderId="0" xfId="0" applyNumberFormat="1" applyFont="1" applyFill="1" applyBorder="1" applyAlignment="1">
      <alignment horizontal="left" indent="2"/>
    </xf>
    <xf numFmtId="0" fontId="1" fillId="3" borderId="0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2" fillId="3" borderId="28" xfId="0" applyFont="1" applyFill="1" applyBorder="1" applyAlignment="1" applyProtection="1">
      <alignment horizontal="left"/>
    </xf>
    <xf numFmtId="0" fontId="2" fillId="3" borderId="34" xfId="0" applyFont="1" applyFill="1" applyBorder="1" applyAlignment="1" applyProtection="1">
      <alignment horizontal="left"/>
    </xf>
    <xf numFmtId="0" fontId="2" fillId="3" borderId="32" xfId="0" applyFont="1" applyFill="1" applyBorder="1" applyAlignment="1" applyProtection="1">
      <alignment horizontal="left"/>
    </xf>
    <xf numFmtId="0" fontId="12" fillId="3" borderId="36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left" wrapText="1" indent="1"/>
    </xf>
    <xf numFmtId="0" fontId="19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left" indent="1"/>
    </xf>
    <xf numFmtId="0" fontId="1" fillId="3" borderId="1" xfId="0" applyFont="1" applyFill="1" applyBorder="1" applyAlignment="1" applyProtection="1">
      <alignment horizontal="left" indent="1"/>
    </xf>
    <xf numFmtId="0" fontId="1" fillId="6" borderId="8" xfId="0" applyFont="1" applyFill="1" applyBorder="1" applyAlignment="1" applyProtection="1">
      <alignment horizontal="left" vertical="center" indent="1"/>
    </xf>
    <xf numFmtId="0" fontId="1" fillId="6" borderId="9" xfId="0" applyFont="1" applyFill="1" applyBorder="1" applyAlignment="1" applyProtection="1">
      <alignment horizontal="left" vertical="center" indent="1"/>
    </xf>
    <xf numFmtId="0" fontId="1" fillId="6" borderId="10" xfId="0" applyFont="1" applyFill="1" applyBorder="1" applyAlignment="1" applyProtection="1">
      <alignment horizontal="left" vertical="center" indent="1"/>
    </xf>
    <xf numFmtId="14" fontId="1" fillId="3" borderId="0" xfId="0" applyNumberFormat="1" applyFont="1" applyFill="1" applyBorder="1" applyAlignment="1" applyProtection="1">
      <alignment horizontal="left" indent="2"/>
    </xf>
    <xf numFmtId="0" fontId="1" fillId="3" borderId="38" xfId="0" applyFont="1" applyFill="1" applyBorder="1" applyAlignment="1" applyProtection="1">
      <alignment horizontal="left" indent="1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/>
    </xf>
    <xf numFmtId="0" fontId="12" fillId="3" borderId="41" xfId="0" applyFont="1" applyFill="1" applyBorder="1" applyAlignment="1" applyProtection="1">
      <alignment horizontal="center"/>
    </xf>
    <xf numFmtId="0" fontId="16" fillId="6" borderId="3" xfId="0" applyFont="1" applyFill="1" applyBorder="1" applyAlignment="1" applyProtection="1">
      <alignment horizontal="center" vertical="center"/>
    </xf>
    <xf numFmtId="0" fontId="16" fillId="6" borderId="6" xfId="0" applyFont="1" applyFill="1" applyBorder="1" applyAlignment="1" applyProtection="1">
      <alignment horizontal="center" vertical="center"/>
    </xf>
    <xf numFmtId="0" fontId="12" fillId="3" borderId="44" xfId="0" applyFont="1" applyFill="1" applyBorder="1" applyAlignment="1" applyProtection="1">
      <alignment horizontal="center"/>
    </xf>
    <xf numFmtId="0" fontId="12" fillId="3" borderId="29" xfId="0" applyFont="1" applyFill="1" applyBorder="1" applyAlignment="1" applyProtection="1">
      <alignment horizontal="center"/>
    </xf>
    <xf numFmtId="0" fontId="12" fillId="3" borderId="43" xfId="0" applyFont="1" applyFill="1" applyBorder="1" applyAlignment="1" applyProtection="1">
      <alignment horizontal="center"/>
    </xf>
    <xf numFmtId="0" fontId="22" fillId="4" borderId="0" xfId="0" applyFont="1" applyFill="1" applyBorder="1" applyAlignment="1" applyProtection="1">
      <alignment horizontal="right" vertical="center" indent="1"/>
    </xf>
    <xf numFmtId="0" fontId="0" fillId="3" borderId="0" xfId="0" applyFill="1" applyBorder="1" applyAlignment="1" applyProtection="1">
      <alignment horizontal="left" indent="1"/>
    </xf>
    <xf numFmtId="0" fontId="0" fillId="3" borderId="1" xfId="0" applyFill="1" applyBorder="1" applyAlignment="1" applyProtection="1">
      <alignment horizontal="left" indent="1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1" xfId="0" applyNumberFormat="1" applyFont="1" applyFill="1" applyBorder="1" applyAlignment="1" applyProtection="1">
      <alignment horizontal="left"/>
    </xf>
    <xf numFmtId="1" fontId="18" fillId="4" borderId="0" xfId="0" applyNumberFormat="1" applyFont="1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 vertical="center" wrapText="1"/>
    </xf>
    <xf numFmtId="4" fontId="2" fillId="3" borderId="48" xfId="0" applyNumberFormat="1" applyFont="1" applyFill="1" applyBorder="1" applyAlignment="1" applyProtection="1">
      <alignment horizontal="left" indent="1"/>
      <protection locked="0"/>
    </xf>
    <xf numFmtId="4" fontId="2" fillId="3" borderId="35" xfId="0" applyNumberFormat="1" applyFont="1" applyFill="1" applyBorder="1" applyAlignment="1" applyProtection="1">
      <alignment horizontal="left" indent="1"/>
      <protection locked="0"/>
    </xf>
    <xf numFmtId="0" fontId="16" fillId="6" borderId="11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 applyProtection="1">
      <alignment horizontal="left" vertical="top" wrapText="1" indent="1"/>
      <protection locked="0"/>
    </xf>
    <xf numFmtId="0" fontId="1" fillId="3" borderId="0" xfId="0" applyFont="1" applyFill="1" applyBorder="1" applyAlignment="1">
      <alignment horizontal="left" wrapText="1" indent="1"/>
    </xf>
    <xf numFmtId="14" fontId="1" fillId="3" borderId="0" xfId="0" applyNumberFormat="1" applyFont="1" applyFill="1" applyBorder="1" applyAlignment="1" applyProtection="1">
      <alignment horizontal="left" indent="2"/>
      <protection locked="0"/>
    </xf>
    <xf numFmtId="14" fontId="1" fillId="3" borderId="1" xfId="0" applyNumberFormat="1" applyFont="1" applyFill="1" applyBorder="1" applyAlignment="1" applyProtection="1">
      <alignment horizontal="left" indent="2"/>
      <protection locked="0"/>
    </xf>
    <xf numFmtId="0" fontId="12" fillId="3" borderId="47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164" fontId="1" fillId="6" borderId="0" xfId="0" applyNumberFormat="1" applyFont="1" applyFill="1" applyBorder="1" applyAlignment="1" applyProtection="1">
      <alignment horizontal="center" vertical="center"/>
    </xf>
    <xf numFmtId="0" fontId="1" fillId="9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</cellXfs>
  <cellStyles count="3">
    <cellStyle name="Hyperlink" xfId="1" builtinId="8"/>
    <cellStyle name="Standaard" xfId="0" builtinId="0"/>
    <cellStyle name="Valuta" xfId="2" builtinId="4"/>
  </cellStyles>
  <dxfs count="4"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5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1</xdr:row>
      <xdr:rowOff>38100</xdr:rowOff>
    </xdr:from>
    <xdr:to>
      <xdr:col>4</xdr:col>
      <xdr:colOff>142875</xdr:colOff>
      <xdr:row>1</xdr:row>
      <xdr:rowOff>685800</xdr:rowOff>
    </xdr:to>
    <xdr:pic>
      <xdr:nvPicPr>
        <xdr:cNvPr id="1286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350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728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J99"/>
  <sheetViews>
    <sheetView tabSelected="1" zoomScaleNormal="100" workbookViewId="0">
      <selection activeCell="C5" sqref="C5:D5"/>
    </sheetView>
  </sheetViews>
  <sheetFormatPr defaultRowHeight="12.75" x14ac:dyDescent="0.2"/>
  <cols>
    <col min="1" max="1" width="1.42578125" style="60" customWidth="1"/>
    <col min="2" max="2" width="25.7109375" style="60" customWidth="1"/>
    <col min="3" max="3" width="17.85546875" style="60" customWidth="1"/>
    <col min="4" max="4" width="11.42578125" style="60" customWidth="1"/>
    <col min="5" max="5" width="5.7109375" style="60" customWidth="1"/>
    <col min="6" max="6" width="10" style="60" customWidth="1"/>
    <col min="7" max="8" width="12.85546875" style="60" customWidth="1"/>
    <col min="9" max="9" width="15.7109375" style="60" customWidth="1"/>
    <col min="10" max="10" width="2.85546875" style="60" customWidth="1"/>
    <col min="11" max="11" width="15.7109375" style="60" customWidth="1"/>
    <col min="12" max="12" width="1.42578125" style="60" customWidth="1"/>
    <col min="13" max="13" width="24" style="60" customWidth="1"/>
    <col min="14" max="14" width="9.140625" style="80" customWidth="1"/>
    <col min="15" max="15" width="10.5703125" style="80" customWidth="1"/>
    <col min="16" max="16" width="9.140625" style="80" customWidth="1"/>
    <col min="17" max="17" width="6" style="80" customWidth="1"/>
    <col min="18" max="20" width="9.140625" style="80"/>
    <col min="21" max="16384" width="9.140625" style="60"/>
  </cols>
  <sheetData>
    <row r="1" spans="1:13" ht="7.5" customHeight="1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60" customHeight="1" x14ac:dyDescent="0.2">
      <c r="A2" s="59"/>
      <c r="B2" s="347" t="s">
        <v>0</v>
      </c>
      <c r="C2" s="347"/>
      <c r="D2" s="347"/>
      <c r="E2" s="347"/>
      <c r="F2" s="347"/>
      <c r="G2" s="347"/>
      <c r="H2" s="347"/>
      <c r="I2" s="347"/>
      <c r="J2" s="347"/>
      <c r="K2" s="347"/>
      <c r="L2" s="59"/>
      <c r="M2" s="80"/>
    </row>
    <row r="3" spans="1:13" ht="6" customHeight="1" x14ac:dyDescent="0.2">
      <c r="A3" s="59"/>
      <c r="B3" s="61"/>
      <c r="C3" s="62"/>
      <c r="D3" s="63"/>
      <c r="E3" s="63"/>
      <c r="F3" s="63"/>
      <c r="G3" s="63"/>
      <c r="H3" s="63"/>
      <c r="I3" s="63"/>
      <c r="J3" s="63"/>
      <c r="K3" s="63"/>
      <c r="L3" s="59"/>
      <c r="M3" s="80"/>
    </row>
    <row r="4" spans="1:13" ht="12.75" customHeight="1" x14ac:dyDescent="0.2">
      <c r="A4" s="59"/>
      <c r="B4" s="64" t="s">
        <v>1</v>
      </c>
      <c r="C4" s="351">
        <f ca="1">TODAY()</f>
        <v>41814</v>
      </c>
      <c r="D4" s="351"/>
      <c r="E4" s="181"/>
      <c r="F4" s="65"/>
      <c r="G4" s="66"/>
      <c r="H4" s="348" t="s">
        <v>2</v>
      </c>
      <c r="I4" s="348"/>
      <c r="J4" s="348"/>
      <c r="K4" s="348"/>
      <c r="L4" s="59"/>
      <c r="M4" s="80"/>
    </row>
    <row r="5" spans="1:13" ht="12.75" customHeight="1" x14ac:dyDescent="0.2">
      <c r="A5" s="59"/>
      <c r="B5" s="64" t="s">
        <v>3</v>
      </c>
      <c r="C5" s="352" t="s">
        <v>4</v>
      </c>
      <c r="D5" s="352"/>
      <c r="E5" s="182"/>
      <c r="F5" s="66"/>
      <c r="G5" s="66"/>
      <c r="H5" s="348"/>
      <c r="I5" s="348"/>
      <c r="J5" s="348"/>
      <c r="K5" s="348"/>
      <c r="L5" s="59"/>
      <c r="M5" s="80"/>
    </row>
    <row r="6" spans="1:13" ht="6" customHeight="1" x14ac:dyDescent="0.2">
      <c r="A6" s="59"/>
      <c r="B6" s="67"/>
      <c r="C6" s="68"/>
      <c r="D6" s="69"/>
      <c r="E6" s="69"/>
      <c r="F6" s="70"/>
      <c r="G6" s="70"/>
      <c r="H6" s="70"/>
      <c r="I6" s="70"/>
      <c r="J6" s="70"/>
      <c r="K6" s="70"/>
      <c r="L6" s="59"/>
      <c r="M6" s="80"/>
    </row>
    <row r="7" spans="1:13" ht="6" customHeight="1" x14ac:dyDescent="0.2">
      <c r="A7" s="59"/>
      <c r="L7" s="59"/>
      <c r="M7" s="80"/>
    </row>
    <row r="8" spans="1:13" ht="51.75" customHeight="1" x14ac:dyDescent="0.2">
      <c r="A8" s="59"/>
      <c r="B8" s="353" t="s">
        <v>5</v>
      </c>
      <c r="C8" s="354"/>
      <c r="D8" s="354"/>
      <c r="E8" s="354"/>
      <c r="F8" s="354"/>
      <c r="G8" s="354"/>
      <c r="H8" s="354"/>
      <c r="I8" s="354"/>
      <c r="J8" s="354"/>
      <c r="K8" s="354"/>
      <c r="L8" s="59"/>
      <c r="M8" s="80"/>
    </row>
    <row r="9" spans="1:13" ht="6" customHeight="1" x14ac:dyDescent="0.2">
      <c r="A9" s="59"/>
      <c r="L9" s="59"/>
      <c r="M9" s="80"/>
    </row>
    <row r="10" spans="1:13" ht="18" customHeight="1" x14ac:dyDescent="0.2">
      <c r="A10" s="59"/>
      <c r="B10" s="327" t="s">
        <v>6</v>
      </c>
      <c r="C10" s="328"/>
      <c r="D10" s="328"/>
      <c r="E10" s="328"/>
      <c r="F10" s="328"/>
      <c r="G10" s="328"/>
      <c r="H10" s="328"/>
      <c r="I10" s="328"/>
      <c r="J10" s="328"/>
      <c r="K10" s="329"/>
      <c r="L10" s="212"/>
      <c r="M10" s="80"/>
    </row>
    <row r="11" spans="1:13" ht="6" customHeight="1" x14ac:dyDescent="0.2">
      <c r="A11" s="59"/>
      <c r="B11" s="349"/>
      <c r="C11" s="349"/>
      <c r="D11" s="350"/>
      <c r="E11" s="350"/>
      <c r="F11" s="350"/>
      <c r="G11" s="350"/>
      <c r="H11" s="350"/>
      <c r="I11" s="71"/>
      <c r="J11" s="71"/>
      <c r="K11" s="71"/>
      <c r="L11" s="59"/>
      <c r="M11" s="80"/>
    </row>
    <row r="12" spans="1:13" ht="12.75" customHeight="1" x14ac:dyDescent="0.2">
      <c r="A12" s="59"/>
      <c r="B12" s="145"/>
      <c r="C12" s="145"/>
      <c r="D12" s="73"/>
      <c r="E12" s="73"/>
      <c r="F12" s="73"/>
      <c r="G12" s="73"/>
      <c r="H12" s="73"/>
      <c r="I12" s="72"/>
      <c r="J12" s="72"/>
      <c r="K12" s="72"/>
      <c r="L12" s="59"/>
      <c r="M12" s="80"/>
    </row>
    <row r="13" spans="1:13" ht="12.75" customHeight="1" x14ac:dyDescent="0.2">
      <c r="A13" s="59"/>
      <c r="B13" s="363" t="s">
        <v>147</v>
      </c>
      <c r="C13" s="364"/>
      <c r="D13" s="76" t="s">
        <v>146</v>
      </c>
      <c r="E13" s="227"/>
      <c r="F13" s="74" t="s">
        <v>7</v>
      </c>
      <c r="G13" s="75" t="s">
        <v>8</v>
      </c>
      <c r="H13" s="76" t="s">
        <v>9</v>
      </c>
      <c r="I13" s="74" t="s">
        <v>10</v>
      </c>
      <c r="J13" s="367" t="s">
        <v>151</v>
      </c>
      <c r="K13" s="76" t="s">
        <v>11</v>
      </c>
      <c r="L13" s="212"/>
      <c r="M13" s="80"/>
    </row>
    <row r="14" spans="1:13" ht="12.75" customHeight="1" x14ac:dyDescent="0.2">
      <c r="A14" s="59"/>
      <c r="B14" s="365" t="s">
        <v>148</v>
      </c>
      <c r="C14" s="366"/>
      <c r="D14" s="79" t="s">
        <v>14</v>
      </c>
      <c r="E14" s="228"/>
      <c r="F14" s="77" t="s">
        <v>15</v>
      </c>
      <c r="G14" s="78" t="s">
        <v>13</v>
      </c>
      <c r="H14" s="79" t="s">
        <v>13</v>
      </c>
      <c r="I14" s="77" t="s">
        <v>145</v>
      </c>
      <c r="J14" s="368"/>
      <c r="K14" s="79" t="s">
        <v>14</v>
      </c>
      <c r="L14" s="212"/>
      <c r="M14" s="80"/>
    </row>
    <row r="15" spans="1:13" ht="6" customHeight="1" x14ac:dyDescent="0.2">
      <c r="A15" s="59"/>
      <c r="B15" s="359"/>
      <c r="C15" s="360"/>
      <c r="D15" s="81"/>
      <c r="E15" s="230"/>
      <c r="F15" s="82"/>
      <c r="G15" s="83"/>
      <c r="H15" s="81"/>
      <c r="I15" s="84"/>
      <c r="J15" s="209"/>
      <c r="K15" s="215"/>
      <c r="L15" s="212"/>
      <c r="M15" s="80"/>
    </row>
    <row r="16" spans="1:13" x14ac:dyDescent="0.2">
      <c r="A16" s="59"/>
      <c r="B16" s="357" t="s">
        <v>17</v>
      </c>
      <c r="C16" s="358"/>
      <c r="D16" s="178">
        <f t="shared" ref="D16:D34" si="0">VLOOKUP(B16,enkelglas,2,FALSE)</f>
        <v>0</v>
      </c>
      <c r="E16" s="231"/>
      <c r="F16" s="49"/>
      <c r="G16" s="56"/>
      <c r="H16" s="57"/>
      <c r="I16" s="141">
        <f t="shared" ref="I16:I34" si="1">(G16*H16)/1000000</f>
        <v>0</v>
      </c>
      <c r="J16" s="211" t="str">
        <f>IF(I16&gt;5,IF(I16=0,"","*2"),IF(I16&lt;0.5,IF(I16=0,"","*1"),""))</f>
        <v/>
      </c>
      <c r="K16" s="216">
        <f>IF(I16=0,0,(IF(I16&lt;0.5,0.5*D16*F16,I16*D16*F16)))</f>
        <v>0</v>
      </c>
      <c r="L16" s="213" t="str">
        <f>IF(I16&gt;5,IF(I16=0,"","   Ruit &gt; 5 m2, neem contact op met Glasdiscount.nl"),IF(I16&lt;0.5,IF(I16=0,"","   Minimale prijs is 0,5 m2 per ruit"),""))</f>
        <v/>
      </c>
      <c r="M16" s="80"/>
    </row>
    <row r="17" spans="1:13" x14ac:dyDescent="0.2">
      <c r="A17" s="59"/>
      <c r="B17" s="357" t="s">
        <v>17</v>
      </c>
      <c r="C17" s="358"/>
      <c r="D17" s="178">
        <f t="shared" si="0"/>
        <v>0</v>
      </c>
      <c r="E17" s="231"/>
      <c r="F17" s="49"/>
      <c r="G17" s="56"/>
      <c r="H17" s="57"/>
      <c r="I17" s="141">
        <f t="shared" si="1"/>
        <v>0</v>
      </c>
      <c r="J17" s="211" t="str">
        <f t="shared" ref="J17:J34" si="2">IF(I17&gt;5,IF(I17=0,"","*2"),IF(I17&lt;0.5,IF(I17=0,"","*1"),""))</f>
        <v/>
      </c>
      <c r="K17" s="216">
        <f t="shared" ref="K17:K34" si="3">IF(I17=0,0,(IF(I17&lt;0.5,0.5*D17*F17,I17*D17*F17)))</f>
        <v>0</v>
      </c>
      <c r="L17" s="213" t="str">
        <f>IF(I17&gt;5,IF(I17=0,"","   Ruit &gt; 5 m2, neem contact op met Glasdiscount.nl"),IF(I17&lt;0.5,IF(I17=0,"","   Prijs gebaseerd op minimaal 0,5 m2 per ruit"),""))</f>
        <v/>
      </c>
      <c r="M17" s="80"/>
    </row>
    <row r="18" spans="1:13" x14ac:dyDescent="0.2">
      <c r="A18" s="59"/>
      <c r="B18" s="357" t="s">
        <v>17</v>
      </c>
      <c r="C18" s="358"/>
      <c r="D18" s="178">
        <f t="shared" si="0"/>
        <v>0</v>
      </c>
      <c r="E18" s="231"/>
      <c r="F18" s="49"/>
      <c r="G18" s="56"/>
      <c r="H18" s="57"/>
      <c r="I18" s="141">
        <f t="shared" si="1"/>
        <v>0</v>
      </c>
      <c r="J18" s="211" t="str">
        <f t="shared" si="2"/>
        <v/>
      </c>
      <c r="K18" s="216">
        <f t="shared" si="3"/>
        <v>0</v>
      </c>
      <c r="L18" s="213" t="str">
        <f t="shared" ref="L18:L34" si="4">IF(I18&gt;5,IF(I18=0,"","   Ruit &gt; 5 m2, neem contact op met Glasdiscount.nl"),IF(I18&lt;0.5,IF(I18=0,"","   Prijs gebaseerd op minimaal 0,5 m2 per ruit"),""))</f>
        <v/>
      </c>
      <c r="M18" s="80"/>
    </row>
    <row r="19" spans="1:13" x14ac:dyDescent="0.2">
      <c r="A19" s="59"/>
      <c r="B19" s="357" t="s">
        <v>17</v>
      </c>
      <c r="C19" s="358"/>
      <c r="D19" s="178">
        <f t="shared" si="0"/>
        <v>0</v>
      </c>
      <c r="E19" s="231"/>
      <c r="F19" s="49"/>
      <c r="G19" s="56"/>
      <c r="H19" s="57"/>
      <c r="I19" s="141">
        <f t="shared" si="1"/>
        <v>0</v>
      </c>
      <c r="J19" s="211" t="str">
        <f t="shared" si="2"/>
        <v/>
      </c>
      <c r="K19" s="216">
        <f t="shared" si="3"/>
        <v>0</v>
      </c>
      <c r="L19" s="213" t="str">
        <f t="shared" si="4"/>
        <v/>
      </c>
      <c r="M19" s="80"/>
    </row>
    <row r="20" spans="1:13" x14ac:dyDescent="0.2">
      <c r="A20" s="59"/>
      <c r="B20" s="357" t="s">
        <v>17</v>
      </c>
      <c r="C20" s="358"/>
      <c r="D20" s="178">
        <f t="shared" si="0"/>
        <v>0</v>
      </c>
      <c r="E20" s="231"/>
      <c r="F20" s="49"/>
      <c r="G20" s="56"/>
      <c r="H20" s="57"/>
      <c r="I20" s="141">
        <f t="shared" si="1"/>
        <v>0</v>
      </c>
      <c r="J20" s="211" t="str">
        <f t="shared" si="2"/>
        <v/>
      </c>
      <c r="K20" s="216">
        <f t="shared" si="3"/>
        <v>0</v>
      </c>
      <c r="L20" s="213" t="str">
        <f t="shared" si="4"/>
        <v/>
      </c>
      <c r="M20" s="80"/>
    </row>
    <row r="21" spans="1:13" x14ac:dyDescent="0.2">
      <c r="A21" s="59"/>
      <c r="B21" s="357" t="s">
        <v>17</v>
      </c>
      <c r="C21" s="358"/>
      <c r="D21" s="178">
        <f t="shared" si="0"/>
        <v>0</v>
      </c>
      <c r="E21" s="231"/>
      <c r="F21" s="49"/>
      <c r="G21" s="56"/>
      <c r="H21" s="57"/>
      <c r="I21" s="141">
        <f t="shared" si="1"/>
        <v>0</v>
      </c>
      <c r="J21" s="211" t="str">
        <f t="shared" si="2"/>
        <v/>
      </c>
      <c r="K21" s="216">
        <f t="shared" si="3"/>
        <v>0</v>
      </c>
      <c r="L21" s="213" t="str">
        <f t="shared" si="4"/>
        <v/>
      </c>
      <c r="M21" s="80"/>
    </row>
    <row r="22" spans="1:13" x14ac:dyDescent="0.2">
      <c r="A22" s="59"/>
      <c r="B22" s="357" t="s">
        <v>17</v>
      </c>
      <c r="C22" s="358"/>
      <c r="D22" s="178">
        <f t="shared" si="0"/>
        <v>0</v>
      </c>
      <c r="E22" s="231"/>
      <c r="F22" s="49"/>
      <c r="G22" s="56"/>
      <c r="H22" s="57"/>
      <c r="I22" s="141">
        <f t="shared" si="1"/>
        <v>0</v>
      </c>
      <c r="J22" s="211" t="str">
        <f t="shared" si="2"/>
        <v/>
      </c>
      <c r="K22" s="216">
        <f t="shared" si="3"/>
        <v>0</v>
      </c>
      <c r="L22" s="213" t="str">
        <f t="shared" si="4"/>
        <v/>
      </c>
      <c r="M22" s="80"/>
    </row>
    <row r="23" spans="1:13" x14ac:dyDescent="0.2">
      <c r="A23" s="59"/>
      <c r="B23" s="357" t="s">
        <v>17</v>
      </c>
      <c r="C23" s="358"/>
      <c r="D23" s="178">
        <f t="shared" si="0"/>
        <v>0</v>
      </c>
      <c r="E23" s="231"/>
      <c r="F23" s="49"/>
      <c r="G23" s="56"/>
      <c r="H23" s="57"/>
      <c r="I23" s="141">
        <f t="shared" si="1"/>
        <v>0</v>
      </c>
      <c r="J23" s="211" t="str">
        <f t="shared" si="2"/>
        <v/>
      </c>
      <c r="K23" s="216">
        <f t="shared" si="3"/>
        <v>0</v>
      </c>
      <c r="L23" s="213" t="str">
        <f t="shared" si="4"/>
        <v/>
      </c>
      <c r="M23" s="80"/>
    </row>
    <row r="24" spans="1:13" x14ac:dyDescent="0.2">
      <c r="A24" s="59"/>
      <c r="B24" s="357" t="s">
        <v>17</v>
      </c>
      <c r="C24" s="358"/>
      <c r="D24" s="178">
        <f t="shared" si="0"/>
        <v>0</v>
      </c>
      <c r="E24" s="231"/>
      <c r="F24" s="49"/>
      <c r="G24" s="56"/>
      <c r="H24" s="57"/>
      <c r="I24" s="141">
        <f t="shared" si="1"/>
        <v>0</v>
      </c>
      <c r="J24" s="211" t="str">
        <f t="shared" si="2"/>
        <v/>
      </c>
      <c r="K24" s="216">
        <f t="shared" si="3"/>
        <v>0</v>
      </c>
      <c r="L24" s="213" t="str">
        <f t="shared" si="4"/>
        <v/>
      </c>
      <c r="M24" s="80"/>
    </row>
    <row r="25" spans="1:13" x14ac:dyDescent="0.2">
      <c r="A25" s="59"/>
      <c r="B25" s="357" t="s">
        <v>17</v>
      </c>
      <c r="C25" s="358"/>
      <c r="D25" s="178">
        <f t="shared" si="0"/>
        <v>0</v>
      </c>
      <c r="E25" s="231"/>
      <c r="F25" s="49"/>
      <c r="G25" s="56"/>
      <c r="H25" s="57"/>
      <c r="I25" s="141">
        <f t="shared" si="1"/>
        <v>0</v>
      </c>
      <c r="J25" s="211" t="str">
        <f t="shared" si="2"/>
        <v/>
      </c>
      <c r="K25" s="216">
        <f t="shared" si="3"/>
        <v>0</v>
      </c>
      <c r="L25" s="213" t="str">
        <f t="shared" si="4"/>
        <v/>
      </c>
      <c r="M25" s="80"/>
    </row>
    <row r="26" spans="1:13" x14ac:dyDescent="0.2">
      <c r="A26" s="59"/>
      <c r="B26" s="357" t="s">
        <v>17</v>
      </c>
      <c r="C26" s="358"/>
      <c r="D26" s="178">
        <f t="shared" si="0"/>
        <v>0</v>
      </c>
      <c r="E26" s="231"/>
      <c r="F26" s="49"/>
      <c r="G26" s="56"/>
      <c r="H26" s="57"/>
      <c r="I26" s="141">
        <f t="shared" si="1"/>
        <v>0</v>
      </c>
      <c r="J26" s="211" t="str">
        <f t="shared" si="2"/>
        <v/>
      </c>
      <c r="K26" s="216">
        <f t="shared" si="3"/>
        <v>0</v>
      </c>
      <c r="L26" s="213" t="str">
        <f t="shared" si="4"/>
        <v/>
      </c>
      <c r="M26" s="80"/>
    </row>
    <row r="27" spans="1:13" x14ac:dyDescent="0.2">
      <c r="A27" s="59"/>
      <c r="B27" s="357" t="s">
        <v>17</v>
      </c>
      <c r="C27" s="358"/>
      <c r="D27" s="178">
        <f t="shared" si="0"/>
        <v>0</v>
      </c>
      <c r="E27" s="231"/>
      <c r="F27" s="49"/>
      <c r="G27" s="56"/>
      <c r="H27" s="57"/>
      <c r="I27" s="141">
        <f t="shared" si="1"/>
        <v>0</v>
      </c>
      <c r="J27" s="211" t="str">
        <f t="shared" si="2"/>
        <v/>
      </c>
      <c r="K27" s="216">
        <f t="shared" si="3"/>
        <v>0</v>
      </c>
      <c r="L27" s="213" t="str">
        <f t="shared" si="4"/>
        <v/>
      </c>
      <c r="M27" s="80"/>
    </row>
    <row r="28" spans="1:13" x14ac:dyDescent="0.2">
      <c r="A28" s="59"/>
      <c r="B28" s="357" t="s">
        <v>17</v>
      </c>
      <c r="C28" s="358"/>
      <c r="D28" s="178">
        <f t="shared" si="0"/>
        <v>0</v>
      </c>
      <c r="E28" s="231"/>
      <c r="F28" s="49"/>
      <c r="G28" s="56"/>
      <c r="H28" s="57"/>
      <c r="I28" s="141">
        <f t="shared" si="1"/>
        <v>0</v>
      </c>
      <c r="J28" s="211" t="str">
        <f t="shared" si="2"/>
        <v/>
      </c>
      <c r="K28" s="216">
        <f t="shared" si="3"/>
        <v>0</v>
      </c>
      <c r="L28" s="213" t="str">
        <f t="shared" si="4"/>
        <v/>
      </c>
      <c r="M28" s="80"/>
    </row>
    <row r="29" spans="1:13" x14ac:dyDescent="0.2">
      <c r="A29" s="59"/>
      <c r="B29" s="357" t="s">
        <v>17</v>
      </c>
      <c r="C29" s="358"/>
      <c r="D29" s="178">
        <f t="shared" si="0"/>
        <v>0</v>
      </c>
      <c r="E29" s="231"/>
      <c r="F29" s="49"/>
      <c r="G29" s="56"/>
      <c r="H29" s="57"/>
      <c r="I29" s="141">
        <f t="shared" si="1"/>
        <v>0</v>
      </c>
      <c r="J29" s="211" t="str">
        <f t="shared" si="2"/>
        <v/>
      </c>
      <c r="K29" s="216">
        <f t="shared" si="3"/>
        <v>0</v>
      </c>
      <c r="L29" s="213" t="str">
        <f t="shared" si="4"/>
        <v/>
      </c>
      <c r="M29" s="80"/>
    </row>
    <row r="30" spans="1:13" x14ac:dyDescent="0.2">
      <c r="A30" s="59"/>
      <c r="B30" s="357" t="s">
        <v>17</v>
      </c>
      <c r="C30" s="358"/>
      <c r="D30" s="178">
        <f t="shared" si="0"/>
        <v>0</v>
      </c>
      <c r="E30" s="231"/>
      <c r="F30" s="49"/>
      <c r="G30" s="56"/>
      <c r="H30" s="57"/>
      <c r="I30" s="141">
        <f t="shared" si="1"/>
        <v>0</v>
      </c>
      <c r="J30" s="211" t="str">
        <f t="shared" si="2"/>
        <v/>
      </c>
      <c r="K30" s="216">
        <f t="shared" si="3"/>
        <v>0</v>
      </c>
      <c r="L30" s="213" t="str">
        <f t="shared" si="4"/>
        <v/>
      </c>
      <c r="M30" s="80"/>
    </row>
    <row r="31" spans="1:13" x14ac:dyDescent="0.2">
      <c r="A31" s="59"/>
      <c r="B31" s="357" t="s">
        <v>17</v>
      </c>
      <c r="C31" s="358"/>
      <c r="D31" s="178">
        <f t="shared" si="0"/>
        <v>0</v>
      </c>
      <c r="E31" s="231"/>
      <c r="F31" s="49"/>
      <c r="G31" s="56"/>
      <c r="H31" s="57"/>
      <c r="I31" s="141">
        <f t="shared" si="1"/>
        <v>0</v>
      </c>
      <c r="J31" s="211" t="str">
        <f t="shared" si="2"/>
        <v/>
      </c>
      <c r="K31" s="216">
        <f t="shared" si="3"/>
        <v>0</v>
      </c>
      <c r="L31" s="213" t="str">
        <f t="shared" si="4"/>
        <v/>
      </c>
      <c r="M31" s="80"/>
    </row>
    <row r="32" spans="1:13" x14ac:dyDescent="0.2">
      <c r="A32" s="59"/>
      <c r="B32" s="357" t="s">
        <v>17</v>
      </c>
      <c r="C32" s="358"/>
      <c r="D32" s="178">
        <f t="shared" si="0"/>
        <v>0</v>
      </c>
      <c r="E32" s="231"/>
      <c r="F32" s="49"/>
      <c r="G32" s="56"/>
      <c r="H32" s="57"/>
      <c r="I32" s="141">
        <f t="shared" si="1"/>
        <v>0</v>
      </c>
      <c r="J32" s="211" t="str">
        <f t="shared" si="2"/>
        <v/>
      </c>
      <c r="K32" s="216">
        <f t="shared" si="3"/>
        <v>0</v>
      </c>
      <c r="L32" s="213" t="str">
        <f t="shared" si="4"/>
        <v/>
      </c>
      <c r="M32" s="80"/>
    </row>
    <row r="33" spans="1:13" x14ac:dyDescent="0.2">
      <c r="A33" s="59"/>
      <c r="B33" s="357" t="s">
        <v>17</v>
      </c>
      <c r="C33" s="358"/>
      <c r="D33" s="178">
        <f t="shared" si="0"/>
        <v>0</v>
      </c>
      <c r="E33" s="231"/>
      <c r="F33" s="49"/>
      <c r="G33" s="56"/>
      <c r="H33" s="57"/>
      <c r="I33" s="141">
        <f t="shared" si="1"/>
        <v>0</v>
      </c>
      <c r="J33" s="211" t="str">
        <f t="shared" si="2"/>
        <v/>
      </c>
      <c r="K33" s="216">
        <f t="shared" si="3"/>
        <v>0</v>
      </c>
      <c r="L33" s="213" t="str">
        <f t="shared" si="4"/>
        <v/>
      </c>
      <c r="M33" s="80"/>
    </row>
    <row r="34" spans="1:13" x14ac:dyDescent="0.2">
      <c r="A34" s="59"/>
      <c r="B34" s="357" t="s">
        <v>17</v>
      </c>
      <c r="C34" s="358"/>
      <c r="D34" s="178">
        <f t="shared" si="0"/>
        <v>0</v>
      </c>
      <c r="E34" s="231"/>
      <c r="F34" s="49"/>
      <c r="G34" s="56"/>
      <c r="H34" s="57"/>
      <c r="I34" s="141">
        <f t="shared" si="1"/>
        <v>0</v>
      </c>
      <c r="J34" s="211" t="str">
        <f t="shared" si="2"/>
        <v/>
      </c>
      <c r="K34" s="216">
        <f t="shared" si="3"/>
        <v>0</v>
      </c>
      <c r="L34" s="213" t="str">
        <f t="shared" si="4"/>
        <v/>
      </c>
      <c r="M34" s="80"/>
    </row>
    <row r="35" spans="1:13" ht="6.75" customHeight="1" x14ac:dyDescent="0.2">
      <c r="A35" s="59"/>
      <c r="B35" s="361"/>
      <c r="C35" s="362"/>
      <c r="D35" s="46"/>
      <c r="E35" s="232"/>
      <c r="F35" s="86"/>
      <c r="G35" s="87"/>
      <c r="H35" s="88"/>
      <c r="I35" s="89"/>
      <c r="J35" s="210"/>
      <c r="K35" s="217"/>
      <c r="L35" s="214"/>
      <c r="M35" s="80"/>
    </row>
    <row r="36" spans="1:13" ht="18.75" customHeight="1" x14ac:dyDescent="0.2">
      <c r="A36" s="59"/>
      <c r="B36" s="356" t="s">
        <v>19</v>
      </c>
      <c r="C36" s="356"/>
      <c r="D36" s="356"/>
      <c r="E36" s="196"/>
      <c r="F36" s="90"/>
      <c r="G36" s="90"/>
      <c r="H36" s="90"/>
      <c r="I36" s="48"/>
      <c r="J36" s="48" t="s">
        <v>21</v>
      </c>
      <c r="K36" s="218">
        <f>SUM(K16:K34)</f>
        <v>0</v>
      </c>
      <c r="L36" s="214"/>
      <c r="M36" s="80"/>
    </row>
    <row r="37" spans="1:13" ht="18.75" customHeight="1" x14ac:dyDescent="0.2">
      <c r="A37" s="59"/>
      <c r="B37" s="355" t="s">
        <v>20</v>
      </c>
      <c r="C37" s="355"/>
      <c r="D37" s="355"/>
      <c r="E37" s="183"/>
      <c r="F37" s="145"/>
      <c r="G37" s="145"/>
      <c r="H37" s="145"/>
      <c r="I37" s="180"/>
      <c r="J37" s="185"/>
      <c r="K37" s="180"/>
      <c r="L37" s="92"/>
      <c r="M37" s="80"/>
    </row>
    <row r="38" spans="1:13" ht="12" customHeight="1" x14ac:dyDescent="0.2">
      <c r="A38" s="59"/>
      <c r="L38" s="59"/>
      <c r="M38" s="80"/>
    </row>
    <row r="39" spans="1:13" ht="18" customHeight="1" x14ac:dyDescent="0.2">
      <c r="A39" s="59"/>
      <c r="B39" s="327" t="s">
        <v>22</v>
      </c>
      <c r="C39" s="328"/>
      <c r="D39" s="328"/>
      <c r="E39" s="328"/>
      <c r="F39" s="328"/>
      <c r="G39" s="328"/>
      <c r="H39" s="328"/>
      <c r="I39" s="328"/>
      <c r="J39" s="328"/>
      <c r="K39" s="329"/>
      <c r="L39" s="212"/>
      <c r="M39" s="80"/>
    </row>
    <row r="40" spans="1:13" ht="6" customHeight="1" x14ac:dyDescent="0.2">
      <c r="A40" s="59"/>
      <c r="B40" s="316"/>
      <c r="C40" s="316"/>
      <c r="D40" s="316"/>
      <c r="E40" s="316"/>
      <c r="F40" s="316"/>
      <c r="G40" s="316"/>
      <c r="H40" s="316"/>
      <c r="I40" s="94"/>
      <c r="J40" s="94"/>
      <c r="K40" s="94"/>
      <c r="L40" s="59"/>
      <c r="M40" s="80"/>
    </row>
    <row r="41" spans="1:13" ht="12.75" customHeight="1" x14ac:dyDescent="0.2">
      <c r="A41" s="59"/>
      <c r="B41" s="389" t="s">
        <v>142</v>
      </c>
      <c r="C41" s="389"/>
      <c r="D41" s="389"/>
      <c r="E41" s="389"/>
      <c r="F41" s="135"/>
      <c r="G41" s="389"/>
      <c r="H41" s="389"/>
      <c r="I41" s="389"/>
      <c r="J41" s="389"/>
      <c r="K41" s="389"/>
      <c r="L41" s="92"/>
      <c r="M41" s="80"/>
    </row>
    <row r="42" spans="1:13" ht="26.25" customHeight="1" x14ac:dyDescent="0.2">
      <c r="A42" s="59"/>
      <c r="B42" s="390" t="s">
        <v>23</v>
      </c>
      <c r="C42" s="390"/>
      <c r="D42" s="390"/>
      <c r="E42" s="390"/>
      <c r="F42" s="229"/>
      <c r="G42" s="390" t="s">
        <v>150</v>
      </c>
      <c r="H42" s="390"/>
      <c r="I42" s="390"/>
      <c r="J42" s="390"/>
      <c r="K42" s="390"/>
      <c r="L42" s="92"/>
      <c r="M42" s="80"/>
    </row>
    <row r="43" spans="1:13" ht="6" customHeight="1" x14ac:dyDescent="0.2">
      <c r="A43" s="59"/>
      <c r="B43" s="95"/>
      <c r="C43" s="95"/>
      <c r="D43" s="95"/>
      <c r="E43" s="95"/>
      <c r="F43" s="95"/>
      <c r="G43" s="95"/>
      <c r="H43" s="95"/>
      <c r="I43" s="96"/>
      <c r="J43" s="96"/>
      <c r="K43" s="96"/>
      <c r="L43" s="92"/>
      <c r="M43" s="80"/>
    </row>
    <row r="44" spans="1:13" ht="12.75" customHeight="1" x14ac:dyDescent="0.2">
      <c r="A44" s="59"/>
      <c r="B44" s="375" t="s">
        <v>24</v>
      </c>
      <c r="C44" s="376"/>
      <c r="D44" s="179" t="s">
        <v>25</v>
      </c>
      <c r="E44" s="97" t="s">
        <v>7</v>
      </c>
      <c r="G44" s="400"/>
      <c r="H44" s="401"/>
      <c r="I44" s="401"/>
      <c r="J44" s="402"/>
      <c r="K44" s="197" t="s">
        <v>26</v>
      </c>
      <c r="L44" s="92"/>
      <c r="M44" s="80"/>
    </row>
    <row r="45" spans="1:13" ht="6" customHeight="1" x14ac:dyDescent="0.2">
      <c r="A45" s="59"/>
      <c r="B45" s="377"/>
      <c r="C45" s="378"/>
      <c r="D45" s="98"/>
      <c r="E45" s="99"/>
      <c r="G45" s="359"/>
      <c r="H45" s="408"/>
      <c r="I45" s="408"/>
      <c r="J45" s="360"/>
      <c r="K45" s="206"/>
      <c r="L45" s="92"/>
      <c r="M45" s="80"/>
    </row>
    <row r="46" spans="1:13" ht="12.75" customHeight="1" x14ac:dyDescent="0.2">
      <c r="A46" s="59"/>
      <c r="B46" s="317" t="str">
        <f>toebehoren_kit</f>
        <v>Beglazingskit Easyseal XPS wit, koker á 310 ml</v>
      </c>
      <c r="C46" s="318"/>
      <c r="D46" s="176">
        <f>_Prijzenblad!G3</f>
        <v>3.9</v>
      </c>
      <c r="E46" s="142">
        <f>_Rekenblad!C27</f>
        <v>0</v>
      </c>
      <c r="F46" s="101" t="s">
        <v>27</v>
      </c>
      <c r="G46" s="317" t="str">
        <f>IF(E46=0," ",IF($D$49="Ja",toebehoren_kit," "))</f>
        <v xml:space="preserve"> </v>
      </c>
      <c r="H46" s="397"/>
      <c r="I46" s="397"/>
      <c r="J46" s="318"/>
      <c r="K46" s="207" t="str">
        <f>IF(E46=0,"",IF($D$49="Ja",E46*D46,""))</f>
        <v/>
      </c>
      <c r="L46" s="92"/>
      <c r="M46" s="80"/>
    </row>
    <row r="47" spans="1:13" ht="12.75" customHeight="1" x14ac:dyDescent="0.2">
      <c r="A47" s="59"/>
      <c r="B47" s="317" t="str">
        <f>toebehoren_band</f>
        <v>Beglazingsband 9x3 mm wit, rol á 25 m1</v>
      </c>
      <c r="C47" s="318"/>
      <c r="D47" s="177">
        <f>_Prijzenblad!G4</f>
        <v>3</v>
      </c>
      <c r="E47" s="143">
        <f>_Rekenblad!C28</f>
        <v>0</v>
      </c>
      <c r="F47" s="101" t="s">
        <v>27</v>
      </c>
      <c r="G47" s="317" t="str">
        <f>IF(E47=0," ",IF($D$49="Ja",toebehoren_band," "))</f>
        <v xml:space="preserve"> </v>
      </c>
      <c r="H47" s="397"/>
      <c r="I47" s="397"/>
      <c r="J47" s="318"/>
      <c r="K47" s="207" t="str">
        <f>IF(E47=0,"",IF($D$49="Ja",E47*D47,""))</f>
        <v/>
      </c>
      <c r="L47" s="92"/>
      <c r="M47" s="80"/>
    </row>
    <row r="48" spans="1:13" ht="12.75" customHeight="1" x14ac:dyDescent="0.2">
      <c r="A48" s="59"/>
      <c r="B48" s="317" t="str">
        <f>toebehoren_blokjes</f>
        <v>Beglazingsblokjes, set per ruit</v>
      </c>
      <c r="C48" s="318"/>
      <c r="D48" s="177">
        <f>_Prijzenblad!G5</f>
        <v>1</v>
      </c>
      <c r="E48" s="143">
        <f>_Rekenblad!C29</f>
        <v>0</v>
      </c>
      <c r="F48" s="101" t="s">
        <v>27</v>
      </c>
      <c r="G48" s="317" t="str">
        <f>IF(E48=0," ",IF($D$49="Ja",toebehoren_blokjes," "))</f>
        <v xml:space="preserve"> </v>
      </c>
      <c r="H48" s="397"/>
      <c r="I48" s="397"/>
      <c r="J48" s="318"/>
      <c r="K48" s="207" t="str">
        <f>IF(E48=0,"",IF($D$49="Ja",E48*D48,""))</f>
        <v/>
      </c>
      <c r="L48" s="92"/>
      <c r="M48" s="80"/>
    </row>
    <row r="49" spans="1:13" ht="12.75" customHeight="1" x14ac:dyDescent="0.2">
      <c r="A49" s="59"/>
      <c r="B49" s="317" t="s">
        <v>28</v>
      </c>
      <c r="C49" s="318"/>
      <c r="D49" s="398" t="s">
        <v>105</v>
      </c>
      <c r="E49" s="399"/>
      <c r="F49" s="101" t="s">
        <v>27</v>
      </c>
      <c r="G49" s="317" t="str">
        <f>IF($D$49="Ja","Bezorgkosten beglazingsmateriaal"," ")</f>
        <v>Bezorgkosten beglazingsmateriaal</v>
      </c>
      <c r="H49" s="397"/>
      <c r="I49" s="397"/>
      <c r="J49" s="318"/>
      <c r="K49" s="208" t="str">
        <f>IF(SUM(K46:K48)=0,"",IF(SUM(K36,K46:K48)&gt;=verzend_tot,0,IF(D49="Ja",verzend_laag,"")))</f>
        <v/>
      </c>
      <c r="L49" s="92"/>
      <c r="M49" s="80"/>
    </row>
    <row r="50" spans="1:13" ht="6" customHeight="1" x14ac:dyDescent="0.2">
      <c r="A50" s="59"/>
      <c r="B50" s="391"/>
      <c r="C50" s="393"/>
      <c r="D50" s="102"/>
      <c r="E50" s="103"/>
      <c r="G50" s="391"/>
      <c r="H50" s="392"/>
      <c r="I50" s="392"/>
      <c r="J50" s="393"/>
      <c r="K50" s="219"/>
      <c r="L50" s="92"/>
      <c r="M50" s="80"/>
    </row>
    <row r="51" spans="1:13" ht="18.75" customHeight="1" x14ac:dyDescent="0.2">
      <c r="A51" s="59"/>
      <c r="B51" s="90"/>
      <c r="C51" s="90"/>
      <c r="D51" s="90"/>
      <c r="E51" s="90"/>
      <c r="F51" s="90"/>
      <c r="G51" s="90"/>
      <c r="H51" s="90"/>
      <c r="I51" s="91"/>
      <c r="J51" s="91" t="s">
        <v>21</v>
      </c>
      <c r="K51" s="220">
        <f>SUM(K46:K49)</f>
        <v>0</v>
      </c>
      <c r="L51" s="92"/>
      <c r="M51" s="80"/>
    </row>
    <row r="52" spans="1:13" ht="6" customHeight="1" x14ac:dyDescent="0.2">
      <c r="A52" s="59"/>
      <c r="C52" s="124"/>
      <c r="D52" s="124"/>
      <c r="E52" s="124"/>
      <c r="F52" s="124"/>
      <c r="G52" s="124"/>
      <c r="H52" s="90"/>
      <c r="I52" s="91"/>
      <c r="J52" s="91"/>
      <c r="K52" s="91"/>
      <c r="L52" s="92"/>
      <c r="M52" s="80"/>
    </row>
    <row r="53" spans="1:13" ht="12.75" customHeight="1" x14ac:dyDescent="0.2">
      <c r="A53" s="59"/>
      <c r="B53" s="135"/>
      <c r="C53" s="135"/>
      <c r="D53" s="135"/>
      <c r="E53" s="135"/>
      <c r="F53" s="135"/>
      <c r="G53" s="135"/>
      <c r="H53" s="90"/>
      <c r="I53" s="91"/>
      <c r="J53" s="91" t="str">
        <f>"Verzending en afhandeling € "&amp;verzend_hoog&amp;",00 per order tot € "&amp;verzend_tot&amp;",00"</f>
        <v>Verzending en afhandeling € 23,00 per order tot € 400,00</v>
      </c>
      <c r="K53" s="221">
        <f>IF(K36=0,0,IF(SUM(K36,K46:K48)&gt;=verzend_tot,0,IF(C79="Bezorgen",verzend_hoog,0)))</f>
        <v>0</v>
      </c>
      <c r="L53" s="92"/>
      <c r="M53" s="80"/>
    </row>
    <row r="54" spans="1:13" ht="12.75" customHeight="1" x14ac:dyDescent="0.2">
      <c r="A54" s="59"/>
      <c r="B54" s="135"/>
      <c r="C54" s="135"/>
      <c r="D54" s="135"/>
      <c r="E54" s="135"/>
      <c r="F54" s="135"/>
      <c r="G54" s="135"/>
      <c r="H54" s="104"/>
      <c r="I54" s="91"/>
      <c r="J54" s="91" t="str">
        <f>VLOOKUP(_Rekenblad!H25,enkelglas_korting,4,TRUE)</f>
        <v>0% korting</v>
      </c>
      <c r="K54" s="222">
        <f>VLOOKUP(_Rekenblad!H25,enkelglas_korting,3,TRUE)*-K36</f>
        <v>0</v>
      </c>
      <c r="L54" s="92"/>
      <c r="M54" s="80"/>
    </row>
    <row r="55" spans="1:13" ht="6" customHeight="1" x14ac:dyDescent="0.2">
      <c r="A55" s="59"/>
      <c r="B55" s="135"/>
      <c r="C55" s="135"/>
      <c r="D55" s="135"/>
      <c r="E55" s="135"/>
      <c r="F55" s="135"/>
      <c r="G55" s="135"/>
      <c r="H55" s="104"/>
      <c r="I55" s="96"/>
      <c r="J55" s="96"/>
      <c r="K55" s="96"/>
      <c r="L55" s="92"/>
      <c r="M55" s="80"/>
    </row>
    <row r="56" spans="1:13" ht="18.75" customHeight="1" x14ac:dyDescent="0.2">
      <c r="A56" s="59"/>
      <c r="B56" s="135"/>
      <c r="C56" s="135"/>
      <c r="D56" s="135"/>
      <c r="E56" s="135"/>
      <c r="F56" s="135"/>
      <c r="G56" s="135"/>
      <c r="H56" s="104"/>
      <c r="I56" s="127"/>
      <c r="J56" s="127" t="s">
        <v>29</v>
      </c>
      <c r="K56" s="223">
        <f>SUM(K36+K51+K53+K54)</f>
        <v>0</v>
      </c>
      <c r="L56" s="92"/>
      <c r="M56" s="80"/>
    </row>
    <row r="57" spans="1:13" ht="6" customHeight="1" x14ac:dyDescent="0.2">
      <c r="A57" s="59"/>
      <c r="B57" s="396" t="s">
        <v>30</v>
      </c>
      <c r="C57" s="396"/>
      <c r="D57" s="396"/>
      <c r="E57" s="396"/>
      <c r="F57" s="396"/>
      <c r="G57" s="396"/>
      <c r="H57" s="104"/>
      <c r="I57" s="96"/>
      <c r="J57" s="96"/>
      <c r="K57" s="96"/>
      <c r="L57" s="92"/>
      <c r="M57" s="93"/>
    </row>
    <row r="58" spans="1:13" ht="12.75" customHeight="1" x14ac:dyDescent="0.25">
      <c r="A58" s="59"/>
      <c r="B58" s="396"/>
      <c r="C58" s="396"/>
      <c r="D58" s="396"/>
      <c r="E58" s="396"/>
      <c r="F58" s="396"/>
      <c r="G58" s="396"/>
      <c r="H58" s="104"/>
      <c r="I58" s="91"/>
      <c r="J58" s="91" t="str">
        <f>"Btw bedrag "&amp;btw_hoog&amp;"%"</f>
        <v>Btw bedrag 21%</v>
      </c>
      <c r="K58" s="224">
        <f>IF(M59&gt;0,btw_hoog/100*(K56-M59),IF(M59=0,(K56*btw_hoog/100)))</f>
        <v>0</v>
      </c>
      <c r="L58" s="105"/>
      <c r="M58" s="125" t="s">
        <v>31</v>
      </c>
    </row>
    <row r="59" spans="1:13" ht="12.75" customHeight="1" x14ac:dyDescent="0.25">
      <c r="A59" s="59"/>
      <c r="B59" s="396"/>
      <c r="C59" s="396"/>
      <c r="D59" s="396"/>
      <c r="E59" s="396"/>
      <c r="F59" s="396"/>
      <c r="G59" s="396"/>
      <c r="H59" s="104"/>
      <c r="I59" s="91"/>
      <c r="J59" s="91" t="str">
        <f>IF($M$59&gt;0,("Btw bedrag "&amp;btw_laag&amp;"%"),"")</f>
        <v/>
      </c>
      <c r="K59" s="260" t="str">
        <f>IF(M59=0,"",M59*btw_laag/100)</f>
        <v/>
      </c>
      <c r="L59" s="105"/>
      <c r="M59" s="175"/>
    </row>
    <row r="60" spans="1:13" ht="6" customHeight="1" x14ac:dyDescent="0.25">
      <c r="A60" s="59"/>
      <c r="B60" s="396"/>
      <c r="C60" s="396"/>
      <c r="D60" s="396"/>
      <c r="E60" s="396"/>
      <c r="F60" s="396"/>
      <c r="G60" s="396"/>
      <c r="H60" s="104"/>
      <c r="I60" s="126"/>
      <c r="J60" s="126"/>
      <c r="K60" s="96"/>
      <c r="L60" s="105"/>
      <c r="M60" s="93"/>
    </row>
    <row r="61" spans="1:13" ht="18.75" customHeight="1" x14ac:dyDescent="0.25">
      <c r="A61" s="59"/>
      <c r="B61" s="396"/>
      <c r="C61" s="396"/>
      <c r="D61" s="396"/>
      <c r="E61" s="396"/>
      <c r="F61" s="396"/>
      <c r="G61" s="396"/>
      <c r="H61" s="104"/>
      <c r="I61" s="127"/>
      <c r="J61" s="127" t="s">
        <v>32</v>
      </c>
      <c r="K61" s="223">
        <f>SUM(K56:K59)</f>
        <v>0</v>
      </c>
      <c r="L61" s="105"/>
      <c r="M61" s="93"/>
    </row>
    <row r="62" spans="1:13" ht="12" customHeight="1" x14ac:dyDescent="0.2">
      <c r="A62" s="59"/>
      <c r="B62" s="80"/>
      <c r="C62" s="80"/>
      <c r="D62" s="80"/>
      <c r="E62" s="80"/>
      <c r="F62" s="80"/>
      <c r="G62" s="80"/>
      <c r="H62" s="80"/>
      <c r="L62" s="59"/>
      <c r="M62" s="93"/>
    </row>
    <row r="63" spans="1:13" ht="18" customHeight="1" x14ac:dyDescent="0.2">
      <c r="A63" s="59"/>
      <c r="B63" s="327" t="s">
        <v>33</v>
      </c>
      <c r="C63" s="328"/>
      <c r="D63" s="328"/>
      <c r="E63" s="328"/>
      <c r="F63" s="328"/>
      <c r="G63" s="328"/>
      <c r="H63" s="328"/>
      <c r="I63" s="328"/>
      <c r="J63" s="328"/>
      <c r="K63" s="329"/>
      <c r="L63" s="212"/>
      <c r="M63" s="100"/>
    </row>
    <row r="64" spans="1:13" ht="6" customHeight="1" x14ac:dyDescent="0.2">
      <c r="A64" s="59"/>
      <c r="B64" s="316"/>
      <c r="C64" s="316"/>
      <c r="D64" s="316"/>
      <c r="E64" s="316"/>
      <c r="F64" s="316"/>
      <c r="G64" s="316"/>
      <c r="H64" s="316"/>
      <c r="I64" s="94"/>
      <c r="J64" s="94"/>
      <c r="K64" s="94"/>
      <c r="L64" s="59"/>
      <c r="M64" s="100"/>
    </row>
    <row r="65" spans="1:13" ht="12.75" customHeight="1" x14ac:dyDescent="0.25">
      <c r="A65" s="59"/>
      <c r="B65" s="405" t="s">
        <v>34</v>
      </c>
      <c r="C65" s="406"/>
      <c r="D65" s="406"/>
      <c r="E65" s="407"/>
      <c r="F65" s="106"/>
      <c r="G65" s="375" t="str">
        <f>IF(C77="nee","Afleveradres = Factuuradres","Afleveradres")</f>
        <v>Afleveradres</v>
      </c>
      <c r="H65" s="394"/>
      <c r="I65" s="394"/>
      <c r="J65" s="394"/>
      <c r="K65" s="395"/>
      <c r="L65" s="105"/>
      <c r="M65" s="107"/>
    </row>
    <row r="66" spans="1:13" ht="6" customHeight="1" x14ac:dyDescent="0.25">
      <c r="A66" s="59"/>
      <c r="B66" s="108"/>
      <c r="C66" s="321"/>
      <c r="D66" s="322"/>
      <c r="E66" s="323"/>
      <c r="F66" s="109"/>
      <c r="G66" s="338"/>
      <c r="H66" s="339"/>
      <c r="I66" s="403"/>
      <c r="J66" s="403"/>
      <c r="K66" s="404"/>
      <c r="L66" s="105"/>
      <c r="M66" s="100"/>
    </row>
    <row r="67" spans="1:13" ht="13.5" customHeight="1" x14ac:dyDescent="0.2">
      <c r="A67" s="59"/>
      <c r="B67" s="110" t="s">
        <v>35</v>
      </c>
      <c r="C67" s="324"/>
      <c r="D67" s="325"/>
      <c r="E67" s="326"/>
      <c r="F67" s="53" t="s">
        <v>36</v>
      </c>
      <c r="G67" s="317" t="s">
        <v>35</v>
      </c>
      <c r="H67" s="318"/>
      <c r="I67" s="341"/>
      <c r="J67" s="342"/>
      <c r="K67" s="343"/>
      <c r="L67" s="111"/>
      <c r="M67" s="112"/>
    </row>
    <row r="68" spans="1:13" ht="14.25" customHeight="1" x14ac:dyDescent="0.2">
      <c r="A68" s="59"/>
      <c r="B68" s="110" t="s">
        <v>37</v>
      </c>
      <c r="C68" s="324"/>
      <c r="D68" s="325"/>
      <c r="E68" s="326"/>
      <c r="F68" s="54" t="s">
        <v>36</v>
      </c>
      <c r="G68" s="317" t="s">
        <v>37</v>
      </c>
      <c r="H68" s="318"/>
      <c r="I68" s="344"/>
      <c r="J68" s="345"/>
      <c r="K68" s="346"/>
      <c r="L68" s="111"/>
      <c r="M68" s="113"/>
    </row>
    <row r="69" spans="1:13" ht="12.75" customHeight="1" x14ac:dyDescent="0.2">
      <c r="A69" s="59"/>
      <c r="B69" s="110" t="s">
        <v>38</v>
      </c>
      <c r="C69" s="324"/>
      <c r="D69" s="325"/>
      <c r="E69" s="326"/>
      <c r="F69" s="54" t="s">
        <v>36</v>
      </c>
      <c r="G69" s="317" t="s">
        <v>38</v>
      </c>
      <c r="H69" s="318"/>
      <c r="I69" s="344"/>
      <c r="J69" s="345"/>
      <c r="K69" s="346"/>
      <c r="L69" s="111"/>
      <c r="M69" s="113"/>
    </row>
    <row r="70" spans="1:13" x14ac:dyDescent="0.2">
      <c r="A70" s="59"/>
      <c r="B70" s="110" t="s">
        <v>39</v>
      </c>
      <c r="C70" s="324"/>
      <c r="D70" s="325"/>
      <c r="E70" s="326"/>
      <c r="F70" s="54" t="s">
        <v>36</v>
      </c>
      <c r="G70" s="317" t="s">
        <v>39</v>
      </c>
      <c r="H70" s="318"/>
      <c r="I70" s="344"/>
      <c r="J70" s="345"/>
      <c r="K70" s="346"/>
      <c r="L70" s="111"/>
      <c r="M70" s="113"/>
    </row>
    <row r="71" spans="1:13" x14ac:dyDescent="0.2">
      <c r="A71" s="59"/>
      <c r="B71" s="110" t="s">
        <v>40</v>
      </c>
      <c r="C71" s="332" t="s">
        <v>18</v>
      </c>
      <c r="D71" s="333"/>
      <c r="E71" s="334"/>
      <c r="F71" s="114" t="s">
        <v>36</v>
      </c>
      <c r="G71" s="317" t="s">
        <v>40</v>
      </c>
      <c r="H71" s="318"/>
      <c r="I71" s="372" t="s">
        <v>18</v>
      </c>
      <c r="J71" s="373"/>
      <c r="K71" s="374"/>
      <c r="L71" s="111"/>
      <c r="M71" s="113"/>
    </row>
    <row r="72" spans="1:13" ht="14.25" customHeight="1" x14ac:dyDescent="0.2">
      <c r="A72" s="59"/>
      <c r="B72" s="110" t="s">
        <v>41</v>
      </c>
      <c r="C72" s="324"/>
      <c r="D72" s="325"/>
      <c r="E72" s="326"/>
      <c r="F72" s="55" t="s">
        <v>36</v>
      </c>
      <c r="G72" s="319" t="s">
        <v>149</v>
      </c>
      <c r="H72" s="320"/>
      <c r="I72" s="369"/>
      <c r="J72" s="370"/>
      <c r="K72" s="371"/>
      <c r="L72" s="111"/>
      <c r="M72" s="113"/>
    </row>
    <row r="73" spans="1:13" x14ac:dyDescent="0.2">
      <c r="A73" s="59"/>
      <c r="B73" s="110" t="s">
        <v>42</v>
      </c>
      <c r="C73" s="324"/>
      <c r="D73" s="325"/>
      <c r="E73" s="326"/>
      <c r="F73" s="51"/>
      <c r="I73" s="316"/>
      <c r="J73" s="316"/>
      <c r="K73" s="316"/>
      <c r="L73" s="111"/>
      <c r="M73" s="113"/>
    </row>
    <row r="74" spans="1:13" x14ac:dyDescent="0.2">
      <c r="A74" s="59"/>
      <c r="B74" s="110" t="s">
        <v>43</v>
      </c>
      <c r="C74" s="331"/>
      <c r="D74" s="325"/>
      <c r="E74" s="326"/>
      <c r="F74" s="54" t="s">
        <v>36</v>
      </c>
      <c r="I74" s="316"/>
      <c r="J74" s="316"/>
      <c r="K74" s="316"/>
      <c r="L74" s="111"/>
      <c r="M74" s="113"/>
    </row>
    <row r="75" spans="1:13" ht="6" customHeight="1" x14ac:dyDescent="0.2">
      <c r="A75" s="59"/>
      <c r="B75" s="115"/>
      <c r="C75" s="194"/>
      <c r="D75" s="195"/>
      <c r="E75" s="226"/>
      <c r="F75" s="50"/>
      <c r="I75" s="330"/>
      <c r="J75" s="330"/>
      <c r="K75" s="330"/>
      <c r="L75" s="111"/>
      <c r="M75" s="113"/>
    </row>
    <row r="76" spans="1:13" ht="6" customHeight="1" x14ac:dyDescent="0.2">
      <c r="A76" s="59"/>
      <c r="B76" s="47"/>
      <c r="C76" s="47"/>
      <c r="D76" s="47"/>
      <c r="E76" s="47"/>
      <c r="F76" s="47"/>
      <c r="I76" s="94"/>
      <c r="J76" s="94"/>
      <c r="K76" s="94"/>
      <c r="L76" s="59"/>
    </row>
    <row r="77" spans="1:13" ht="12.75" customHeight="1" x14ac:dyDescent="0.2">
      <c r="A77" s="59"/>
      <c r="B77" s="116" t="s">
        <v>44</v>
      </c>
      <c r="C77" s="225" t="s">
        <v>18</v>
      </c>
      <c r="D77" s="117"/>
      <c r="E77" s="117"/>
      <c r="F77" s="151" t="s">
        <v>45</v>
      </c>
      <c r="G77" s="340" t="str">
        <f>IF(C77="Ja","Afwijkend afleveradres, voer bovenstaand het afleveradres in.",IF(C77="Nee","Het factuuradres is het afleveradres.", ""))</f>
        <v/>
      </c>
      <c r="H77" s="340"/>
      <c r="I77" s="340"/>
      <c r="J77" s="340"/>
      <c r="K77" s="340"/>
      <c r="L77" s="111"/>
      <c r="M77" s="113"/>
    </row>
    <row r="78" spans="1:13" ht="7.5" customHeight="1" x14ac:dyDescent="0.2">
      <c r="A78" s="59"/>
      <c r="B78" s="116"/>
      <c r="C78" s="150"/>
      <c r="D78" s="52"/>
      <c r="E78" s="52"/>
      <c r="F78" s="58"/>
      <c r="G78" s="335" t="str">
        <f>IF(C79="bezorgen","Afwijkend afleveradres? Voer bovenstaand het afleveradres in. Bij bezorgen hoeft u links geen locatie te selecteren.",IF(C79="Afhalen","Kies links uw gewenste afhaallocatie. U ontvangt van Glasdiscount.nl het adres van de afhaallocatie en de afhaaldatum. Afhalen van glastoebehoren is niet mogelijk.", ""))</f>
        <v>Afwijkend afleveradres? Voer bovenstaand het afleveradres in. Bij bezorgen hoeft u links geen locatie te selecteren.</v>
      </c>
      <c r="H78" s="335"/>
      <c r="I78" s="335"/>
      <c r="J78" s="335"/>
      <c r="K78" s="335"/>
      <c r="L78" s="111"/>
      <c r="M78" s="113"/>
    </row>
    <row r="79" spans="1:13" ht="12.75" customHeight="1" x14ac:dyDescent="0.2">
      <c r="A79" s="59"/>
      <c r="B79" s="116" t="s">
        <v>46</v>
      </c>
      <c r="C79" s="314" t="s">
        <v>104</v>
      </c>
      <c r="D79" s="336" t="s">
        <v>47</v>
      </c>
      <c r="E79" s="337"/>
      <c r="F79" s="151" t="s">
        <v>45</v>
      </c>
      <c r="G79" s="335"/>
      <c r="H79" s="335"/>
      <c r="I79" s="335"/>
      <c r="J79" s="335"/>
      <c r="K79" s="335"/>
      <c r="L79" s="111"/>
      <c r="M79" s="113"/>
    </row>
    <row r="80" spans="1:13" ht="7.5" customHeight="1" x14ac:dyDescent="0.2">
      <c r="A80" s="59"/>
      <c r="B80" s="116"/>
      <c r="C80" s="116"/>
      <c r="D80" s="116"/>
      <c r="E80" s="116"/>
      <c r="F80" s="116"/>
      <c r="G80" s="335"/>
      <c r="H80" s="335"/>
      <c r="I80" s="335"/>
      <c r="J80" s="335"/>
      <c r="K80" s="335"/>
      <c r="L80" s="111"/>
      <c r="M80" s="113"/>
    </row>
    <row r="81" spans="1:166" ht="12" customHeight="1" x14ac:dyDescent="0.2">
      <c r="A81" s="59"/>
      <c r="B81" s="94"/>
      <c r="C81" s="118"/>
      <c r="D81" s="118"/>
      <c r="E81" s="118"/>
      <c r="F81" s="118"/>
      <c r="G81" s="118"/>
      <c r="I81" s="147"/>
      <c r="J81" s="147"/>
      <c r="K81" s="147"/>
      <c r="L81" s="111"/>
      <c r="M81" s="113"/>
    </row>
    <row r="82" spans="1:166" ht="18" customHeight="1" x14ac:dyDescent="0.2">
      <c r="A82" s="59"/>
      <c r="B82" s="327" t="s">
        <v>48</v>
      </c>
      <c r="C82" s="328"/>
      <c r="D82" s="328"/>
      <c r="E82" s="328"/>
      <c r="F82" s="328"/>
      <c r="G82" s="328"/>
      <c r="H82" s="328"/>
      <c r="I82" s="328"/>
      <c r="J82" s="328"/>
      <c r="K82" s="329"/>
      <c r="L82" s="212"/>
    </row>
    <row r="83" spans="1:166" ht="6" customHeight="1" x14ac:dyDescent="0.2">
      <c r="A83" s="59"/>
      <c r="B83" s="316"/>
      <c r="C83" s="316"/>
      <c r="D83" s="316"/>
      <c r="E83" s="316"/>
      <c r="F83" s="316"/>
      <c r="G83" s="316"/>
      <c r="H83" s="316"/>
      <c r="I83" s="94"/>
      <c r="J83" s="94"/>
      <c r="K83" s="94"/>
      <c r="L83" s="59"/>
    </row>
    <row r="84" spans="1:166" ht="6" customHeight="1" x14ac:dyDescent="0.2">
      <c r="A84" s="59"/>
      <c r="B84" s="380"/>
      <c r="C84" s="381"/>
      <c r="D84" s="381"/>
      <c r="E84" s="381"/>
      <c r="F84" s="381"/>
      <c r="G84" s="381"/>
      <c r="H84" s="381"/>
      <c r="I84" s="381"/>
      <c r="J84" s="381"/>
      <c r="K84" s="382"/>
      <c r="L84" s="119"/>
      <c r="M84" s="120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</row>
    <row r="85" spans="1:166" x14ac:dyDescent="0.2">
      <c r="A85" s="59"/>
      <c r="B85" s="383"/>
      <c r="C85" s="384"/>
      <c r="D85" s="384"/>
      <c r="E85" s="384"/>
      <c r="F85" s="384"/>
      <c r="G85" s="384"/>
      <c r="H85" s="384"/>
      <c r="I85" s="384"/>
      <c r="J85" s="384"/>
      <c r="K85" s="385"/>
      <c r="L85" s="119"/>
      <c r="M85" s="120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</row>
    <row r="86" spans="1:166" x14ac:dyDescent="0.2">
      <c r="A86" s="59"/>
      <c r="B86" s="383"/>
      <c r="C86" s="384"/>
      <c r="D86" s="384"/>
      <c r="E86" s="384"/>
      <c r="F86" s="384"/>
      <c r="G86" s="384"/>
      <c r="H86" s="384"/>
      <c r="I86" s="384"/>
      <c r="J86" s="384"/>
      <c r="K86" s="385"/>
      <c r="L86" s="119"/>
      <c r="M86" s="120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</row>
    <row r="87" spans="1:166" x14ac:dyDescent="0.2">
      <c r="A87" s="59"/>
      <c r="B87" s="383"/>
      <c r="C87" s="384"/>
      <c r="D87" s="384"/>
      <c r="E87" s="384"/>
      <c r="F87" s="384"/>
      <c r="G87" s="384"/>
      <c r="H87" s="384"/>
      <c r="I87" s="384"/>
      <c r="J87" s="384"/>
      <c r="K87" s="385"/>
      <c r="L87" s="119"/>
      <c r="M87" s="120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  <c r="DA87" s="85"/>
      <c r="DB87" s="85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  <c r="DS87" s="85"/>
      <c r="DT87" s="85"/>
      <c r="DU87" s="85"/>
      <c r="DV87" s="85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</row>
    <row r="88" spans="1:166" x14ac:dyDescent="0.2">
      <c r="A88" s="59"/>
      <c r="B88" s="383"/>
      <c r="C88" s="384"/>
      <c r="D88" s="384"/>
      <c r="E88" s="384"/>
      <c r="F88" s="384"/>
      <c r="G88" s="384"/>
      <c r="H88" s="384"/>
      <c r="I88" s="384"/>
      <c r="J88" s="384"/>
      <c r="K88" s="385"/>
      <c r="L88" s="119"/>
      <c r="M88" s="120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</row>
    <row r="89" spans="1:166" x14ac:dyDescent="0.2">
      <c r="A89" s="59"/>
      <c r="B89" s="383"/>
      <c r="C89" s="384"/>
      <c r="D89" s="384"/>
      <c r="E89" s="384"/>
      <c r="F89" s="384"/>
      <c r="G89" s="384"/>
      <c r="H89" s="384"/>
      <c r="I89" s="384"/>
      <c r="J89" s="384"/>
      <c r="K89" s="385"/>
      <c r="L89" s="119"/>
      <c r="M89" s="120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  <c r="FF89" s="85"/>
      <c r="FG89" s="85"/>
      <c r="FH89" s="85"/>
      <c r="FI89" s="85"/>
      <c r="FJ89" s="85"/>
    </row>
    <row r="90" spans="1:166" x14ac:dyDescent="0.2">
      <c r="A90" s="59"/>
      <c r="B90" s="383"/>
      <c r="C90" s="384"/>
      <c r="D90" s="384"/>
      <c r="E90" s="384"/>
      <c r="F90" s="384"/>
      <c r="G90" s="384"/>
      <c r="H90" s="384"/>
      <c r="I90" s="384"/>
      <c r="J90" s="384"/>
      <c r="K90" s="385"/>
      <c r="L90" s="119"/>
      <c r="M90" s="120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  <c r="FF90" s="85"/>
      <c r="FG90" s="85"/>
      <c r="FH90" s="85"/>
      <c r="FI90" s="85"/>
      <c r="FJ90" s="85"/>
    </row>
    <row r="91" spans="1:166" ht="6" customHeight="1" x14ac:dyDescent="0.2">
      <c r="A91" s="59"/>
      <c r="B91" s="386"/>
      <c r="C91" s="387"/>
      <c r="D91" s="387"/>
      <c r="E91" s="387"/>
      <c r="F91" s="387"/>
      <c r="G91" s="387"/>
      <c r="H91" s="387"/>
      <c r="I91" s="387"/>
      <c r="J91" s="387"/>
      <c r="K91" s="388"/>
      <c r="L91" s="119"/>
      <c r="M91" s="120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  <c r="FF91" s="85"/>
      <c r="FG91" s="85"/>
      <c r="FH91" s="85"/>
      <c r="FI91" s="85"/>
      <c r="FJ91" s="85"/>
    </row>
    <row r="92" spans="1:166" ht="6" customHeight="1" x14ac:dyDescent="0.2">
      <c r="A92" s="59"/>
      <c r="B92" s="72"/>
      <c r="C92" s="122"/>
      <c r="D92" s="122"/>
      <c r="E92" s="122"/>
      <c r="F92" s="122"/>
      <c r="G92" s="122"/>
      <c r="H92" s="122"/>
      <c r="I92" s="121"/>
      <c r="J92" s="121"/>
      <c r="K92" s="121"/>
      <c r="L92" s="119"/>
      <c r="M92" s="120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  <c r="FF92" s="85"/>
      <c r="FG92" s="85"/>
      <c r="FH92" s="85"/>
      <c r="FI92" s="85"/>
      <c r="FJ92" s="85"/>
    </row>
    <row r="93" spans="1:166" ht="7.5" customHeight="1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5" spans="1:166" x14ac:dyDescent="0.2">
      <c r="B95" s="379" t="str">
        <f>'© Copyright'!A1</f>
        <v>© 2004 - 2019 Glasdiscount.nl</v>
      </c>
      <c r="C95" s="379"/>
      <c r="D95" s="379"/>
      <c r="E95" s="379"/>
      <c r="F95" s="379"/>
      <c r="G95" s="379"/>
      <c r="H95" s="379"/>
      <c r="I95" s="379"/>
      <c r="J95" s="379"/>
      <c r="K95" s="379"/>
    </row>
    <row r="96" spans="1:166" x14ac:dyDescent="0.2">
      <c r="B96" s="379" t="str">
        <f>'© Copyright'!A3</f>
        <v>Deze spreadsheet is eigendom van Glasdiscount.nl en mag uitsluitend gebruikt worden door (potentiële) relaties en klanten van Glasdiscount.nl</v>
      </c>
      <c r="C96" s="379"/>
      <c r="D96" s="379"/>
      <c r="E96" s="379"/>
      <c r="F96" s="379"/>
      <c r="G96" s="379"/>
      <c r="H96" s="379"/>
      <c r="I96" s="379"/>
      <c r="J96" s="379"/>
      <c r="K96" s="379"/>
    </row>
    <row r="97" spans="2:11" x14ac:dyDescent="0.2">
      <c r="B97" s="379" t="str">
        <f>'© Copyright'!A4</f>
        <v>Op geen enkele wijze mag dit programma gekopieerd of hergebruikt worden tenzij schriftelijke toestemming is verleend door Glasdiscount.nl</v>
      </c>
      <c r="C97" s="379"/>
      <c r="D97" s="379"/>
      <c r="E97" s="379"/>
      <c r="F97" s="379"/>
      <c r="G97" s="379"/>
      <c r="H97" s="379"/>
      <c r="I97" s="379"/>
      <c r="J97" s="379"/>
      <c r="K97" s="379"/>
    </row>
    <row r="98" spans="2:11" x14ac:dyDescent="0.2">
      <c r="B98" s="123"/>
    </row>
    <row r="99" spans="2:11" x14ac:dyDescent="0.2">
      <c r="B99" s="123"/>
    </row>
  </sheetData>
  <sheetProtection algorithmName="SHA-512" hashValue="CQ+j+jGpnRxlwyYUt3BMI3D8qm+9HIv846Q9TcQBojO2m0Jpk87I/HFBtva31SBhi1OVFQml1d7xQtsiomWPqw==" saltValue="og0+QfEzbSt8vz9hadCuDg==" spinCount="100000" sheet="1" objects="1" scenarios="1" selectLockedCells="1"/>
  <mergeCells count="101">
    <mergeCell ref="I70:K70"/>
    <mergeCell ref="B41:E41"/>
    <mergeCell ref="B42:E42"/>
    <mergeCell ref="G42:K42"/>
    <mergeCell ref="G41:K41"/>
    <mergeCell ref="G50:J50"/>
    <mergeCell ref="G65:K65"/>
    <mergeCell ref="B57:G61"/>
    <mergeCell ref="G49:J49"/>
    <mergeCell ref="B50:C50"/>
    <mergeCell ref="D49:E49"/>
    <mergeCell ref="G44:J44"/>
    <mergeCell ref="I66:K66"/>
    <mergeCell ref="B65:E65"/>
    <mergeCell ref="G45:J45"/>
    <mergeCell ref="G46:J46"/>
    <mergeCell ref="G47:J47"/>
    <mergeCell ref="G48:J48"/>
    <mergeCell ref="B97:K97"/>
    <mergeCell ref="B84:K84"/>
    <mergeCell ref="B85:K85"/>
    <mergeCell ref="B90:K90"/>
    <mergeCell ref="B91:K91"/>
    <mergeCell ref="B88:K88"/>
    <mergeCell ref="B89:K89"/>
    <mergeCell ref="B95:K95"/>
    <mergeCell ref="B96:K96"/>
    <mergeCell ref="B87:K87"/>
    <mergeCell ref="B86:K86"/>
    <mergeCell ref="B33:C33"/>
    <mergeCell ref="B34:C34"/>
    <mergeCell ref="B39:K39"/>
    <mergeCell ref="B40:H40"/>
    <mergeCell ref="J13:J14"/>
    <mergeCell ref="B24:C24"/>
    <mergeCell ref="I72:K72"/>
    <mergeCell ref="B63:K63"/>
    <mergeCell ref="B64:H64"/>
    <mergeCell ref="B19:C19"/>
    <mergeCell ref="B20:C20"/>
    <mergeCell ref="B21:C21"/>
    <mergeCell ref="B22:C22"/>
    <mergeCell ref="B23:C23"/>
    <mergeCell ref="I71:K71"/>
    <mergeCell ref="B44:C44"/>
    <mergeCell ref="B45:C45"/>
    <mergeCell ref="B46:C46"/>
    <mergeCell ref="B47:C47"/>
    <mergeCell ref="B48:C48"/>
    <mergeCell ref="B49:C49"/>
    <mergeCell ref="G67:H67"/>
    <mergeCell ref="G68:H68"/>
    <mergeCell ref="I69:K69"/>
    <mergeCell ref="B2:K2"/>
    <mergeCell ref="H4:K5"/>
    <mergeCell ref="B11:H11"/>
    <mergeCell ref="C4:D4"/>
    <mergeCell ref="C5:D5"/>
    <mergeCell ref="B10:K10"/>
    <mergeCell ref="B8:K8"/>
    <mergeCell ref="B37:D37"/>
    <mergeCell ref="B36:D36"/>
    <mergeCell ref="B16:C16"/>
    <mergeCell ref="B17:C17"/>
    <mergeCell ref="B18:C18"/>
    <mergeCell ref="B25:C25"/>
    <mergeCell ref="B26:C26"/>
    <mergeCell ref="B27:C27"/>
    <mergeCell ref="B28:C28"/>
    <mergeCell ref="B29:C29"/>
    <mergeCell ref="B15:C15"/>
    <mergeCell ref="B35:C35"/>
    <mergeCell ref="B30:C30"/>
    <mergeCell ref="B31:C31"/>
    <mergeCell ref="B13:C13"/>
    <mergeCell ref="B14:C14"/>
    <mergeCell ref="B32:C32"/>
    <mergeCell ref="B83:H83"/>
    <mergeCell ref="G69:H69"/>
    <mergeCell ref="G70:H70"/>
    <mergeCell ref="G71:H71"/>
    <mergeCell ref="G72:H72"/>
    <mergeCell ref="C66:E66"/>
    <mergeCell ref="C67:E67"/>
    <mergeCell ref="C68:E68"/>
    <mergeCell ref="C69:E69"/>
    <mergeCell ref="C70:E70"/>
    <mergeCell ref="C72:E72"/>
    <mergeCell ref="B82:K82"/>
    <mergeCell ref="I73:K73"/>
    <mergeCell ref="I74:K74"/>
    <mergeCell ref="I75:K75"/>
    <mergeCell ref="C73:E73"/>
    <mergeCell ref="C74:E74"/>
    <mergeCell ref="C71:E71"/>
    <mergeCell ref="G78:K80"/>
    <mergeCell ref="D79:E79"/>
    <mergeCell ref="G66:H66"/>
    <mergeCell ref="G77:K77"/>
    <mergeCell ref="I67:K67"/>
    <mergeCell ref="I68:K68"/>
  </mergeCells>
  <phoneticPr fontId="2" type="noConversion"/>
  <conditionalFormatting sqref="K59">
    <cfRule type="expression" dxfId="3" priority="2">
      <formula>M59&gt;0</formula>
    </cfRule>
  </conditionalFormatting>
  <dataValidations xWindow="466" yWindow="856" count="14">
    <dataValidation allowBlank="1" showInputMessage="1" showErrorMessage="1" promptTitle="Beglazingsmaterialen bestellen" prompt="Selecteer NEE indien u de beglazingsmaterialen niet wilt bestellen." sqref="F77 F46:F49 F79"/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G35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H35">
      <formula1>0</formula1>
      <formula2>2700</formula2>
    </dataValidation>
    <dataValidation type="list" showInputMessage="1" showErrorMessage="1" sqref="D49">
      <formula1>ja_nee_selectie</formula1>
    </dataValidation>
    <dataValidation type="list" allowBlank="1" showInputMessage="1" showErrorMessage="1" sqref="I71:J71 C71">
      <formula1>adres_land</formula1>
    </dataValidation>
    <dataValidation type="list" allowBlank="1" showInputMessage="1" showErrorMessage="1" sqref="C79">
      <formula1>afhalen_bezorgen</formula1>
    </dataValidation>
    <dataValidation type="list" allowBlank="1" showInputMessage="1" showErrorMessage="1" sqref="C77">
      <formula1>ja_nee_selectie</formula1>
    </dataValidation>
    <dataValidation type="list" allowBlank="1" showInputMessage="1" showErrorMessage="1" sqref="D79">
      <formula1>afhaallocatie</formula1>
    </dataValidation>
    <dataValidation type="list" showInputMessage="1" showErrorMessage="1" errorTitle="Foutieve invoer" error="Maak uw keuze uit de lijst." sqref="B16:B34">
      <formula1>enkelglas_artikel</formula1>
    </dataValidation>
    <dataValidation type="whole" allowBlank="1" showInputMessage="1" showErrorMessage="1" errorTitle="Foutieve afmeting" error="Breedte van de ruit is max. 5.000 mm._x000a_Is uw breedte &gt; 5.000 mm, neem contact op met Glasdiscount.nl." promptTitle="Breedte in mm" prompt="-Breedte &gt;0 en &lt; 5.000 mm._x000a_-Houd rekening met omtrekspeling." sqref="G16:G34">
      <formula1>0</formula1>
      <formula2>5000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_x000a_-Houd rekening met omtrekspeling._x000a_-Houd geen rekening met glasaftrek bij eventuele ventilatieroosters." sqref="H16:H32 H34">
      <formula1>0</formula1>
      <formula2>2700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._x000a_-Houd rekening met omtrekspeling._x000a_-Houd geen rekening met glasaftrek bij eventuele ventilatieroosters." sqref="H33">
      <formula1>0</formula1>
      <formula2>2700</formula2>
    </dataValidation>
    <dataValidation allowBlank="1" showErrorMessage="1" promptTitle="Aantal" prompt="Voer het aantal ruiten in" sqref="F16:F35"/>
    <dataValidation allowBlank="1" showErrorMessage="1" sqref="I67:K67"/>
  </dataValidations>
  <printOptions horizontalCentered="1"/>
  <pageMargins left="0.23622047244094491" right="0.23622047244094491" top="0.62992125984251968" bottom="0.62992125984251968" header="0.31496062992125984" footer="0.23622047244094491"/>
  <pageSetup paperSize="9" scale="75" fitToHeight="2" orientation="portrait" horizontalDpi="4294967294" verticalDpi="4294967294" r:id="rId1"/>
  <headerFooter>
    <oddHeader>&amp;L&amp;"Arial,Cursief"&amp;8&amp;K06506FVersie 24-06-2014</oddHeader>
    <oddFooter>&amp;R&amp;8&amp;K06506FPagina &amp;P van &amp;N</oddFooter>
  </headerFooter>
  <rowBreaks count="1" manualBreakCount="1">
    <brk id="51" min="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R70"/>
  <sheetViews>
    <sheetView zoomScaleNormal="100" workbookViewId="0">
      <selection activeCell="C5" sqref="C5:D5"/>
    </sheetView>
  </sheetViews>
  <sheetFormatPr defaultRowHeight="12.75" x14ac:dyDescent="0.2"/>
  <cols>
    <col min="1" max="1" width="1.42578125" style="3" customWidth="1"/>
    <col min="2" max="2" width="10.7109375" style="3" customWidth="1"/>
    <col min="3" max="3" width="19.28515625" style="3" customWidth="1"/>
    <col min="4" max="4" width="16.7109375" style="3" customWidth="1"/>
    <col min="5" max="6" width="10.7109375" style="3" customWidth="1"/>
    <col min="7" max="7" width="13.28515625" style="3" customWidth="1"/>
    <col min="8" max="8" width="19.42578125" style="3" customWidth="1"/>
    <col min="9" max="9" width="1.42578125" style="3" customWidth="1"/>
    <col min="10" max="16384" width="9.140625" style="3"/>
  </cols>
  <sheetData>
    <row r="1" spans="1:9" ht="7.5" customHeight="1" x14ac:dyDescent="0.2">
      <c r="A1" s="10"/>
      <c r="B1" s="10"/>
      <c r="C1" s="10"/>
      <c r="D1" s="10"/>
      <c r="E1" s="10"/>
      <c r="F1" s="10"/>
      <c r="G1" s="10"/>
      <c r="H1" s="10"/>
      <c r="I1" s="10"/>
    </row>
    <row r="2" spans="1:9" ht="60" customHeight="1" x14ac:dyDescent="0.2">
      <c r="A2" s="10"/>
      <c r="B2" s="422" t="s">
        <v>0</v>
      </c>
      <c r="C2" s="422"/>
      <c r="D2" s="422"/>
      <c r="E2" s="422"/>
      <c r="F2" s="422"/>
      <c r="G2" s="422"/>
      <c r="H2" s="422"/>
      <c r="I2" s="10"/>
    </row>
    <row r="3" spans="1:9" ht="6" customHeight="1" x14ac:dyDescent="0.2">
      <c r="A3" s="10"/>
      <c r="B3" s="20"/>
      <c r="C3" s="21"/>
      <c r="D3" s="21"/>
      <c r="E3" s="21"/>
      <c r="F3" s="21"/>
      <c r="G3" s="21"/>
      <c r="H3" s="21"/>
      <c r="I3" s="10"/>
    </row>
    <row r="4" spans="1:9" ht="12.75" customHeight="1" x14ac:dyDescent="0.2">
      <c r="A4" s="10"/>
      <c r="B4" s="191" t="s">
        <v>1</v>
      </c>
      <c r="C4" s="146">
        <f ca="1">TODAY()</f>
        <v>41814</v>
      </c>
      <c r="D4" s="146"/>
      <c r="E4" s="146"/>
      <c r="F4" s="440" t="s">
        <v>49</v>
      </c>
      <c r="G4" s="440"/>
      <c r="H4" s="440"/>
      <c r="I4" s="10"/>
    </row>
    <row r="5" spans="1:9" ht="12.75" customHeight="1" x14ac:dyDescent="0.2">
      <c r="A5" s="10"/>
      <c r="B5" s="191" t="s">
        <v>50</v>
      </c>
      <c r="C5" s="436"/>
      <c r="D5" s="436"/>
      <c r="E5" s="35"/>
      <c r="F5" s="440"/>
      <c r="G5" s="440"/>
      <c r="H5" s="440"/>
      <c r="I5" s="10"/>
    </row>
    <row r="6" spans="1:9" ht="6" customHeight="1" x14ac:dyDescent="0.2">
      <c r="A6" s="10"/>
      <c r="B6" s="22"/>
      <c r="C6" s="23"/>
      <c r="D6" s="23"/>
      <c r="E6" s="23"/>
      <c r="F6" s="24"/>
      <c r="G6" s="24"/>
      <c r="H6" s="24"/>
      <c r="I6" s="10"/>
    </row>
    <row r="7" spans="1:9" ht="6" customHeight="1" x14ac:dyDescent="0.2">
      <c r="A7" s="10"/>
      <c r="I7" s="10"/>
    </row>
    <row r="8" spans="1:9" ht="18" customHeight="1" x14ac:dyDescent="0.2">
      <c r="A8" s="10"/>
      <c r="B8" s="411" t="s">
        <v>34</v>
      </c>
      <c r="C8" s="412"/>
      <c r="D8" s="413"/>
      <c r="E8" s="411" t="str">
        <f>Offerteblad!G65</f>
        <v>Afleveradres</v>
      </c>
      <c r="F8" s="412"/>
      <c r="G8" s="412"/>
      <c r="H8" s="413"/>
      <c r="I8" s="10"/>
    </row>
    <row r="9" spans="1:9" ht="6" customHeight="1" x14ac:dyDescent="0.2">
      <c r="A9" s="10"/>
      <c r="B9" s="240"/>
      <c r="C9" s="241"/>
      <c r="D9" s="241"/>
      <c r="E9" s="241"/>
      <c r="F9" s="241"/>
      <c r="G9" s="241"/>
      <c r="H9" s="245"/>
      <c r="I9" s="10"/>
    </row>
    <row r="10" spans="1:9" x14ac:dyDescent="0.2">
      <c r="A10" s="10"/>
      <c r="B10" s="427" t="str">
        <f>IF(Offerteblad!C67="","",Offerteblad!C67)</f>
        <v/>
      </c>
      <c r="C10" s="416"/>
      <c r="D10" s="416"/>
      <c r="E10" s="414" t="str">
        <f>IF(Offerteblad!I67="","",Offerteblad!I67)</f>
        <v/>
      </c>
      <c r="F10" s="414"/>
      <c r="G10" s="414"/>
      <c r="H10" s="415"/>
      <c r="I10" s="10"/>
    </row>
    <row r="11" spans="1:9" x14ac:dyDescent="0.2">
      <c r="A11" s="10"/>
      <c r="B11" s="427" t="str">
        <f>IF(Offerteblad!C68="","",Offerteblad!C68)</f>
        <v/>
      </c>
      <c r="C11" s="416"/>
      <c r="D11" s="416"/>
      <c r="E11" s="414" t="str">
        <f>IF(Offerteblad!I68="","",Offerteblad!I68)</f>
        <v/>
      </c>
      <c r="F11" s="414"/>
      <c r="G11" s="414"/>
      <c r="H11" s="415"/>
      <c r="I11" s="10"/>
    </row>
    <row r="12" spans="1:9" x14ac:dyDescent="0.2">
      <c r="A12" s="10"/>
      <c r="B12" s="200" t="str">
        <f>IF(Offerteblad!C69="","",Offerteblad!C69)</f>
        <v/>
      </c>
      <c r="C12" s="186" t="str">
        <f>IF(Offerteblad!C70="","",Offerteblad!C70)</f>
        <v/>
      </c>
      <c r="D12" s="204"/>
      <c r="E12" s="193" t="str">
        <f>IF(Offerteblad!I69="","",Offerteblad!I69)</f>
        <v/>
      </c>
      <c r="F12" s="442" t="str">
        <f>IF(Offerteblad!I70="","",Offerteblad!I70)</f>
        <v/>
      </c>
      <c r="G12" s="442"/>
      <c r="H12" s="443"/>
      <c r="I12" s="10"/>
    </row>
    <row r="13" spans="1:9" x14ac:dyDescent="0.2">
      <c r="A13" s="10"/>
      <c r="B13" s="427" t="str">
        <f>IF(Offerteblad!C71="&lt;selecteer&gt;","",Offerteblad!C71)</f>
        <v/>
      </c>
      <c r="C13" s="416"/>
      <c r="D13" s="416"/>
      <c r="E13" s="416" t="str">
        <f>IF(Offerteblad!I71="&lt;selecteer&gt;","",Offerteblad!I71)</f>
        <v/>
      </c>
      <c r="F13" s="416"/>
      <c r="G13" s="416"/>
      <c r="H13" s="417"/>
      <c r="I13" s="10"/>
    </row>
    <row r="14" spans="1:9" x14ac:dyDescent="0.2">
      <c r="A14" s="10"/>
      <c r="B14" s="427" t="str">
        <f>IF(Offerteblad!C72="","",Offerteblad!C72)</f>
        <v/>
      </c>
      <c r="C14" s="416"/>
      <c r="D14" s="204" t="str">
        <f>IF(Offerteblad!C73="","",Offerteblad!C73)</f>
        <v/>
      </c>
      <c r="E14" s="416" t="str">
        <f>IF(Offerteblad!I72="","",Offerteblad!I72)</f>
        <v/>
      </c>
      <c r="F14" s="416"/>
      <c r="G14" s="416"/>
      <c r="H14" s="417"/>
      <c r="I14" s="10"/>
    </row>
    <row r="15" spans="1:9" x14ac:dyDescent="0.2">
      <c r="A15" s="10"/>
      <c r="B15" s="427" t="str">
        <f>IF(Offerteblad!C74="","",Offerteblad!C74)</f>
        <v/>
      </c>
      <c r="C15" s="416"/>
      <c r="D15" s="416"/>
      <c r="E15" s="416"/>
      <c r="F15" s="416"/>
      <c r="G15" s="416"/>
      <c r="H15" s="417"/>
      <c r="I15" s="10"/>
    </row>
    <row r="16" spans="1:9" ht="6" customHeight="1" x14ac:dyDescent="0.2">
      <c r="A16" s="10"/>
      <c r="B16" s="242"/>
      <c r="C16" s="243"/>
      <c r="D16" s="243"/>
      <c r="E16" s="243"/>
      <c r="F16" s="243"/>
      <c r="G16" s="243"/>
      <c r="H16" s="246"/>
      <c r="I16" s="10"/>
    </row>
    <row r="17" spans="1:9" ht="6" customHeight="1" x14ac:dyDescent="0.2">
      <c r="A17" s="10"/>
      <c r="I17" s="10"/>
    </row>
    <row r="18" spans="1:9" ht="18" customHeight="1" x14ac:dyDescent="0.2">
      <c r="A18" s="10"/>
      <c r="B18" s="411" t="s">
        <v>140</v>
      </c>
      <c r="C18" s="412"/>
      <c r="D18" s="413"/>
      <c r="E18" s="411" t="s">
        <v>141</v>
      </c>
      <c r="F18" s="412"/>
      <c r="G18" s="412"/>
      <c r="H18" s="413"/>
      <c r="I18" s="10"/>
    </row>
    <row r="19" spans="1:9" ht="7.5" customHeight="1" x14ac:dyDescent="0.2">
      <c r="A19" s="10"/>
      <c r="B19" s="240"/>
      <c r="C19" s="241"/>
      <c r="D19" s="241"/>
      <c r="E19" s="241"/>
      <c r="F19" s="241"/>
      <c r="G19" s="241"/>
      <c r="H19" s="245"/>
      <c r="I19" s="10"/>
    </row>
    <row r="20" spans="1:9" x14ac:dyDescent="0.2">
      <c r="A20" s="10"/>
      <c r="B20" s="428"/>
      <c r="C20" s="429"/>
      <c r="D20" s="429"/>
      <c r="E20" s="34" t="str">
        <f>IF(Offerteblad!C79="&lt;selecteer&gt;","",Offerteblad!C79)</f>
        <v>Bezorgen</v>
      </c>
      <c r="F20" s="441" t="str">
        <f>IF(Offerteblad!D79="&lt;kies locatie&gt;","",Offerteblad!D79)</f>
        <v/>
      </c>
      <c r="G20" s="441"/>
      <c r="H20" s="38"/>
      <c r="I20" s="10"/>
    </row>
    <row r="21" spans="1:9" ht="7.5" customHeight="1" x14ac:dyDescent="0.2">
      <c r="A21" s="10"/>
      <c r="B21" s="242"/>
      <c r="C21" s="243"/>
      <c r="D21" s="243"/>
      <c r="E21" s="243"/>
      <c r="F21" s="243"/>
      <c r="G21" s="243"/>
      <c r="H21" s="246"/>
      <c r="I21" s="10"/>
    </row>
    <row r="22" spans="1:9" ht="12" customHeight="1" x14ac:dyDescent="0.2">
      <c r="A22" s="10"/>
      <c r="I22" s="10"/>
    </row>
    <row r="23" spans="1:9" x14ac:dyDescent="0.2">
      <c r="A23" s="10"/>
      <c r="B23" s="423" t="s">
        <v>7</v>
      </c>
      <c r="C23" s="430" t="s">
        <v>158</v>
      </c>
      <c r="D23" s="431"/>
      <c r="E23" s="25" t="s">
        <v>8</v>
      </c>
      <c r="F23" s="25" t="s">
        <v>9</v>
      </c>
      <c r="G23" s="25" t="s">
        <v>159</v>
      </c>
      <c r="H23" s="27" t="s">
        <v>51</v>
      </c>
      <c r="I23" s="10"/>
    </row>
    <row r="24" spans="1:9" x14ac:dyDescent="0.2">
      <c r="A24" s="10"/>
      <c r="B24" s="424"/>
      <c r="C24" s="432"/>
      <c r="D24" s="433"/>
      <c r="E24" s="26" t="s">
        <v>13</v>
      </c>
      <c r="F24" s="26" t="s">
        <v>13</v>
      </c>
      <c r="G24" s="26" t="s">
        <v>145</v>
      </c>
      <c r="H24" s="28" t="s">
        <v>14</v>
      </c>
      <c r="I24" s="10"/>
    </row>
    <row r="25" spans="1:9" ht="6" customHeight="1" x14ac:dyDescent="0.2">
      <c r="A25" s="10"/>
      <c r="B25" s="12"/>
      <c r="C25" s="434"/>
      <c r="D25" s="435"/>
      <c r="E25" s="13"/>
      <c r="F25" s="13"/>
      <c r="G25" s="13"/>
      <c r="H25" s="14"/>
      <c r="I25" s="10"/>
    </row>
    <row r="26" spans="1:9" x14ac:dyDescent="0.2">
      <c r="A26" s="10"/>
      <c r="B26" s="247" t="str">
        <f>IF(Offerteblad!F16=0,"",Offerteblad!F16)</f>
        <v/>
      </c>
      <c r="C26" s="418" t="str">
        <f>IF(Offerteblad!B16="  &lt;selecteer&gt;","",Offerteblad!B16)</f>
        <v/>
      </c>
      <c r="D26" s="419"/>
      <c r="E26" s="249" t="str">
        <f>IF(Offerteblad!G16= 0, "",Offerteblad!G16)</f>
        <v/>
      </c>
      <c r="F26" s="249" t="str">
        <f>IF(Offerteblad!H16= 0, "",Offerteblad!H16)</f>
        <v/>
      </c>
      <c r="G26" s="248" t="str">
        <f>IF(Offerteblad!I16=0,"",(Offerteblad!F16*Offerteblad!I16))</f>
        <v/>
      </c>
      <c r="H26" s="253" t="str">
        <f>IF(Offerteblad!K16= 0, "",Offerteblad!K16)</f>
        <v/>
      </c>
      <c r="I26" s="10"/>
    </row>
    <row r="27" spans="1:9" x14ac:dyDescent="0.2">
      <c r="A27" s="10"/>
      <c r="B27" s="247" t="str">
        <f>IF(Offerteblad!F17=0,"",Offerteblad!F17)</f>
        <v/>
      </c>
      <c r="C27" s="418" t="str">
        <f>IF(Offerteblad!B17="  &lt;selecteer&gt;","",Offerteblad!B17)</f>
        <v/>
      </c>
      <c r="D27" s="419"/>
      <c r="E27" s="249" t="str">
        <f>IF(Offerteblad!G17= 0, "",Offerteblad!G17)</f>
        <v/>
      </c>
      <c r="F27" s="249" t="str">
        <f>IF(Offerteblad!H17= 0, "",Offerteblad!H17)</f>
        <v/>
      </c>
      <c r="G27" s="248" t="str">
        <f>IF(Offerteblad!I17=0,"",(Offerteblad!F17*Offerteblad!I17))</f>
        <v/>
      </c>
      <c r="H27" s="253" t="str">
        <f>IF(Offerteblad!K17= 0, "",Offerteblad!K17)</f>
        <v/>
      </c>
      <c r="I27" s="10"/>
    </row>
    <row r="28" spans="1:9" x14ac:dyDescent="0.2">
      <c r="A28" s="10"/>
      <c r="B28" s="247" t="str">
        <f>IF(Offerteblad!F18=0,"",Offerteblad!F18)</f>
        <v/>
      </c>
      <c r="C28" s="418" t="str">
        <f>IF(Offerteblad!B18="  &lt;selecteer&gt;","",Offerteblad!B18)</f>
        <v/>
      </c>
      <c r="D28" s="419"/>
      <c r="E28" s="249" t="str">
        <f>IF(Offerteblad!G18= 0, "",Offerteblad!G18)</f>
        <v/>
      </c>
      <c r="F28" s="249" t="str">
        <f>IF(Offerteblad!H18= 0, "",Offerteblad!H18)</f>
        <v/>
      </c>
      <c r="G28" s="248" t="str">
        <f>IF(Offerteblad!I18=0,"",(Offerteblad!F18*Offerteblad!I18))</f>
        <v/>
      </c>
      <c r="H28" s="253" t="str">
        <f>IF(Offerteblad!K18= 0, "",Offerteblad!K18)</f>
        <v/>
      </c>
      <c r="I28" s="10"/>
    </row>
    <row r="29" spans="1:9" x14ac:dyDescent="0.2">
      <c r="A29" s="10"/>
      <c r="B29" s="247" t="str">
        <f>IF(Offerteblad!F19=0,"",Offerteblad!F19)</f>
        <v/>
      </c>
      <c r="C29" s="418" t="str">
        <f>IF(Offerteblad!B19="  &lt;selecteer&gt;","",Offerteblad!B19)</f>
        <v/>
      </c>
      <c r="D29" s="419"/>
      <c r="E29" s="249" t="str">
        <f>IF(Offerteblad!G19= 0, "",Offerteblad!G19)</f>
        <v/>
      </c>
      <c r="F29" s="249" t="str">
        <f>IF(Offerteblad!H19= 0, "",Offerteblad!H19)</f>
        <v/>
      </c>
      <c r="G29" s="248" t="str">
        <f>IF(Offerteblad!I19=0,"",(Offerteblad!F19*Offerteblad!I19))</f>
        <v/>
      </c>
      <c r="H29" s="253" t="str">
        <f>IF(Offerteblad!K19= 0, "",Offerteblad!K19)</f>
        <v/>
      </c>
      <c r="I29" s="10"/>
    </row>
    <row r="30" spans="1:9" x14ac:dyDescent="0.2">
      <c r="A30" s="10"/>
      <c r="B30" s="247" t="str">
        <f>IF(Offerteblad!F20=0,"",Offerteblad!F20)</f>
        <v/>
      </c>
      <c r="C30" s="418" t="str">
        <f>IF(Offerteblad!B20="  &lt;selecteer&gt;","",Offerteblad!B20)</f>
        <v/>
      </c>
      <c r="D30" s="419"/>
      <c r="E30" s="249" t="str">
        <f>IF(Offerteblad!G20= 0, "",Offerteblad!G20)</f>
        <v/>
      </c>
      <c r="F30" s="249" t="str">
        <f>IF(Offerteblad!H20= 0, "",Offerteblad!H20)</f>
        <v/>
      </c>
      <c r="G30" s="248" t="str">
        <f>IF(Offerteblad!I20=0,"",(Offerteblad!F20*Offerteblad!I20))</f>
        <v/>
      </c>
      <c r="H30" s="253" t="str">
        <f>IF(Offerteblad!K20= 0, "",Offerteblad!K20)</f>
        <v/>
      </c>
      <c r="I30" s="10"/>
    </row>
    <row r="31" spans="1:9" x14ac:dyDescent="0.2">
      <c r="A31" s="10"/>
      <c r="B31" s="247" t="str">
        <f>IF(Offerteblad!F21=0,"",Offerteblad!F21)</f>
        <v/>
      </c>
      <c r="C31" s="418" t="str">
        <f>IF(Offerteblad!B21="  &lt;selecteer&gt;","",Offerteblad!B21)</f>
        <v/>
      </c>
      <c r="D31" s="419"/>
      <c r="E31" s="249" t="str">
        <f>IF(Offerteblad!G21= 0, "",Offerteblad!G21)</f>
        <v/>
      </c>
      <c r="F31" s="249" t="str">
        <f>IF(Offerteblad!H21= 0, "",Offerteblad!H21)</f>
        <v/>
      </c>
      <c r="G31" s="248" t="str">
        <f>IF(Offerteblad!I21=0,"",(Offerteblad!F21*Offerteblad!I21))</f>
        <v/>
      </c>
      <c r="H31" s="253" t="str">
        <f>IF(Offerteblad!K21= 0, "",Offerteblad!K21)</f>
        <v/>
      </c>
      <c r="I31" s="10"/>
    </row>
    <row r="32" spans="1:9" x14ac:dyDescent="0.2">
      <c r="A32" s="10"/>
      <c r="B32" s="247" t="str">
        <f>IF(Offerteblad!F22=0,"",Offerteblad!F22)</f>
        <v/>
      </c>
      <c r="C32" s="418" t="str">
        <f>IF(Offerteblad!B22="  &lt;selecteer&gt;","",Offerteblad!B22)</f>
        <v/>
      </c>
      <c r="D32" s="419"/>
      <c r="E32" s="249" t="str">
        <f>IF(Offerteblad!G22= 0, "",Offerteblad!G22)</f>
        <v/>
      </c>
      <c r="F32" s="249" t="str">
        <f>IF(Offerteblad!H22= 0, "",Offerteblad!H22)</f>
        <v/>
      </c>
      <c r="G32" s="248" t="str">
        <f>IF(Offerteblad!I22=0,"",(Offerteblad!F22*Offerteblad!I22))</f>
        <v/>
      </c>
      <c r="H32" s="253" t="str">
        <f>IF(Offerteblad!K22= 0, "",Offerteblad!K22)</f>
        <v/>
      </c>
      <c r="I32" s="10"/>
    </row>
    <row r="33" spans="1:9" x14ac:dyDescent="0.2">
      <c r="A33" s="10"/>
      <c r="B33" s="247" t="str">
        <f>IF(Offerteblad!F23=0,"",Offerteblad!F23)</f>
        <v/>
      </c>
      <c r="C33" s="418" t="str">
        <f>IF(Offerteblad!B23="  &lt;selecteer&gt;","",Offerteblad!B23)</f>
        <v/>
      </c>
      <c r="D33" s="419"/>
      <c r="E33" s="249" t="str">
        <f>IF(Offerteblad!G23= 0, "",Offerteblad!G23)</f>
        <v/>
      </c>
      <c r="F33" s="249" t="str">
        <f>IF(Offerteblad!H23= 0, "",Offerteblad!H23)</f>
        <v/>
      </c>
      <c r="G33" s="248" t="str">
        <f>IF(Offerteblad!I23=0,"",(Offerteblad!F23*Offerteblad!I23))</f>
        <v/>
      </c>
      <c r="H33" s="253" t="str">
        <f>IF(Offerteblad!K23= 0, "",Offerteblad!K23)</f>
        <v/>
      </c>
      <c r="I33" s="10"/>
    </row>
    <row r="34" spans="1:9" x14ac:dyDescent="0.2">
      <c r="A34" s="10"/>
      <c r="B34" s="247" t="str">
        <f>IF(Offerteblad!F24=0,"",Offerteblad!F24)</f>
        <v/>
      </c>
      <c r="C34" s="418" t="str">
        <f>IF(Offerteblad!B24="  &lt;selecteer&gt;","",Offerteblad!B24)</f>
        <v/>
      </c>
      <c r="D34" s="419"/>
      <c r="E34" s="249" t="str">
        <f>IF(Offerteblad!G24= 0, "",Offerteblad!G24)</f>
        <v/>
      </c>
      <c r="F34" s="249" t="str">
        <f>IF(Offerteblad!H24= 0, "",Offerteblad!H24)</f>
        <v/>
      </c>
      <c r="G34" s="248" t="str">
        <f>IF(Offerteblad!I24=0,"",(Offerteblad!F24*Offerteblad!I24))</f>
        <v/>
      </c>
      <c r="H34" s="253" t="str">
        <f>IF(Offerteblad!K24= 0, "",Offerteblad!K24)</f>
        <v/>
      </c>
      <c r="I34" s="10"/>
    </row>
    <row r="35" spans="1:9" x14ac:dyDescent="0.2">
      <c r="A35" s="10"/>
      <c r="B35" s="247" t="str">
        <f>IF(Offerteblad!F25=0,"",Offerteblad!F25)</f>
        <v/>
      </c>
      <c r="C35" s="418" t="str">
        <f>IF(Offerteblad!B25="  &lt;selecteer&gt;","",Offerteblad!B25)</f>
        <v/>
      </c>
      <c r="D35" s="419"/>
      <c r="E35" s="249" t="str">
        <f>IF(Offerteblad!G25= 0, "",Offerteblad!G25)</f>
        <v/>
      </c>
      <c r="F35" s="249" t="str">
        <f>IF(Offerteblad!H25= 0, "",Offerteblad!H25)</f>
        <v/>
      </c>
      <c r="G35" s="248" t="str">
        <f>IF(Offerteblad!I25=0,"",(Offerteblad!F25*Offerteblad!I25))</f>
        <v/>
      </c>
      <c r="H35" s="253" t="str">
        <f>IF(Offerteblad!K25= 0, "",Offerteblad!K25)</f>
        <v/>
      </c>
      <c r="I35" s="10"/>
    </row>
    <row r="36" spans="1:9" x14ac:dyDescent="0.2">
      <c r="A36" s="10"/>
      <c r="B36" s="247" t="str">
        <f>IF(Offerteblad!F26=0,"",Offerteblad!F26)</f>
        <v/>
      </c>
      <c r="C36" s="418" t="str">
        <f>IF(Offerteblad!B26="  &lt;selecteer&gt;","",Offerteblad!B26)</f>
        <v/>
      </c>
      <c r="D36" s="419"/>
      <c r="E36" s="249" t="str">
        <f>IF(Offerteblad!G26= 0, "",Offerteblad!G26)</f>
        <v/>
      </c>
      <c r="F36" s="249" t="str">
        <f>IF(Offerteblad!H26= 0, "",Offerteblad!H26)</f>
        <v/>
      </c>
      <c r="G36" s="248" t="str">
        <f>IF(Offerteblad!I26=0,"",(Offerteblad!F26*Offerteblad!I26))</f>
        <v/>
      </c>
      <c r="H36" s="253" t="str">
        <f>IF(Offerteblad!K26= 0, "",Offerteblad!K26)</f>
        <v/>
      </c>
      <c r="I36" s="10"/>
    </row>
    <row r="37" spans="1:9" x14ac:dyDescent="0.2">
      <c r="A37" s="10"/>
      <c r="B37" s="247" t="str">
        <f>IF(Offerteblad!F27=0,"",Offerteblad!F27)</f>
        <v/>
      </c>
      <c r="C37" s="418" t="str">
        <f>IF(Offerteblad!B27="  &lt;selecteer&gt;","",Offerteblad!B27)</f>
        <v/>
      </c>
      <c r="D37" s="419"/>
      <c r="E37" s="249" t="str">
        <f>IF(Offerteblad!G27= 0, "",Offerteblad!G27)</f>
        <v/>
      </c>
      <c r="F37" s="249" t="str">
        <f>IF(Offerteblad!H27= 0, "",Offerteblad!H27)</f>
        <v/>
      </c>
      <c r="G37" s="248" t="str">
        <f>IF(Offerteblad!I27=0,"",(Offerteblad!F27*Offerteblad!I27))</f>
        <v/>
      </c>
      <c r="H37" s="253" t="str">
        <f>IF(Offerteblad!K27= 0, "",Offerteblad!K27)</f>
        <v/>
      </c>
      <c r="I37" s="10"/>
    </row>
    <row r="38" spans="1:9" x14ac:dyDescent="0.2">
      <c r="A38" s="10"/>
      <c r="B38" s="247" t="str">
        <f>IF(Offerteblad!F28=0,"",Offerteblad!F28)</f>
        <v/>
      </c>
      <c r="C38" s="418" t="str">
        <f>IF(Offerteblad!B28="  &lt;selecteer&gt;","",Offerteblad!B28)</f>
        <v/>
      </c>
      <c r="D38" s="419"/>
      <c r="E38" s="249" t="str">
        <f>IF(Offerteblad!G28= 0, "",Offerteblad!G28)</f>
        <v/>
      </c>
      <c r="F38" s="249" t="str">
        <f>IF(Offerteblad!H28= 0, "",Offerteblad!H28)</f>
        <v/>
      </c>
      <c r="G38" s="248" t="str">
        <f>IF(Offerteblad!I28=0,"",(Offerteblad!F28*Offerteblad!I28))</f>
        <v/>
      </c>
      <c r="H38" s="253" t="str">
        <f>IF(Offerteblad!K28= 0, "",Offerteblad!K28)</f>
        <v/>
      </c>
      <c r="I38" s="10"/>
    </row>
    <row r="39" spans="1:9" x14ac:dyDescent="0.2">
      <c r="A39" s="10"/>
      <c r="B39" s="247" t="str">
        <f>IF(Offerteblad!F29=0,"",Offerteblad!F29)</f>
        <v/>
      </c>
      <c r="C39" s="418" t="str">
        <f>IF(Offerteblad!B29="  &lt;selecteer&gt;","",Offerteblad!B29)</f>
        <v/>
      </c>
      <c r="D39" s="419"/>
      <c r="E39" s="249" t="str">
        <f>IF(Offerteblad!G29= 0, "",Offerteblad!G29)</f>
        <v/>
      </c>
      <c r="F39" s="249" t="str">
        <f>IF(Offerteblad!H29= 0, "",Offerteblad!H29)</f>
        <v/>
      </c>
      <c r="G39" s="248" t="str">
        <f>IF(Offerteblad!I29=0,"",(Offerteblad!F29*Offerteblad!I29))</f>
        <v/>
      </c>
      <c r="H39" s="253" t="str">
        <f>IF(Offerteblad!K29= 0, "",Offerteblad!K29)</f>
        <v/>
      </c>
      <c r="I39" s="10"/>
    </row>
    <row r="40" spans="1:9" x14ac:dyDescent="0.2">
      <c r="A40" s="10"/>
      <c r="B40" s="247" t="str">
        <f>IF(Offerteblad!F30=0,"",Offerteblad!F30)</f>
        <v/>
      </c>
      <c r="C40" s="418" t="str">
        <f>IF(Offerteblad!B30="  &lt;selecteer&gt;","",Offerteblad!B30)</f>
        <v/>
      </c>
      <c r="D40" s="419"/>
      <c r="E40" s="249" t="str">
        <f>IF(Offerteblad!G30= 0, "",Offerteblad!G30)</f>
        <v/>
      </c>
      <c r="F40" s="249" t="str">
        <f>IF(Offerteblad!H30= 0, "",Offerteblad!H30)</f>
        <v/>
      </c>
      <c r="G40" s="248" t="str">
        <f>IF(Offerteblad!I30=0,"",(Offerteblad!F30*Offerteblad!I30))</f>
        <v/>
      </c>
      <c r="H40" s="253" t="str">
        <f>IF(Offerteblad!K30= 0, "",Offerteblad!K30)</f>
        <v/>
      </c>
      <c r="I40" s="10"/>
    </row>
    <row r="41" spans="1:9" x14ac:dyDescent="0.2">
      <c r="A41" s="10"/>
      <c r="B41" s="247" t="str">
        <f>IF(Offerteblad!F31=0,"",Offerteblad!F31)</f>
        <v/>
      </c>
      <c r="C41" s="418" t="str">
        <f>IF(Offerteblad!B31="  &lt;selecteer&gt;","",Offerteblad!B31)</f>
        <v/>
      </c>
      <c r="D41" s="419"/>
      <c r="E41" s="249" t="str">
        <f>IF(Offerteblad!G31= 0, "",Offerteblad!G31)</f>
        <v/>
      </c>
      <c r="F41" s="249" t="str">
        <f>IF(Offerteblad!H31= 0, "",Offerteblad!H31)</f>
        <v/>
      </c>
      <c r="G41" s="248" t="str">
        <f>IF(Offerteblad!I31=0,"",(Offerteblad!F31*Offerteblad!I31))</f>
        <v/>
      </c>
      <c r="H41" s="253" t="str">
        <f>IF(Offerteblad!K31= 0, "",Offerteblad!K31)</f>
        <v/>
      </c>
      <c r="I41" s="10"/>
    </row>
    <row r="42" spans="1:9" x14ac:dyDescent="0.2">
      <c r="A42" s="10"/>
      <c r="B42" s="247" t="str">
        <f>IF(Offerteblad!F32=0,"",Offerteblad!F32)</f>
        <v/>
      </c>
      <c r="C42" s="418" t="str">
        <f>IF(Offerteblad!B32="  &lt;selecteer&gt;","",Offerteblad!B32)</f>
        <v/>
      </c>
      <c r="D42" s="419"/>
      <c r="E42" s="249" t="str">
        <f>IF(Offerteblad!G32= 0, "",Offerteblad!G32)</f>
        <v/>
      </c>
      <c r="F42" s="249" t="str">
        <f>IF(Offerteblad!H32= 0, "",Offerteblad!H32)</f>
        <v/>
      </c>
      <c r="G42" s="248" t="str">
        <f>IF(Offerteblad!I32=0,"",(Offerteblad!F32*Offerteblad!I32))</f>
        <v/>
      </c>
      <c r="H42" s="253" t="str">
        <f>IF(Offerteblad!K32= 0, "",Offerteblad!K32)</f>
        <v/>
      </c>
      <c r="I42" s="10"/>
    </row>
    <row r="43" spans="1:9" x14ac:dyDescent="0.2">
      <c r="A43" s="10"/>
      <c r="B43" s="247" t="str">
        <f>IF(Offerteblad!F33=0,"",Offerteblad!F33)</f>
        <v/>
      </c>
      <c r="C43" s="418" t="str">
        <f>IF(Offerteblad!B33="  &lt;selecteer&gt;","",Offerteblad!B33)</f>
        <v/>
      </c>
      <c r="D43" s="419"/>
      <c r="E43" s="249" t="str">
        <f>IF(Offerteblad!G33= 0, "",Offerteblad!G33)</f>
        <v/>
      </c>
      <c r="F43" s="249" t="str">
        <f>IF(Offerteblad!H33= 0, "",Offerteblad!H33)</f>
        <v/>
      </c>
      <c r="G43" s="248" t="str">
        <f>IF(Offerteblad!I33=0,"",(Offerteblad!F33*Offerteblad!I33))</f>
        <v/>
      </c>
      <c r="H43" s="253" t="str">
        <f>IF(Offerteblad!K33= 0, "",Offerteblad!K33)</f>
        <v/>
      </c>
      <c r="I43" s="10"/>
    </row>
    <row r="44" spans="1:9" x14ac:dyDescent="0.2">
      <c r="A44" s="10"/>
      <c r="B44" s="247" t="str">
        <f>IF(Offerteblad!F34=0,"",Offerteblad!F34)</f>
        <v/>
      </c>
      <c r="C44" s="418" t="str">
        <f>IF(Offerteblad!B34="  &lt;selecteer&gt;","",Offerteblad!B34)</f>
        <v/>
      </c>
      <c r="D44" s="419"/>
      <c r="E44" s="249" t="str">
        <f>IF(Offerteblad!G34= 0, "",Offerteblad!G34)</f>
        <v/>
      </c>
      <c r="F44" s="249" t="str">
        <f>IF(Offerteblad!H34= 0, "",Offerteblad!H34)</f>
        <v/>
      </c>
      <c r="G44" s="248" t="str">
        <f>IF(Offerteblad!I34=0,"",(Offerteblad!F34*Offerteblad!I34))</f>
        <v/>
      </c>
      <c r="H44" s="253" t="str">
        <f>IF(Offerteblad!K34= 0, "",Offerteblad!K34)</f>
        <v/>
      </c>
      <c r="I44" s="10"/>
    </row>
    <row r="45" spans="1:9" ht="6" customHeight="1" x14ac:dyDescent="0.2">
      <c r="A45" s="10"/>
      <c r="B45" s="15"/>
      <c r="C45" s="437"/>
      <c r="D45" s="438"/>
      <c r="E45" s="187"/>
      <c r="F45" s="16"/>
      <c r="G45" s="16"/>
      <c r="H45" s="244"/>
      <c r="I45" s="10"/>
    </row>
    <row r="46" spans="1:9" ht="18.75" customHeight="1" x14ac:dyDescent="0.2">
      <c r="A46" s="10"/>
      <c r="H46" s="254">
        <f>SUM(H26:H44)</f>
        <v>0</v>
      </c>
      <c r="I46" s="10"/>
    </row>
    <row r="47" spans="1:9" ht="6" customHeight="1" x14ac:dyDescent="0.2">
      <c r="A47" s="10"/>
      <c r="I47" s="10"/>
    </row>
    <row r="48" spans="1:9" x14ac:dyDescent="0.2">
      <c r="A48" s="10"/>
      <c r="B48" s="17" t="s">
        <v>52</v>
      </c>
      <c r="C48" s="18"/>
      <c r="D48" s="18"/>
      <c r="E48" s="18"/>
      <c r="F48" s="18"/>
      <c r="G48" s="18"/>
      <c r="H48" s="19"/>
      <c r="I48" s="10"/>
    </row>
    <row r="49" spans="1:18" ht="6" customHeight="1" x14ac:dyDescent="0.2">
      <c r="A49" s="10"/>
      <c r="B49" s="12"/>
      <c r="C49" s="426"/>
      <c r="D49" s="426"/>
      <c r="E49" s="426"/>
      <c r="F49" s="426"/>
      <c r="G49" s="426"/>
      <c r="H49" s="190"/>
      <c r="I49" s="10"/>
    </row>
    <row r="50" spans="1:18" x14ac:dyDescent="0.2">
      <c r="A50" s="10"/>
      <c r="B50" s="252" t="str">
        <f>IF(H50="","",IF(H50&gt;0,Offerteblad!E46))</f>
        <v/>
      </c>
      <c r="C50" s="418" t="str">
        <f>Offerteblad!G46</f>
        <v xml:space="preserve"> </v>
      </c>
      <c r="D50" s="421"/>
      <c r="E50" s="421"/>
      <c r="F50" s="421"/>
      <c r="G50" s="419"/>
      <c r="H50" s="253" t="str">
        <f>Offerteblad!K46</f>
        <v/>
      </c>
      <c r="I50" s="10"/>
    </row>
    <row r="51" spans="1:18" x14ac:dyDescent="0.2">
      <c r="A51" s="10"/>
      <c r="B51" s="252" t="str">
        <f>IF(H51="","",IF(H51&gt;0,Offerteblad!E47))</f>
        <v/>
      </c>
      <c r="C51" s="418" t="str">
        <f>Offerteblad!G47</f>
        <v xml:space="preserve"> </v>
      </c>
      <c r="D51" s="421"/>
      <c r="E51" s="421"/>
      <c r="F51" s="421"/>
      <c r="G51" s="419"/>
      <c r="H51" s="253" t="str">
        <f>Offerteblad!K47</f>
        <v/>
      </c>
      <c r="I51" s="10"/>
    </row>
    <row r="52" spans="1:18" x14ac:dyDescent="0.2">
      <c r="A52" s="10"/>
      <c r="B52" s="252" t="str">
        <f>IF(H52="","",IF(H52&gt;0,Offerteblad!E48))</f>
        <v/>
      </c>
      <c r="C52" s="418" t="str">
        <f>Offerteblad!G48</f>
        <v xml:space="preserve"> </v>
      </c>
      <c r="D52" s="421"/>
      <c r="E52" s="421"/>
      <c r="F52" s="421"/>
      <c r="G52" s="419"/>
      <c r="H52" s="253" t="str">
        <f>Offerteblad!K48</f>
        <v/>
      </c>
      <c r="I52" s="10"/>
    </row>
    <row r="53" spans="1:18" x14ac:dyDescent="0.2">
      <c r="A53" s="10"/>
      <c r="B53" s="252" t="str">
        <f>IF(H53="","",IF(H53&gt;0,1,""))</f>
        <v/>
      </c>
      <c r="C53" s="418" t="str">
        <f>Offerteblad!G49</f>
        <v>Bezorgkosten beglazingsmateriaal</v>
      </c>
      <c r="D53" s="421"/>
      <c r="E53" s="421"/>
      <c r="F53" s="421"/>
      <c r="G53" s="419"/>
      <c r="H53" s="253" t="str">
        <f>Offerteblad!K49</f>
        <v/>
      </c>
      <c r="I53" s="10"/>
    </row>
    <row r="54" spans="1:18" ht="6" customHeight="1" x14ac:dyDescent="0.2">
      <c r="A54" s="10"/>
      <c r="B54" s="15"/>
      <c r="C54" s="425"/>
      <c r="D54" s="425"/>
      <c r="E54" s="425"/>
      <c r="F54" s="425"/>
      <c r="G54" s="425"/>
      <c r="H54" s="189"/>
      <c r="I54" s="10"/>
    </row>
    <row r="55" spans="1:18" ht="18.75" customHeight="1" x14ac:dyDescent="0.2">
      <c r="A55" s="10"/>
      <c r="B55" s="410" t="s">
        <v>53</v>
      </c>
      <c r="C55" s="410"/>
      <c r="D55" s="205"/>
      <c r="E55" s="251"/>
      <c r="F55" s="251"/>
      <c r="G55" s="32" t="s">
        <v>21</v>
      </c>
      <c r="H55" s="254">
        <f>SUM(H50:H53)</f>
        <v>0</v>
      </c>
      <c r="I55" s="10"/>
      <c r="J55" s="130" t="str">
        <f>IF(Offerteblad!$B$85="","","Zie offerteblad voor opmerkingen klant")</f>
        <v/>
      </c>
    </row>
    <row r="56" spans="1:18" ht="6" customHeight="1" x14ac:dyDescent="0.2">
      <c r="A56" s="10"/>
      <c r="B56" s="439" t="s">
        <v>4</v>
      </c>
      <c r="C56" s="439"/>
      <c r="D56" s="439"/>
      <c r="E56" s="250"/>
      <c r="F56" s="250"/>
      <c r="G56" s="192"/>
      <c r="H56" s="7"/>
      <c r="I56" s="10"/>
    </row>
    <row r="57" spans="1:18" x14ac:dyDescent="0.2">
      <c r="A57" s="10"/>
      <c r="B57" s="439"/>
      <c r="C57" s="439"/>
      <c r="D57" s="439"/>
      <c r="E57" s="250"/>
      <c r="F57" s="250"/>
      <c r="G57" s="29" t="s">
        <v>54</v>
      </c>
      <c r="H57" s="255">
        <f>Offerteblad!K53</f>
        <v>0</v>
      </c>
      <c r="I57" s="10"/>
    </row>
    <row r="58" spans="1:18" x14ac:dyDescent="0.2">
      <c r="A58" s="10"/>
      <c r="B58" s="439"/>
      <c r="C58" s="439"/>
      <c r="D58" s="439"/>
      <c r="E58" s="250"/>
      <c r="F58" s="250"/>
      <c r="G58" s="29" t="str">
        <f>Offerteblad!J54</f>
        <v>0% korting</v>
      </c>
      <c r="H58" s="256">
        <f>Offerteblad!K54</f>
        <v>0</v>
      </c>
      <c r="I58" s="10"/>
    </row>
    <row r="59" spans="1:18" ht="6" customHeight="1" x14ac:dyDescent="0.2">
      <c r="A59" s="10"/>
      <c r="B59" s="439"/>
      <c r="C59" s="439"/>
      <c r="D59" s="439"/>
      <c r="E59" s="250"/>
      <c r="F59" s="250"/>
      <c r="G59" s="6"/>
      <c r="H59" s="9"/>
      <c r="I59" s="10"/>
    </row>
    <row r="60" spans="1:18" ht="18.75" customHeight="1" x14ac:dyDescent="0.25">
      <c r="A60" s="10"/>
      <c r="B60" s="31"/>
      <c r="C60" s="31"/>
      <c r="D60" s="31"/>
      <c r="E60" s="31"/>
      <c r="F60" s="31"/>
      <c r="G60" s="33" t="s">
        <v>29</v>
      </c>
      <c r="H60" s="257">
        <f>Offerteblad!K56</f>
        <v>0</v>
      </c>
      <c r="I60" s="10"/>
    </row>
    <row r="61" spans="1:18" ht="6" customHeight="1" x14ac:dyDescent="0.2">
      <c r="A61" s="10"/>
      <c r="B61" s="409" t="s">
        <v>55</v>
      </c>
      <c r="C61" s="409"/>
      <c r="D61" s="409"/>
      <c r="E61" s="409"/>
      <c r="F61" s="31"/>
      <c r="G61" s="29"/>
      <c r="H61" s="30"/>
      <c r="I61" s="10"/>
    </row>
    <row r="62" spans="1:18" ht="12.75" customHeight="1" x14ac:dyDescent="0.2">
      <c r="A62" s="10"/>
      <c r="B62" s="409"/>
      <c r="C62" s="409"/>
      <c r="D62" s="409"/>
      <c r="E62" s="409"/>
      <c r="F62" s="31"/>
      <c r="G62" s="29" t="str">
        <f>Offerteblad!J58</f>
        <v>Btw bedrag 21%</v>
      </c>
      <c r="H62" s="258">
        <f>Offerteblad!K58</f>
        <v>0</v>
      </c>
      <c r="I62" s="10"/>
    </row>
    <row r="63" spans="1:18" ht="12.75" customHeight="1" x14ac:dyDescent="0.2">
      <c r="A63" s="10"/>
      <c r="B63" s="409"/>
      <c r="C63" s="409"/>
      <c r="D63" s="409"/>
      <c r="E63" s="409"/>
      <c r="F63" s="31"/>
      <c r="G63" s="29" t="str">
        <f>Offerteblad!J59</f>
        <v/>
      </c>
      <c r="H63" s="259" t="str">
        <f>Offerteblad!K59</f>
        <v/>
      </c>
      <c r="I63" s="10"/>
      <c r="J63" s="144" t="str">
        <f>IF(H63="","",("Btw regeling bouw"))</f>
        <v/>
      </c>
    </row>
    <row r="64" spans="1:18" s="5" customFormat="1" ht="6" customHeight="1" x14ac:dyDescent="0.2">
      <c r="A64" s="11"/>
      <c r="B64" s="409"/>
      <c r="C64" s="409"/>
      <c r="D64" s="409"/>
      <c r="E64" s="409"/>
      <c r="F64" s="31"/>
      <c r="G64" s="8"/>
      <c r="H64" s="9"/>
      <c r="I64" s="11"/>
      <c r="M64" s="3"/>
      <c r="N64" s="3"/>
      <c r="O64" s="3"/>
      <c r="P64" s="3"/>
      <c r="Q64" s="3"/>
      <c r="R64" s="3"/>
    </row>
    <row r="65" spans="1:9" ht="18.75" customHeight="1" x14ac:dyDescent="0.25">
      <c r="A65" s="10"/>
      <c r="B65" s="409"/>
      <c r="C65" s="409"/>
      <c r="D65" s="409"/>
      <c r="E65" s="409"/>
      <c r="F65" s="31"/>
      <c r="G65" s="33" t="s">
        <v>32</v>
      </c>
      <c r="H65" s="257">
        <f>Offerteblad!K61</f>
        <v>0</v>
      </c>
      <c r="I65" s="10"/>
    </row>
    <row r="66" spans="1:9" ht="7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</row>
    <row r="68" spans="1:9" x14ac:dyDescent="0.2">
      <c r="B68" s="420" t="str">
        <f>'© Copyright'!A1</f>
        <v>© 2004 - 2019 Glasdiscount.nl</v>
      </c>
      <c r="C68" s="420"/>
      <c r="D68" s="420"/>
      <c r="E68" s="420"/>
      <c r="F68" s="420"/>
      <c r="G68" s="420"/>
      <c r="H68" s="420"/>
    </row>
    <row r="69" spans="1:9" x14ac:dyDescent="0.2">
      <c r="B69" s="420" t="str">
        <f>'© Copyright'!A3</f>
        <v>Deze spreadsheet is eigendom van Glasdiscount.nl en mag uitsluitend gebruikt worden door (potentiële) relaties en klanten van Glasdiscount.nl</v>
      </c>
      <c r="C69" s="420"/>
      <c r="D69" s="420"/>
      <c r="E69" s="420"/>
      <c r="F69" s="420"/>
      <c r="G69" s="420"/>
      <c r="H69" s="420"/>
    </row>
    <row r="70" spans="1:9" x14ac:dyDescent="0.2">
      <c r="B70" s="420" t="str">
        <f>'© Copyright'!A4</f>
        <v>Op geen enkele wijze mag dit programma gekopieerd of hergebruikt worden tenzij schriftelijke toestemming is verleend door Glasdiscount.nl</v>
      </c>
      <c r="C70" s="420"/>
      <c r="D70" s="420"/>
      <c r="E70" s="420"/>
      <c r="F70" s="420"/>
      <c r="G70" s="420"/>
      <c r="H70" s="420"/>
    </row>
  </sheetData>
  <sheetProtection algorithmName="SHA-512" hashValue="AMn8+dcCUDPlLFustUMQmAkaVEn3d3qshduvz8n6FKMUt4lUKPLdO0ajOpKoK90vKGUV950Vjfz1k6SmAeK+1w==" saltValue="z4Pm3rSXz0mCaTJG5DW1Wg==" spinCount="100000" sheet="1" objects="1" scenarios="1" selectLockedCells="1"/>
  <mergeCells count="55">
    <mergeCell ref="C5:D5"/>
    <mergeCell ref="C43:D43"/>
    <mergeCell ref="C44:D44"/>
    <mergeCell ref="C45:D45"/>
    <mergeCell ref="B56:D59"/>
    <mergeCell ref="C52:G52"/>
    <mergeCell ref="C53:G53"/>
    <mergeCell ref="F4:H5"/>
    <mergeCell ref="F20:G20"/>
    <mergeCell ref="F12:H12"/>
    <mergeCell ref="B70:H70"/>
    <mergeCell ref="B2:H2"/>
    <mergeCell ref="B23:B24"/>
    <mergeCell ref="C54:G54"/>
    <mergeCell ref="C49:G49"/>
    <mergeCell ref="B8:D8"/>
    <mergeCell ref="B18:D18"/>
    <mergeCell ref="B10:D10"/>
    <mergeCell ref="B11:D11"/>
    <mergeCell ref="B13:D13"/>
    <mergeCell ref="B15:D15"/>
    <mergeCell ref="B14:C14"/>
    <mergeCell ref="B20:D20"/>
    <mergeCell ref="C23:D24"/>
    <mergeCell ref="C25:D25"/>
    <mergeCell ref="C51:G51"/>
    <mergeCell ref="B68:H68"/>
    <mergeCell ref="B69:H69"/>
    <mergeCell ref="C50:G50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B61:E65"/>
    <mergeCell ref="B55:C55"/>
    <mergeCell ref="E8:H8"/>
    <mergeCell ref="E10:H10"/>
    <mergeCell ref="E11:H11"/>
    <mergeCell ref="E18:H18"/>
    <mergeCell ref="E13:H13"/>
    <mergeCell ref="E14:H14"/>
    <mergeCell ref="E15:H15"/>
    <mergeCell ref="C39:D39"/>
    <mergeCell ref="C40:D40"/>
    <mergeCell ref="C41:D41"/>
    <mergeCell ref="C42:D42"/>
  </mergeCells>
  <conditionalFormatting sqref="H63">
    <cfRule type="expression" dxfId="2" priority="1">
      <formula>$H$63*1&gt;0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zoomScaleNormal="100" workbookViewId="0">
      <selection activeCell="B20" sqref="B20:D20"/>
    </sheetView>
  </sheetViews>
  <sheetFormatPr defaultRowHeight="12.75" x14ac:dyDescent="0.2"/>
  <cols>
    <col min="1" max="1" width="1.42578125" style="60" customWidth="1"/>
    <col min="2" max="2" width="10.7109375" style="60" customWidth="1"/>
    <col min="3" max="3" width="19.28515625" style="60" customWidth="1"/>
    <col min="4" max="4" width="16.7109375" style="60" customWidth="1"/>
    <col min="5" max="6" width="10.7109375" style="60" customWidth="1"/>
    <col min="7" max="7" width="13.28515625" style="60" customWidth="1"/>
    <col min="8" max="8" width="19.42578125" style="60" customWidth="1"/>
    <col min="9" max="9" width="1.42578125" style="60" customWidth="1"/>
    <col min="10" max="16384" width="9.140625" style="60"/>
  </cols>
  <sheetData>
    <row r="1" spans="1:9" ht="7.5" customHeight="1" x14ac:dyDescent="0.2">
      <c r="A1" s="59"/>
      <c r="B1" s="59"/>
      <c r="C1" s="59"/>
      <c r="D1" s="59"/>
      <c r="E1" s="59"/>
      <c r="F1" s="59"/>
      <c r="G1" s="59"/>
      <c r="H1" s="59"/>
      <c r="I1" s="59"/>
    </row>
    <row r="2" spans="1:9" ht="60" customHeight="1" x14ac:dyDescent="0.2">
      <c r="A2" s="59"/>
      <c r="B2" s="347" t="s">
        <v>0</v>
      </c>
      <c r="C2" s="347"/>
      <c r="D2" s="347"/>
      <c r="E2" s="347"/>
      <c r="F2" s="347"/>
      <c r="G2" s="347"/>
      <c r="H2" s="347"/>
      <c r="I2" s="59"/>
    </row>
    <row r="3" spans="1:9" ht="6" customHeight="1" x14ac:dyDescent="0.2">
      <c r="A3" s="59"/>
      <c r="B3" s="61"/>
      <c r="C3" s="63"/>
      <c r="D3" s="63"/>
      <c r="E3" s="63"/>
      <c r="F3" s="63"/>
      <c r="G3" s="63"/>
      <c r="H3" s="63"/>
      <c r="I3" s="59"/>
    </row>
    <row r="4" spans="1:9" ht="12.75" customHeight="1" x14ac:dyDescent="0.2">
      <c r="A4" s="59"/>
      <c r="B4" s="261" t="s">
        <v>1</v>
      </c>
      <c r="C4" s="146">
        <f ca="1">TODAY()</f>
        <v>41814</v>
      </c>
      <c r="D4" s="146"/>
      <c r="E4" s="188"/>
      <c r="F4" s="466" t="s">
        <v>56</v>
      </c>
      <c r="G4" s="466"/>
      <c r="H4" s="466"/>
      <c r="I4" s="59"/>
    </row>
    <row r="5" spans="1:9" ht="12.75" customHeight="1" x14ac:dyDescent="0.2">
      <c r="A5" s="59"/>
      <c r="B5" s="261" t="s">
        <v>3</v>
      </c>
      <c r="C5" s="471" t="str">
        <f>Offerteblad!C5</f>
        <v>……</v>
      </c>
      <c r="D5" s="471"/>
      <c r="E5" s="37"/>
      <c r="F5" s="466"/>
      <c r="G5" s="466"/>
      <c r="H5" s="466"/>
      <c r="I5" s="59"/>
    </row>
    <row r="6" spans="1:9" ht="6" customHeight="1" x14ac:dyDescent="0.2">
      <c r="A6" s="59"/>
      <c r="B6" s="67"/>
      <c r="C6" s="69"/>
      <c r="D6" s="69"/>
      <c r="E6" s="69"/>
      <c r="F6" s="70"/>
      <c r="G6" s="70"/>
      <c r="H6" s="70"/>
      <c r="I6" s="59"/>
    </row>
    <row r="7" spans="1:9" ht="6" customHeight="1" x14ac:dyDescent="0.2">
      <c r="A7" s="59"/>
      <c r="I7" s="59"/>
    </row>
    <row r="8" spans="1:9" ht="18" customHeight="1" x14ac:dyDescent="0.2">
      <c r="A8" s="59"/>
      <c r="B8" s="452" t="s">
        <v>34</v>
      </c>
      <c r="C8" s="453"/>
      <c r="D8" s="454"/>
      <c r="E8" s="452" t="str">
        <f>Offerteblad!G65</f>
        <v>Afleveradres</v>
      </c>
      <c r="F8" s="453"/>
      <c r="G8" s="453"/>
      <c r="H8" s="454"/>
      <c r="I8" s="59"/>
    </row>
    <row r="9" spans="1:9" ht="6" customHeight="1" x14ac:dyDescent="0.2">
      <c r="A9" s="59"/>
      <c r="B9" s="262"/>
      <c r="C9" s="263"/>
      <c r="D9" s="263"/>
      <c r="E9" s="263"/>
      <c r="F9" s="263"/>
      <c r="G9" s="263"/>
      <c r="H9" s="264"/>
      <c r="I9" s="59"/>
    </row>
    <row r="10" spans="1:9" x14ac:dyDescent="0.2">
      <c r="A10" s="59"/>
      <c r="B10" s="456" t="str">
        <f>IF(Offerteblad!C67="","",Offerteblad!C67)</f>
        <v/>
      </c>
      <c r="C10" s="450"/>
      <c r="D10" s="450"/>
      <c r="E10" s="467" t="str">
        <f>IF(Offerteblad!I67="","",Offerteblad!I67)</f>
        <v/>
      </c>
      <c r="F10" s="467"/>
      <c r="G10" s="467"/>
      <c r="H10" s="468"/>
      <c r="I10" s="59"/>
    </row>
    <row r="11" spans="1:9" x14ac:dyDescent="0.2">
      <c r="A11" s="59"/>
      <c r="B11" s="456" t="str">
        <f>IF(Offerteblad!C68="","",Offerteblad!C68)</f>
        <v/>
      </c>
      <c r="C11" s="450"/>
      <c r="D11" s="450"/>
      <c r="E11" s="467" t="str">
        <f>IF(Offerteblad!I68="","",Offerteblad!I68)</f>
        <v/>
      </c>
      <c r="F11" s="467"/>
      <c r="G11" s="467"/>
      <c r="H11" s="468"/>
      <c r="I11" s="59"/>
    </row>
    <row r="12" spans="1:9" x14ac:dyDescent="0.2">
      <c r="A12" s="59"/>
      <c r="B12" s="265" t="str">
        <f>IF(Offerteblad!C69="","",Offerteblad!C69)</f>
        <v/>
      </c>
      <c r="C12" s="185" t="str">
        <f>IF(Offerteblad!C70="","",Offerteblad!C70)</f>
        <v/>
      </c>
      <c r="D12" s="198"/>
      <c r="E12" s="266" t="str">
        <f>IF(Offerteblad!I69="","",Offerteblad!I69)</f>
        <v/>
      </c>
      <c r="F12" s="469" t="str">
        <f>IF(Offerteblad!I70="","",Offerteblad!I70)</f>
        <v/>
      </c>
      <c r="G12" s="469"/>
      <c r="H12" s="470"/>
      <c r="I12" s="59"/>
    </row>
    <row r="13" spans="1:9" x14ac:dyDescent="0.2">
      <c r="A13" s="59"/>
      <c r="B13" s="456" t="str">
        <f>IF(Offerteblad!C71="&lt;selecteer&gt;","",Offerteblad!C71)</f>
        <v/>
      </c>
      <c r="C13" s="450"/>
      <c r="D13" s="450"/>
      <c r="E13" s="450" t="str">
        <f>IF(Offerteblad!I71="&lt;selecteer&gt;","",Offerteblad!I71)</f>
        <v/>
      </c>
      <c r="F13" s="450"/>
      <c r="G13" s="450"/>
      <c r="H13" s="451"/>
      <c r="I13" s="59"/>
    </row>
    <row r="14" spans="1:9" x14ac:dyDescent="0.2">
      <c r="A14" s="59"/>
      <c r="B14" s="456" t="str">
        <f>IF(Offerteblad!C72="","",Offerteblad!C72)</f>
        <v/>
      </c>
      <c r="C14" s="450"/>
      <c r="D14" s="198" t="str">
        <f>IF(Offerteblad!C73="","",Offerteblad!C73)</f>
        <v/>
      </c>
      <c r="E14" s="450" t="str">
        <f>IF(Offerteblad!I72="","",Offerteblad!I72)</f>
        <v/>
      </c>
      <c r="F14" s="450"/>
      <c r="G14" s="450"/>
      <c r="H14" s="451"/>
      <c r="I14" s="59"/>
    </row>
    <row r="15" spans="1:9" x14ac:dyDescent="0.2">
      <c r="A15" s="59"/>
      <c r="B15" s="456" t="str">
        <f>IF(Offerteblad!C74="","",Offerteblad!C74)</f>
        <v/>
      </c>
      <c r="C15" s="450"/>
      <c r="D15" s="450"/>
      <c r="E15" s="450"/>
      <c r="F15" s="450"/>
      <c r="G15" s="450"/>
      <c r="H15" s="451"/>
      <c r="I15" s="59"/>
    </row>
    <row r="16" spans="1:9" ht="6" customHeight="1" x14ac:dyDescent="0.2">
      <c r="A16" s="59"/>
      <c r="B16" s="267"/>
      <c r="C16" s="268"/>
      <c r="D16" s="268"/>
      <c r="E16" s="268"/>
      <c r="F16" s="268"/>
      <c r="G16" s="268"/>
      <c r="H16" s="269"/>
      <c r="I16" s="59"/>
    </row>
    <row r="17" spans="1:9" ht="6" customHeight="1" x14ac:dyDescent="0.2">
      <c r="A17" s="59"/>
      <c r="I17" s="59"/>
    </row>
    <row r="18" spans="1:9" ht="18" customHeight="1" x14ac:dyDescent="0.2">
      <c r="A18" s="59"/>
      <c r="B18" s="452" t="s">
        <v>140</v>
      </c>
      <c r="C18" s="453"/>
      <c r="D18" s="454"/>
      <c r="E18" s="452" t="s">
        <v>141</v>
      </c>
      <c r="F18" s="453"/>
      <c r="G18" s="453"/>
      <c r="H18" s="454"/>
      <c r="I18" s="59"/>
    </row>
    <row r="19" spans="1:9" ht="7.5" customHeight="1" x14ac:dyDescent="0.2">
      <c r="A19" s="59"/>
      <c r="B19" s="262"/>
      <c r="C19" s="263"/>
      <c r="D19" s="263"/>
      <c r="E19" s="263"/>
      <c r="F19" s="263"/>
      <c r="G19" s="263"/>
      <c r="H19" s="264"/>
      <c r="I19" s="59"/>
    </row>
    <row r="20" spans="1:9" x14ac:dyDescent="0.2">
      <c r="A20" s="59"/>
      <c r="B20" s="428"/>
      <c r="C20" s="429"/>
      <c r="D20" s="429"/>
      <c r="E20" s="270" t="str">
        <f>IF(Offerteblad!C79="&lt;selecteer&gt;","",Offerteblad!C79)</f>
        <v>Bezorgen</v>
      </c>
      <c r="F20" s="455" t="str">
        <f>IF(Offerteblad!D79="&lt;kies locatie&gt;","",Offerteblad!D79)</f>
        <v/>
      </c>
      <c r="G20" s="455"/>
      <c r="H20" s="271"/>
      <c r="I20" s="59"/>
    </row>
    <row r="21" spans="1:9" ht="7.5" customHeight="1" x14ac:dyDescent="0.2">
      <c r="A21" s="59"/>
      <c r="B21" s="267"/>
      <c r="C21" s="268"/>
      <c r="D21" s="268"/>
      <c r="E21" s="268"/>
      <c r="F21" s="268"/>
      <c r="G21" s="268"/>
      <c r="H21" s="269"/>
      <c r="I21" s="59"/>
    </row>
    <row r="22" spans="1:9" ht="12" customHeight="1" x14ac:dyDescent="0.2">
      <c r="A22" s="59"/>
      <c r="I22" s="59"/>
    </row>
    <row r="23" spans="1:9" x14ac:dyDescent="0.2">
      <c r="A23" s="59"/>
      <c r="B23" s="461" t="s">
        <v>7</v>
      </c>
      <c r="C23" s="457" t="s">
        <v>158</v>
      </c>
      <c r="D23" s="364"/>
      <c r="E23" s="75" t="s">
        <v>8</v>
      </c>
      <c r="F23" s="75" t="s">
        <v>9</v>
      </c>
      <c r="G23" s="75" t="s">
        <v>159</v>
      </c>
      <c r="H23" s="76" t="s">
        <v>51</v>
      </c>
      <c r="I23" s="59"/>
    </row>
    <row r="24" spans="1:9" x14ac:dyDescent="0.2">
      <c r="A24" s="59"/>
      <c r="B24" s="462"/>
      <c r="C24" s="458"/>
      <c r="D24" s="366"/>
      <c r="E24" s="78" t="s">
        <v>13</v>
      </c>
      <c r="F24" s="78" t="s">
        <v>13</v>
      </c>
      <c r="G24" s="78" t="s">
        <v>145</v>
      </c>
      <c r="H24" s="79" t="s">
        <v>14</v>
      </c>
      <c r="I24" s="59"/>
    </row>
    <row r="25" spans="1:9" ht="6" customHeight="1" x14ac:dyDescent="0.2">
      <c r="A25" s="59"/>
      <c r="B25" s="272"/>
      <c r="C25" s="459"/>
      <c r="D25" s="460"/>
      <c r="E25" s="273"/>
      <c r="F25" s="273"/>
      <c r="G25" s="273"/>
      <c r="H25" s="274"/>
      <c r="I25" s="59"/>
    </row>
    <row r="26" spans="1:9" x14ac:dyDescent="0.2">
      <c r="A26" s="59"/>
      <c r="B26" s="275" t="str">
        <f>IF(Offerteblad!F16=0,"",Offerteblad!F16)</f>
        <v/>
      </c>
      <c r="C26" s="444" t="str">
        <f>IF(Offerteblad!B16="  &lt;selecteer&gt;","",Offerteblad!B16)</f>
        <v/>
      </c>
      <c r="D26" s="446"/>
      <c r="E26" s="276" t="str">
        <f>IF(Offerteblad!G16= 0, "",Offerteblad!G16)</f>
        <v/>
      </c>
      <c r="F26" s="276" t="str">
        <f>IF(Offerteblad!H16= 0, "",Offerteblad!H16)</f>
        <v/>
      </c>
      <c r="G26" s="277" t="str">
        <f>IF(Offerteblad!I16=0,"",(Offerteblad!F16*Offerteblad!I16))</f>
        <v/>
      </c>
      <c r="H26" s="278" t="str">
        <f>IF(Offerteblad!K16= 0, "",Offerteblad!K16)</f>
        <v/>
      </c>
      <c r="I26" s="59"/>
    </row>
    <row r="27" spans="1:9" x14ac:dyDescent="0.2">
      <c r="A27" s="59"/>
      <c r="B27" s="275" t="str">
        <f>IF(Offerteblad!F17=0,"",Offerteblad!F17)</f>
        <v/>
      </c>
      <c r="C27" s="444" t="str">
        <f>IF(Offerteblad!B17="  &lt;selecteer&gt;","",Offerteblad!B17)</f>
        <v/>
      </c>
      <c r="D27" s="446"/>
      <c r="E27" s="276" t="str">
        <f>IF(Offerteblad!G17= 0, "",Offerteblad!G17)</f>
        <v/>
      </c>
      <c r="F27" s="276" t="str">
        <f>IF(Offerteblad!H17= 0, "",Offerteblad!H17)</f>
        <v/>
      </c>
      <c r="G27" s="277" t="str">
        <f>IF(Offerteblad!I17=0,"",(Offerteblad!F17*Offerteblad!I17))</f>
        <v/>
      </c>
      <c r="H27" s="278" t="str">
        <f>IF(Offerteblad!K17= 0, "",Offerteblad!K17)</f>
        <v/>
      </c>
      <c r="I27" s="59"/>
    </row>
    <row r="28" spans="1:9" x14ac:dyDescent="0.2">
      <c r="A28" s="59"/>
      <c r="B28" s="275" t="str">
        <f>IF(Offerteblad!F18=0,"",Offerteblad!F18)</f>
        <v/>
      </c>
      <c r="C28" s="444" t="str">
        <f>IF(Offerteblad!B18="  &lt;selecteer&gt;","",Offerteblad!B18)</f>
        <v/>
      </c>
      <c r="D28" s="446"/>
      <c r="E28" s="276" t="str">
        <f>IF(Offerteblad!G18= 0, "",Offerteblad!G18)</f>
        <v/>
      </c>
      <c r="F28" s="276" t="str">
        <f>IF(Offerteblad!H18= 0, "",Offerteblad!H18)</f>
        <v/>
      </c>
      <c r="G28" s="277" t="str">
        <f>IF(Offerteblad!I18=0,"",(Offerteblad!F18*Offerteblad!I18))</f>
        <v/>
      </c>
      <c r="H28" s="278" t="str">
        <f>IF(Offerteblad!K18= 0, "",Offerteblad!K18)</f>
        <v/>
      </c>
      <c r="I28" s="59"/>
    </row>
    <row r="29" spans="1:9" x14ac:dyDescent="0.2">
      <c r="A29" s="59"/>
      <c r="B29" s="275" t="str">
        <f>IF(Offerteblad!F19=0,"",Offerteblad!F19)</f>
        <v/>
      </c>
      <c r="C29" s="444" t="str">
        <f>IF(Offerteblad!B19="  &lt;selecteer&gt;","",Offerteblad!B19)</f>
        <v/>
      </c>
      <c r="D29" s="446"/>
      <c r="E29" s="276" t="str">
        <f>IF(Offerteblad!G19= 0, "",Offerteblad!G19)</f>
        <v/>
      </c>
      <c r="F29" s="276" t="str">
        <f>IF(Offerteblad!H19= 0, "",Offerteblad!H19)</f>
        <v/>
      </c>
      <c r="G29" s="277" t="str">
        <f>IF(Offerteblad!I19=0,"",(Offerteblad!F19*Offerteblad!I19))</f>
        <v/>
      </c>
      <c r="H29" s="278" t="str">
        <f>IF(Offerteblad!K19= 0, "",Offerteblad!K19)</f>
        <v/>
      </c>
      <c r="I29" s="59"/>
    </row>
    <row r="30" spans="1:9" x14ac:dyDescent="0.2">
      <c r="A30" s="59"/>
      <c r="B30" s="275" t="str">
        <f>IF(Offerteblad!F20=0,"",Offerteblad!F20)</f>
        <v/>
      </c>
      <c r="C30" s="444" t="str">
        <f>IF(Offerteblad!B20="  &lt;selecteer&gt;","",Offerteblad!B20)</f>
        <v/>
      </c>
      <c r="D30" s="446"/>
      <c r="E30" s="276" t="str">
        <f>IF(Offerteblad!G20= 0, "",Offerteblad!G20)</f>
        <v/>
      </c>
      <c r="F30" s="276" t="str">
        <f>IF(Offerteblad!H20= 0, "",Offerteblad!H20)</f>
        <v/>
      </c>
      <c r="G30" s="277" t="str">
        <f>IF(Offerteblad!I20=0,"",(Offerteblad!F20*Offerteblad!I20))</f>
        <v/>
      </c>
      <c r="H30" s="278" t="str">
        <f>IF(Offerteblad!K20= 0, "",Offerteblad!K20)</f>
        <v/>
      </c>
      <c r="I30" s="59"/>
    </row>
    <row r="31" spans="1:9" x14ac:dyDescent="0.2">
      <c r="A31" s="59"/>
      <c r="B31" s="275" t="str">
        <f>IF(Offerteblad!F21=0,"",Offerteblad!F21)</f>
        <v/>
      </c>
      <c r="C31" s="444" t="str">
        <f>IF(Offerteblad!B21="  &lt;selecteer&gt;","",Offerteblad!B21)</f>
        <v/>
      </c>
      <c r="D31" s="446"/>
      <c r="E31" s="276" t="str">
        <f>IF(Offerteblad!G21= 0, "",Offerteblad!G21)</f>
        <v/>
      </c>
      <c r="F31" s="276" t="str">
        <f>IF(Offerteblad!H21= 0, "",Offerteblad!H21)</f>
        <v/>
      </c>
      <c r="G31" s="277" t="str">
        <f>IF(Offerteblad!I21=0,"",(Offerteblad!F21*Offerteblad!I21))</f>
        <v/>
      </c>
      <c r="H31" s="278" t="str">
        <f>IF(Offerteblad!K21= 0, "",Offerteblad!K21)</f>
        <v/>
      </c>
      <c r="I31" s="59"/>
    </row>
    <row r="32" spans="1:9" x14ac:dyDescent="0.2">
      <c r="A32" s="59"/>
      <c r="B32" s="275" t="str">
        <f>IF(Offerteblad!F22=0,"",Offerteblad!F22)</f>
        <v/>
      </c>
      <c r="C32" s="444" t="str">
        <f>IF(Offerteblad!B22="  &lt;selecteer&gt;","",Offerteblad!B22)</f>
        <v/>
      </c>
      <c r="D32" s="446"/>
      <c r="E32" s="276" t="str">
        <f>IF(Offerteblad!G22= 0, "",Offerteblad!G22)</f>
        <v/>
      </c>
      <c r="F32" s="276" t="str">
        <f>IF(Offerteblad!H22= 0, "",Offerteblad!H22)</f>
        <v/>
      </c>
      <c r="G32" s="277" t="str">
        <f>IF(Offerteblad!I22=0,"",(Offerteblad!F22*Offerteblad!I22))</f>
        <v/>
      </c>
      <c r="H32" s="278" t="str">
        <f>IF(Offerteblad!K22= 0, "",Offerteblad!K22)</f>
        <v/>
      </c>
      <c r="I32" s="59"/>
    </row>
    <row r="33" spans="1:9" x14ac:dyDescent="0.2">
      <c r="A33" s="59"/>
      <c r="B33" s="275" t="str">
        <f>IF(Offerteblad!F23=0,"",Offerteblad!F23)</f>
        <v/>
      </c>
      <c r="C33" s="444" t="str">
        <f>IF(Offerteblad!B23="  &lt;selecteer&gt;","",Offerteblad!B23)</f>
        <v/>
      </c>
      <c r="D33" s="446"/>
      <c r="E33" s="276" t="str">
        <f>IF(Offerteblad!G23= 0, "",Offerteblad!G23)</f>
        <v/>
      </c>
      <c r="F33" s="276" t="str">
        <f>IF(Offerteblad!H23= 0, "",Offerteblad!H23)</f>
        <v/>
      </c>
      <c r="G33" s="277" t="str">
        <f>IF(Offerteblad!I23=0,"",(Offerteblad!F23*Offerteblad!I23))</f>
        <v/>
      </c>
      <c r="H33" s="278" t="str">
        <f>IF(Offerteblad!K23= 0, "",Offerteblad!K23)</f>
        <v/>
      </c>
      <c r="I33" s="59"/>
    </row>
    <row r="34" spans="1:9" x14ac:dyDescent="0.2">
      <c r="A34" s="59"/>
      <c r="B34" s="275" t="str">
        <f>IF(Offerteblad!F24=0,"",Offerteblad!F24)</f>
        <v/>
      </c>
      <c r="C34" s="444" t="str">
        <f>IF(Offerteblad!B24="  &lt;selecteer&gt;","",Offerteblad!B24)</f>
        <v/>
      </c>
      <c r="D34" s="446"/>
      <c r="E34" s="276" t="str">
        <f>IF(Offerteblad!G24= 0, "",Offerteblad!G24)</f>
        <v/>
      </c>
      <c r="F34" s="276" t="str">
        <f>IF(Offerteblad!H24= 0, "",Offerteblad!H24)</f>
        <v/>
      </c>
      <c r="G34" s="277" t="str">
        <f>IF(Offerteblad!I24=0,"",(Offerteblad!F24*Offerteblad!I24))</f>
        <v/>
      </c>
      <c r="H34" s="278" t="str">
        <f>IF(Offerteblad!K24= 0, "",Offerteblad!K24)</f>
        <v/>
      </c>
      <c r="I34" s="59"/>
    </row>
    <row r="35" spans="1:9" x14ac:dyDescent="0.2">
      <c r="A35" s="59"/>
      <c r="B35" s="275" t="str">
        <f>IF(Offerteblad!F25=0,"",Offerteblad!F25)</f>
        <v/>
      </c>
      <c r="C35" s="444" t="str">
        <f>IF(Offerteblad!B25="  &lt;selecteer&gt;","",Offerteblad!B25)</f>
        <v/>
      </c>
      <c r="D35" s="446"/>
      <c r="E35" s="276" t="str">
        <f>IF(Offerteblad!G25= 0, "",Offerteblad!G25)</f>
        <v/>
      </c>
      <c r="F35" s="276" t="str">
        <f>IF(Offerteblad!H25= 0, "",Offerteblad!H25)</f>
        <v/>
      </c>
      <c r="G35" s="277" t="str">
        <f>IF(Offerteblad!I25=0,"",(Offerteblad!F25*Offerteblad!I25))</f>
        <v/>
      </c>
      <c r="H35" s="278" t="str">
        <f>IF(Offerteblad!K25= 0, "",Offerteblad!K25)</f>
        <v/>
      </c>
      <c r="I35" s="59"/>
    </row>
    <row r="36" spans="1:9" x14ac:dyDescent="0.2">
      <c r="A36" s="59"/>
      <c r="B36" s="275" t="str">
        <f>IF(Offerteblad!F26=0,"",Offerteblad!F26)</f>
        <v/>
      </c>
      <c r="C36" s="444" t="str">
        <f>IF(Offerteblad!B26="  &lt;selecteer&gt;","",Offerteblad!B26)</f>
        <v/>
      </c>
      <c r="D36" s="446"/>
      <c r="E36" s="276" t="str">
        <f>IF(Offerteblad!G26= 0, "",Offerteblad!G26)</f>
        <v/>
      </c>
      <c r="F36" s="276" t="str">
        <f>IF(Offerteblad!H26= 0, "",Offerteblad!H26)</f>
        <v/>
      </c>
      <c r="G36" s="277" t="str">
        <f>IF(Offerteblad!I26=0,"",(Offerteblad!F26*Offerteblad!I26))</f>
        <v/>
      </c>
      <c r="H36" s="278" t="str">
        <f>IF(Offerteblad!K26= 0, "",Offerteblad!K26)</f>
        <v/>
      </c>
      <c r="I36" s="59"/>
    </row>
    <row r="37" spans="1:9" x14ac:dyDescent="0.2">
      <c r="A37" s="59"/>
      <c r="B37" s="275" t="str">
        <f>IF(Offerteblad!F27=0,"",Offerteblad!F27)</f>
        <v/>
      </c>
      <c r="C37" s="444" t="str">
        <f>IF(Offerteblad!B27="  &lt;selecteer&gt;","",Offerteblad!B27)</f>
        <v/>
      </c>
      <c r="D37" s="446"/>
      <c r="E37" s="276" t="str">
        <f>IF(Offerteblad!G27= 0, "",Offerteblad!G27)</f>
        <v/>
      </c>
      <c r="F37" s="276" t="str">
        <f>IF(Offerteblad!H27= 0, "",Offerteblad!H27)</f>
        <v/>
      </c>
      <c r="G37" s="277" t="str">
        <f>IF(Offerteblad!I27=0,"",(Offerteblad!F27*Offerteblad!I27))</f>
        <v/>
      </c>
      <c r="H37" s="278" t="str">
        <f>IF(Offerteblad!K27= 0, "",Offerteblad!K27)</f>
        <v/>
      </c>
      <c r="I37" s="59"/>
    </row>
    <row r="38" spans="1:9" x14ac:dyDescent="0.2">
      <c r="A38" s="59"/>
      <c r="B38" s="275" t="str">
        <f>IF(Offerteblad!F28=0,"",Offerteblad!F28)</f>
        <v/>
      </c>
      <c r="C38" s="444" t="str">
        <f>IF(Offerteblad!B28="  &lt;selecteer&gt;","",Offerteblad!B28)</f>
        <v/>
      </c>
      <c r="D38" s="446"/>
      <c r="E38" s="276" t="str">
        <f>IF(Offerteblad!G28= 0, "",Offerteblad!G28)</f>
        <v/>
      </c>
      <c r="F38" s="276" t="str">
        <f>IF(Offerteblad!H28= 0, "",Offerteblad!H28)</f>
        <v/>
      </c>
      <c r="G38" s="277" t="str">
        <f>IF(Offerteblad!I28=0,"",(Offerteblad!F28*Offerteblad!I28))</f>
        <v/>
      </c>
      <c r="H38" s="278" t="str">
        <f>IF(Offerteblad!K28= 0, "",Offerteblad!K28)</f>
        <v/>
      </c>
      <c r="I38" s="59"/>
    </row>
    <row r="39" spans="1:9" x14ac:dyDescent="0.2">
      <c r="A39" s="59"/>
      <c r="B39" s="275" t="str">
        <f>IF(Offerteblad!F29=0,"",Offerteblad!F29)</f>
        <v/>
      </c>
      <c r="C39" s="444" t="str">
        <f>IF(Offerteblad!B29="  &lt;selecteer&gt;","",Offerteblad!B29)</f>
        <v/>
      </c>
      <c r="D39" s="446"/>
      <c r="E39" s="276" t="str">
        <f>IF(Offerteblad!G29= 0, "",Offerteblad!G29)</f>
        <v/>
      </c>
      <c r="F39" s="276" t="str">
        <f>IF(Offerteblad!H29= 0, "",Offerteblad!H29)</f>
        <v/>
      </c>
      <c r="G39" s="277" t="str">
        <f>IF(Offerteblad!I29=0,"",(Offerteblad!F29*Offerteblad!I29))</f>
        <v/>
      </c>
      <c r="H39" s="278" t="str">
        <f>IF(Offerteblad!K29= 0, "",Offerteblad!K29)</f>
        <v/>
      </c>
      <c r="I39" s="59"/>
    </row>
    <row r="40" spans="1:9" x14ac:dyDescent="0.2">
      <c r="A40" s="59"/>
      <c r="B40" s="275" t="str">
        <f>IF(Offerteblad!F30=0,"",Offerteblad!F30)</f>
        <v/>
      </c>
      <c r="C40" s="444" t="str">
        <f>IF(Offerteblad!B30="  &lt;selecteer&gt;","",Offerteblad!B30)</f>
        <v/>
      </c>
      <c r="D40" s="446"/>
      <c r="E40" s="276" t="str">
        <f>IF(Offerteblad!G30= 0, "",Offerteblad!G30)</f>
        <v/>
      </c>
      <c r="F40" s="276" t="str">
        <f>IF(Offerteblad!H30= 0, "",Offerteblad!H30)</f>
        <v/>
      </c>
      <c r="G40" s="277" t="str">
        <f>IF(Offerteblad!I30=0,"",(Offerteblad!F30*Offerteblad!I30))</f>
        <v/>
      </c>
      <c r="H40" s="278" t="str">
        <f>IF(Offerteblad!K30= 0, "",Offerteblad!K30)</f>
        <v/>
      </c>
      <c r="I40" s="59"/>
    </row>
    <row r="41" spans="1:9" x14ac:dyDescent="0.2">
      <c r="A41" s="59"/>
      <c r="B41" s="275" t="str">
        <f>IF(Offerteblad!F31=0,"",Offerteblad!F31)</f>
        <v/>
      </c>
      <c r="C41" s="444" t="str">
        <f>IF(Offerteblad!B31="  &lt;selecteer&gt;","",Offerteblad!B31)</f>
        <v/>
      </c>
      <c r="D41" s="446"/>
      <c r="E41" s="276" t="str">
        <f>IF(Offerteblad!G31= 0, "",Offerteblad!G31)</f>
        <v/>
      </c>
      <c r="F41" s="276" t="str">
        <f>IF(Offerteblad!H31= 0, "",Offerteblad!H31)</f>
        <v/>
      </c>
      <c r="G41" s="277" t="str">
        <f>IF(Offerteblad!I31=0,"",(Offerteblad!F31*Offerteblad!I31))</f>
        <v/>
      </c>
      <c r="H41" s="278" t="str">
        <f>IF(Offerteblad!K31= 0, "",Offerteblad!K31)</f>
        <v/>
      </c>
      <c r="I41" s="59"/>
    </row>
    <row r="42" spans="1:9" x14ac:dyDescent="0.2">
      <c r="A42" s="59"/>
      <c r="B42" s="275" t="str">
        <f>IF(Offerteblad!F32=0,"",Offerteblad!F32)</f>
        <v/>
      </c>
      <c r="C42" s="444" t="str">
        <f>IF(Offerteblad!B32="  &lt;selecteer&gt;","",Offerteblad!B32)</f>
        <v/>
      </c>
      <c r="D42" s="446"/>
      <c r="E42" s="276" t="str">
        <f>IF(Offerteblad!G32= 0, "",Offerteblad!G32)</f>
        <v/>
      </c>
      <c r="F42" s="276" t="str">
        <f>IF(Offerteblad!H32= 0, "",Offerteblad!H32)</f>
        <v/>
      </c>
      <c r="G42" s="277" t="str">
        <f>IF(Offerteblad!I32=0,"",(Offerteblad!F32*Offerteblad!I32))</f>
        <v/>
      </c>
      <c r="H42" s="278" t="str">
        <f>IF(Offerteblad!K32= 0, "",Offerteblad!K32)</f>
        <v/>
      </c>
      <c r="I42" s="59"/>
    </row>
    <row r="43" spans="1:9" x14ac:dyDescent="0.2">
      <c r="A43" s="59"/>
      <c r="B43" s="275" t="str">
        <f>IF(Offerteblad!F33=0,"",Offerteblad!F33)</f>
        <v/>
      </c>
      <c r="C43" s="444" t="str">
        <f>IF(Offerteblad!B33="  &lt;selecteer&gt;","",Offerteblad!B33)</f>
        <v/>
      </c>
      <c r="D43" s="446"/>
      <c r="E43" s="276" t="str">
        <f>IF(Offerteblad!G33= 0, "",Offerteblad!G33)</f>
        <v/>
      </c>
      <c r="F43" s="276" t="str">
        <f>IF(Offerteblad!H33= 0, "",Offerteblad!H33)</f>
        <v/>
      </c>
      <c r="G43" s="277" t="str">
        <f>IF(Offerteblad!I33=0,"",(Offerteblad!F33*Offerteblad!I33))</f>
        <v/>
      </c>
      <c r="H43" s="278" t="str">
        <f>IF(Offerteblad!K33= 0, "",Offerteblad!K33)</f>
        <v/>
      </c>
      <c r="I43" s="59"/>
    </row>
    <row r="44" spans="1:9" x14ac:dyDescent="0.2">
      <c r="A44" s="59"/>
      <c r="B44" s="275" t="str">
        <f>IF(Offerteblad!F34=0,"",Offerteblad!F34)</f>
        <v/>
      </c>
      <c r="C44" s="444" t="str">
        <f>IF(Offerteblad!B34="  &lt;selecteer&gt;","",Offerteblad!B34)</f>
        <v/>
      </c>
      <c r="D44" s="446"/>
      <c r="E44" s="276" t="str">
        <f>IF(Offerteblad!G34= 0, "",Offerteblad!G34)</f>
        <v/>
      </c>
      <c r="F44" s="276" t="str">
        <f>IF(Offerteblad!H34= 0, "",Offerteblad!H34)</f>
        <v/>
      </c>
      <c r="G44" s="277" t="str">
        <f>IF(Offerteblad!I34=0,"",(Offerteblad!F34*Offerteblad!I34))</f>
        <v/>
      </c>
      <c r="H44" s="278" t="str">
        <f>IF(Offerteblad!K34= 0, "",Offerteblad!K34)</f>
        <v/>
      </c>
      <c r="I44" s="59"/>
    </row>
    <row r="45" spans="1:9" ht="6" customHeight="1" x14ac:dyDescent="0.2">
      <c r="A45" s="59"/>
      <c r="B45" s="279"/>
      <c r="C45" s="464"/>
      <c r="D45" s="465"/>
      <c r="E45" s="280"/>
      <c r="F45" s="281"/>
      <c r="G45" s="281"/>
      <c r="H45" s="282"/>
      <c r="I45" s="59"/>
    </row>
    <row r="46" spans="1:9" ht="18.75" customHeight="1" x14ac:dyDescent="0.2">
      <c r="A46" s="59"/>
      <c r="H46" s="283">
        <f>SUM(H26:H44)</f>
        <v>0</v>
      </c>
      <c r="I46" s="59"/>
    </row>
    <row r="47" spans="1:9" ht="6" customHeight="1" x14ac:dyDescent="0.2">
      <c r="A47" s="59"/>
      <c r="I47" s="59"/>
    </row>
    <row r="48" spans="1:9" x14ac:dyDescent="0.2">
      <c r="A48" s="59"/>
      <c r="B48" s="284" t="s">
        <v>52</v>
      </c>
      <c r="C48" s="285"/>
      <c r="D48" s="285"/>
      <c r="E48" s="285"/>
      <c r="F48" s="285"/>
      <c r="G48" s="285"/>
      <c r="H48" s="286"/>
      <c r="I48" s="59"/>
    </row>
    <row r="49" spans="1:18" ht="6" customHeight="1" x14ac:dyDescent="0.2">
      <c r="A49" s="59"/>
      <c r="B49" s="272"/>
      <c r="C49" s="463"/>
      <c r="D49" s="463"/>
      <c r="E49" s="463"/>
      <c r="F49" s="463"/>
      <c r="G49" s="463"/>
      <c r="H49" s="287"/>
      <c r="I49" s="59"/>
    </row>
    <row r="50" spans="1:18" x14ac:dyDescent="0.2">
      <c r="A50" s="59"/>
      <c r="B50" s="288" t="str">
        <f>IF(H50="","",IF(H50&gt;0,Offerteblad!E46))</f>
        <v/>
      </c>
      <c r="C50" s="444" t="str">
        <f>Offerteblad!G46</f>
        <v xml:space="preserve"> </v>
      </c>
      <c r="D50" s="445"/>
      <c r="E50" s="445"/>
      <c r="F50" s="445"/>
      <c r="G50" s="446"/>
      <c r="H50" s="278" t="str">
        <f>Offerteblad!K46</f>
        <v/>
      </c>
      <c r="I50" s="59"/>
    </row>
    <row r="51" spans="1:18" x14ac:dyDescent="0.2">
      <c r="A51" s="59"/>
      <c r="B51" s="288" t="str">
        <f>IF(H51="","",IF(H51&gt;0,Offerteblad!E47))</f>
        <v/>
      </c>
      <c r="C51" s="444" t="str">
        <f>Offerteblad!G47</f>
        <v xml:space="preserve"> </v>
      </c>
      <c r="D51" s="445"/>
      <c r="E51" s="445"/>
      <c r="F51" s="445"/>
      <c r="G51" s="446"/>
      <c r="H51" s="278" t="str">
        <f>Offerteblad!K47</f>
        <v/>
      </c>
      <c r="I51" s="59"/>
    </row>
    <row r="52" spans="1:18" x14ac:dyDescent="0.2">
      <c r="A52" s="59"/>
      <c r="B52" s="288" t="str">
        <f>IF(H52="","",IF(H52&gt;0,Offerteblad!E48))</f>
        <v/>
      </c>
      <c r="C52" s="444" t="str">
        <f>Offerteblad!G48</f>
        <v xml:space="preserve"> </v>
      </c>
      <c r="D52" s="445"/>
      <c r="E52" s="445"/>
      <c r="F52" s="445"/>
      <c r="G52" s="446"/>
      <c r="H52" s="278" t="str">
        <f>Offerteblad!K48</f>
        <v/>
      </c>
      <c r="I52" s="59"/>
    </row>
    <row r="53" spans="1:18" x14ac:dyDescent="0.2">
      <c r="A53" s="59"/>
      <c r="B53" s="288" t="str">
        <f>IF(H53="","",IF(H53&gt;0,1,""))</f>
        <v/>
      </c>
      <c r="C53" s="444" t="str">
        <f>Offerteblad!G49</f>
        <v>Bezorgkosten beglazingsmateriaal</v>
      </c>
      <c r="D53" s="445"/>
      <c r="E53" s="445"/>
      <c r="F53" s="445"/>
      <c r="G53" s="446"/>
      <c r="H53" s="278" t="str">
        <f>Offerteblad!K49</f>
        <v/>
      </c>
      <c r="I53" s="59"/>
    </row>
    <row r="54" spans="1:18" ht="6" customHeight="1" x14ac:dyDescent="0.2">
      <c r="A54" s="59"/>
      <c r="B54" s="279"/>
      <c r="C54" s="447"/>
      <c r="D54" s="447"/>
      <c r="E54" s="447"/>
      <c r="F54" s="447"/>
      <c r="G54" s="447"/>
      <c r="H54" s="289"/>
      <c r="I54" s="59"/>
    </row>
    <row r="55" spans="1:18" ht="18.75" customHeight="1" x14ac:dyDescent="0.2">
      <c r="A55" s="59"/>
      <c r="B55" s="448" t="s">
        <v>53</v>
      </c>
      <c r="C55" s="448"/>
      <c r="D55" s="290"/>
      <c r="E55" s="291"/>
      <c r="F55" s="291"/>
      <c r="G55" s="91" t="s">
        <v>21</v>
      </c>
      <c r="H55" s="283">
        <f>SUM(H50:H53)</f>
        <v>0</v>
      </c>
      <c r="I55" s="59"/>
      <c r="J55" s="292" t="str">
        <f>IF(Offerteblad!$B$85="","","Zie offerteblad voor opmerkingen klant")</f>
        <v/>
      </c>
    </row>
    <row r="56" spans="1:18" ht="6" customHeight="1" x14ac:dyDescent="0.2">
      <c r="A56" s="59"/>
      <c r="B56" s="439" t="s">
        <v>4</v>
      </c>
      <c r="C56" s="439"/>
      <c r="D56" s="439"/>
      <c r="E56" s="43"/>
      <c r="F56" s="43"/>
      <c r="G56" s="73"/>
      <c r="H56" s="293"/>
      <c r="I56" s="59"/>
    </row>
    <row r="57" spans="1:18" x14ac:dyDescent="0.2">
      <c r="A57" s="59"/>
      <c r="B57" s="439"/>
      <c r="C57" s="439"/>
      <c r="D57" s="439"/>
      <c r="E57" s="43"/>
      <c r="F57" s="43"/>
      <c r="G57" s="294" t="s">
        <v>54</v>
      </c>
      <c r="H57" s="295">
        <f>Offerteblad!K53</f>
        <v>0</v>
      </c>
      <c r="I57" s="59"/>
    </row>
    <row r="58" spans="1:18" x14ac:dyDescent="0.2">
      <c r="A58" s="59"/>
      <c r="B58" s="439"/>
      <c r="C58" s="439"/>
      <c r="D58" s="439"/>
      <c r="E58" s="43"/>
      <c r="F58" s="43"/>
      <c r="G58" s="294" t="str">
        <f>Offerteblad!J54</f>
        <v>0% korting</v>
      </c>
      <c r="H58" s="296">
        <f>Offerteblad!K54</f>
        <v>0</v>
      </c>
      <c r="I58" s="59"/>
    </row>
    <row r="59" spans="1:18" ht="6" customHeight="1" x14ac:dyDescent="0.2">
      <c r="A59" s="59"/>
      <c r="B59" s="439"/>
      <c r="C59" s="439"/>
      <c r="D59" s="439"/>
      <c r="E59" s="43"/>
      <c r="F59" s="43"/>
      <c r="G59" s="297"/>
      <c r="H59" s="298"/>
      <c r="I59" s="59"/>
    </row>
    <row r="60" spans="1:18" ht="18.75" customHeight="1" x14ac:dyDescent="0.25">
      <c r="A60" s="59"/>
      <c r="B60" s="299"/>
      <c r="C60" s="299"/>
      <c r="D60" s="299"/>
      <c r="E60" s="299"/>
      <c r="F60" s="299"/>
      <c r="G60" s="300" t="s">
        <v>29</v>
      </c>
      <c r="H60" s="301">
        <f>Offerteblad!K56</f>
        <v>0</v>
      </c>
      <c r="I60" s="59"/>
    </row>
    <row r="61" spans="1:18" ht="6" customHeight="1" x14ac:dyDescent="0.2">
      <c r="A61" s="59"/>
      <c r="B61" s="449" t="s">
        <v>55</v>
      </c>
      <c r="C61" s="449"/>
      <c r="D61" s="449"/>
      <c r="E61" s="449"/>
      <c r="F61" s="299"/>
      <c r="G61" s="294"/>
      <c r="H61" s="302"/>
      <c r="I61" s="59"/>
    </row>
    <row r="62" spans="1:18" ht="12.75" customHeight="1" x14ac:dyDescent="0.2">
      <c r="A62" s="59"/>
      <c r="B62" s="449"/>
      <c r="C62" s="449"/>
      <c r="D62" s="449"/>
      <c r="E62" s="449"/>
      <c r="F62" s="299"/>
      <c r="G62" s="294" t="str">
        <f>Offerteblad!J58</f>
        <v>Btw bedrag 21%</v>
      </c>
      <c r="H62" s="303">
        <f>Offerteblad!K58</f>
        <v>0</v>
      </c>
      <c r="I62" s="59"/>
    </row>
    <row r="63" spans="1:18" ht="12.75" customHeight="1" x14ac:dyDescent="0.2">
      <c r="A63" s="59"/>
      <c r="B63" s="449"/>
      <c r="C63" s="449"/>
      <c r="D63" s="449"/>
      <c r="E63" s="449"/>
      <c r="F63" s="299"/>
      <c r="G63" s="294" t="str">
        <f>Offerteblad!J59</f>
        <v/>
      </c>
      <c r="H63" s="259" t="str">
        <f>Offerteblad!K59</f>
        <v/>
      </c>
      <c r="I63" s="59"/>
      <c r="J63" s="304" t="str">
        <f>IF(H63="","",("Btw regeling bouw"))</f>
        <v/>
      </c>
    </row>
    <row r="64" spans="1:18" s="72" customFormat="1" ht="6" customHeight="1" x14ac:dyDescent="0.2">
      <c r="A64" s="212"/>
      <c r="B64" s="449"/>
      <c r="C64" s="449"/>
      <c r="D64" s="449"/>
      <c r="E64" s="449"/>
      <c r="F64" s="299"/>
      <c r="G64" s="126"/>
      <c r="H64" s="298"/>
      <c r="I64" s="212"/>
      <c r="M64" s="60"/>
      <c r="N64" s="60"/>
      <c r="O64" s="60"/>
      <c r="P64" s="60"/>
      <c r="Q64" s="60"/>
      <c r="R64" s="60"/>
    </row>
    <row r="65" spans="1:9" ht="18.75" customHeight="1" x14ac:dyDescent="0.25">
      <c r="A65" s="59"/>
      <c r="B65" s="449"/>
      <c r="C65" s="449"/>
      <c r="D65" s="449"/>
      <c r="E65" s="449"/>
      <c r="F65" s="299"/>
      <c r="G65" s="300" t="s">
        <v>32</v>
      </c>
      <c r="H65" s="301">
        <f>Offerteblad!K61</f>
        <v>0</v>
      </c>
      <c r="I65" s="59"/>
    </row>
    <row r="66" spans="1:9" ht="7.5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</row>
    <row r="68" spans="1:9" x14ac:dyDescent="0.2">
      <c r="B68" s="379" t="str">
        <f>'© Copyright'!A1</f>
        <v>© 2004 - 2019 Glasdiscount.nl</v>
      </c>
      <c r="C68" s="379"/>
      <c r="D68" s="379"/>
      <c r="E68" s="379"/>
      <c r="F68" s="379"/>
      <c r="G68" s="379"/>
      <c r="H68" s="379"/>
    </row>
    <row r="69" spans="1:9" x14ac:dyDescent="0.2">
      <c r="B69" s="379" t="str">
        <f>'© Copyright'!A3</f>
        <v>Deze spreadsheet is eigendom van Glasdiscount.nl en mag uitsluitend gebruikt worden door (potentiële) relaties en klanten van Glasdiscount.nl</v>
      </c>
      <c r="C69" s="379"/>
      <c r="D69" s="379"/>
      <c r="E69" s="379"/>
      <c r="F69" s="379"/>
      <c r="G69" s="379"/>
      <c r="H69" s="379"/>
    </row>
    <row r="70" spans="1:9" x14ac:dyDescent="0.2">
      <c r="B70" s="379" t="str">
        <f>'© Copyright'!A4</f>
        <v>Op geen enkele wijze mag dit programma gekopieerd of hergebruikt worden tenzij schriftelijke toestemming is verleend door Glasdiscount.nl</v>
      </c>
      <c r="C70" s="379"/>
      <c r="D70" s="379"/>
      <c r="E70" s="379"/>
      <c r="F70" s="379"/>
      <c r="G70" s="379"/>
      <c r="H70" s="379"/>
    </row>
  </sheetData>
  <sheetProtection algorithmName="SHA-512" hashValue="n1xCY0OZPKoRdOKAnUhgSmks5vqyvzK5p8+1v7+OCdjCeG0AL5qFki1VHQ4/jCYJ1Q8dIsnmYfEkOpkOV68TLg==" saltValue="sUSDTUWAqT5zCItYsgg2wQ==" spinCount="100000" sheet="1" objects="1" scenarios="1" selectLockedCells="1"/>
  <mergeCells count="55">
    <mergeCell ref="C45:D45"/>
    <mergeCell ref="E14:H14"/>
    <mergeCell ref="B2:H2"/>
    <mergeCell ref="F4:H5"/>
    <mergeCell ref="E8:H8"/>
    <mergeCell ref="E10:H10"/>
    <mergeCell ref="B8:D8"/>
    <mergeCell ref="B10:D10"/>
    <mergeCell ref="B11:D11"/>
    <mergeCell ref="B13:D13"/>
    <mergeCell ref="B14:C14"/>
    <mergeCell ref="E11:H11"/>
    <mergeCell ref="F12:H12"/>
    <mergeCell ref="E13:H13"/>
    <mergeCell ref="C5:D5"/>
    <mergeCell ref="C52:G52"/>
    <mergeCell ref="E15:H15"/>
    <mergeCell ref="E18:H18"/>
    <mergeCell ref="F20:G20"/>
    <mergeCell ref="B18:D18"/>
    <mergeCell ref="B15:D15"/>
    <mergeCell ref="B20:D20"/>
    <mergeCell ref="C23:D24"/>
    <mergeCell ref="C25:D25"/>
    <mergeCell ref="C26:D26"/>
    <mergeCell ref="C27:D27"/>
    <mergeCell ref="C28:D28"/>
    <mergeCell ref="C29:D29"/>
    <mergeCell ref="B23:B24"/>
    <mergeCell ref="C49:G49"/>
    <mergeCell ref="C50:G50"/>
    <mergeCell ref="C51:G5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B69:H69"/>
    <mergeCell ref="B70:H70"/>
    <mergeCell ref="C53:G53"/>
    <mergeCell ref="C54:G54"/>
    <mergeCell ref="B55:C55"/>
    <mergeCell ref="B61:E65"/>
    <mergeCell ref="B68:H68"/>
    <mergeCell ref="B56:D59"/>
  </mergeCells>
  <conditionalFormatting sqref="H63">
    <cfRule type="expression" dxfId="1" priority="1">
      <formula>$H$63*1&gt;0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zoomScaleNormal="100" workbookViewId="0">
      <selection activeCell="E4" sqref="E4:F4"/>
    </sheetView>
  </sheetViews>
  <sheetFormatPr defaultRowHeight="12.75" x14ac:dyDescent="0.2"/>
  <cols>
    <col min="1" max="1" width="1.42578125" style="60" customWidth="1"/>
    <col min="2" max="2" width="10.7109375" style="60" customWidth="1"/>
    <col min="3" max="3" width="19.28515625" style="60" customWidth="1"/>
    <col min="4" max="4" width="16.7109375" style="60" customWidth="1"/>
    <col min="5" max="6" width="10.7109375" style="60" customWidth="1"/>
    <col min="7" max="7" width="13.28515625" style="60" customWidth="1"/>
    <col min="8" max="8" width="19.42578125" style="60" customWidth="1"/>
    <col min="9" max="9" width="1.42578125" style="60" customWidth="1"/>
    <col min="10" max="16384" width="9.140625" style="60"/>
  </cols>
  <sheetData>
    <row r="1" spans="1:9" ht="7.5" customHeight="1" x14ac:dyDescent="0.2">
      <c r="A1" s="59"/>
      <c r="B1" s="59"/>
      <c r="C1" s="59"/>
      <c r="D1" s="59"/>
      <c r="E1" s="59"/>
      <c r="F1" s="59"/>
      <c r="G1" s="59"/>
      <c r="H1" s="59"/>
      <c r="I1" s="59"/>
    </row>
    <row r="2" spans="1:9" ht="60" customHeight="1" x14ac:dyDescent="0.2">
      <c r="A2" s="59"/>
      <c r="B2" s="347" t="s">
        <v>0</v>
      </c>
      <c r="C2" s="347"/>
      <c r="D2" s="347"/>
      <c r="E2" s="347"/>
      <c r="F2" s="347"/>
      <c r="G2" s="347"/>
      <c r="H2" s="347"/>
      <c r="I2" s="59"/>
    </row>
    <row r="3" spans="1:9" ht="6" customHeight="1" x14ac:dyDescent="0.2">
      <c r="A3" s="59"/>
      <c r="B3" s="61"/>
      <c r="C3" s="63"/>
      <c r="D3" s="63"/>
      <c r="E3" s="63"/>
      <c r="F3" s="63"/>
      <c r="G3" s="63"/>
      <c r="H3" s="63"/>
      <c r="I3" s="59"/>
    </row>
    <row r="4" spans="1:9" ht="12.75" customHeight="1" x14ac:dyDescent="0.2">
      <c r="A4" s="59"/>
      <c r="B4" s="261" t="s">
        <v>1</v>
      </c>
      <c r="C4" s="146">
        <f ca="1">TODAY()</f>
        <v>41814</v>
      </c>
      <c r="D4" s="308" t="s">
        <v>57</v>
      </c>
      <c r="E4" s="472">
        <f ca="1">C4+8</f>
        <v>41822</v>
      </c>
      <c r="F4" s="472"/>
      <c r="G4" s="466" t="s">
        <v>58</v>
      </c>
      <c r="H4" s="466"/>
      <c r="I4" s="59"/>
    </row>
    <row r="5" spans="1:9" ht="12.75" customHeight="1" x14ac:dyDescent="0.2">
      <c r="A5" s="59"/>
      <c r="B5" s="261" t="s">
        <v>3</v>
      </c>
      <c r="C5" s="471" t="str">
        <f>Offerteblad!C5</f>
        <v>……</v>
      </c>
      <c r="D5" s="471"/>
      <c r="E5" s="37"/>
      <c r="F5" s="305"/>
      <c r="G5" s="466"/>
      <c r="H5" s="466"/>
      <c r="I5" s="59"/>
    </row>
    <row r="6" spans="1:9" ht="6" customHeight="1" x14ac:dyDescent="0.2">
      <c r="A6" s="59"/>
      <c r="B6" s="67"/>
      <c r="C6" s="69"/>
      <c r="D6" s="69"/>
      <c r="E6" s="69"/>
      <c r="F6" s="70"/>
      <c r="G6" s="70"/>
      <c r="H6" s="70"/>
      <c r="I6" s="59"/>
    </row>
    <row r="7" spans="1:9" ht="6" customHeight="1" x14ac:dyDescent="0.2">
      <c r="A7" s="59"/>
      <c r="I7" s="59"/>
    </row>
    <row r="8" spans="1:9" ht="18" customHeight="1" x14ac:dyDescent="0.2">
      <c r="A8" s="59"/>
      <c r="B8" s="452" t="s">
        <v>34</v>
      </c>
      <c r="C8" s="453"/>
      <c r="D8" s="454"/>
      <c r="E8" s="452" t="str">
        <f>Offerteblad!G65</f>
        <v>Afleveradres</v>
      </c>
      <c r="F8" s="453"/>
      <c r="G8" s="453"/>
      <c r="H8" s="454"/>
      <c r="I8" s="59"/>
    </row>
    <row r="9" spans="1:9" ht="6" customHeight="1" x14ac:dyDescent="0.2">
      <c r="A9" s="59"/>
      <c r="B9" s="262"/>
      <c r="C9" s="263"/>
      <c r="D9" s="263"/>
      <c r="E9" s="263"/>
      <c r="F9" s="263"/>
      <c r="G9" s="263"/>
      <c r="H9" s="264"/>
      <c r="I9" s="59"/>
    </row>
    <row r="10" spans="1:9" x14ac:dyDescent="0.2">
      <c r="A10" s="59"/>
      <c r="B10" s="456" t="str">
        <f>IF(Offerteblad!C67="","",Offerteblad!C67)</f>
        <v/>
      </c>
      <c r="C10" s="450"/>
      <c r="D10" s="450"/>
      <c r="E10" s="467" t="str">
        <f>IF(Offerteblad!I67="","",Offerteblad!I67)</f>
        <v/>
      </c>
      <c r="F10" s="467"/>
      <c r="G10" s="467"/>
      <c r="H10" s="468"/>
      <c r="I10" s="59"/>
    </row>
    <row r="11" spans="1:9" x14ac:dyDescent="0.2">
      <c r="A11" s="59"/>
      <c r="B11" s="456" t="str">
        <f>IF(Offerteblad!C68="","",Offerteblad!C68)</f>
        <v/>
      </c>
      <c r="C11" s="450"/>
      <c r="D11" s="450"/>
      <c r="E11" s="467" t="str">
        <f>IF(Offerteblad!I68="","",Offerteblad!I68)</f>
        <v/>
      </c>
      <c r="F11" s="467"/>
      <c r="G11" s="467"/>
      <c r="H11" s="468"/>
      <c r="I11" s="59"/>
    </row>
    <row r="12" spans="1:9" x14ac:dyDescent="0.2">
      <c r="A12" s="59"/>
      <c r="B12" s="265" t="str">
        <f>IF(Offerteblad!C69="","",Offerteblad!C69)</f>
        <v/>
      </c>
      <c r="C12" s="198" t="str">
        <f>IF(Offerteblad!C70="","",Offerteblad!C70)</f>
        <v/>
      </c>
      <c r="D12" s="198"/>
      <c r="E12" s="266" t="str">
        <f>IF(Offerteblad!I69="","",Offerteblad!I69)</f>
        <v/>
      </c>
      <c r="F12" s="469" t="str">
        <f>IF(Offerteblad!I70="","",Offerteblad!I70)</f>
        <v/>
      </c>
      <c r="G12" s="469"/>
      <c r="H12" s="470"/>
      <c r="I12" s="59"/>
    </row>
    <row r="13" spans="1:9" x14ac:dyDescent="0.2">
      <c r="A13" s="59"/>
      <c r="B13" s="456" t="str">
        <f>IF(Offerteblad!C71="&lt;selecteer&gt;","",Offerteblad!C71)</f>
        <v/>
      </c>
      <c r="C13" s="450"/>
      <c r="D13" s="450"/>
      <c r="E13" s="450" t="str">
        <f>IF(Offerteblad!I71="&lt;selecteer&gt;","",Offerteblad!I71)</f>
        <v/>
      </c>
      <c r="F13" s="450"/>
      <c r="G13" s="450"/>
      <c r="H13" s="451"/>
      <c r="I13" s="59"/>
    </row>
    <row r="14" spans="1:9" x14ac:dyDescent="0.2">
      <c r="A14" s="59"/>
      <c r="B14" s="456" t="str">
        <f>IF(Offerteblad!C72="","",Offerteblad!C72)</f>
        <v/>
      </c>
      <c r="C14" s="450"/>
      <c r="D14" s="198" t="str">
        <f>IF(Offerteblad!C73="","",Offerteblad!C73)</f>
        <v/>
      </c>
      <c r="E14" s="450" t="str">
        <f>IF(Offerteblad!I72="","",Offerteblad!I72)</f>
        <v/>
      </c>
      <c r="F14" s="450"/>
      <c r="G14" s="450"/>
      <c r="H14" s="451"/>
      <c r="I14" s="59"/>
    </row>
    <row r="15" spans="1:9" x14ac:dyDescent="0.2">
      <c r="A15" s="59"/>
      <c r="B15" s="456" t="str">
        <f>IF(Offerteblad!C74="","",Offerteblad!C74)</f>
        <v/>
      </c>
      <c r="C15" s="450"/>
      <c r="D15" s="450"/>
      <c r="E15" s="450"/>
      <c r="F15" s="450"/>
      <c r="G15" s="450"/>
      <c r="H15" s="451"/>
      <c r="I15" s="59"/>
    </row>
    <row r="16" spans="1:9" ht="6" customHeight="1" x14ac:dyDescent="0.2">
      <c r="A16" s="59"/>
      <c r="B16" s="267"/>
      <c r="C16" s="268"/>
      <c r="D16" s="268"/>
      <c r="E16" s="268"/>
      <c r="F16" s="268"/>
      <c r="G16" s="268"/>
      <c r="H16" s="269"/>
      <c r="I16" s="59"/>
    </row>
    <row r="17" spans="1:9" ht="6" customHeight="1" x14ac:dyDescent="0.2">
      <c r="A17" s="59"/>
      <c r="I17" s="59"/>
    </row>
    <row r="18" spans="1:9" ht="18" customHeight="1" x14ac:dyDescent="0.2">
      <c r="A18" s="59"/>
      <c r="B18" s="452" t="s">
        <v>140</v>
      </c>
      <c r="C18" s="453"/>
      <c r="D18" s="454"/>
      <c r="E18" s="452" t="s">
        <v>141</v>
      </c>
      <c r="F18" s="453"/>
      <c r="G18" s="453"/>
      <c r="H18" s="454"/>
      <c r="I18" s="59"/>
    </row>
    <row r="19" spans="1:9" ht="7.5" customHeight="1" x14ac:dyDescent="0.2">
      <c r="A19" s="59"/>
      <c r="B19" s="262"/>
      <c r="C19" s="263"/>
      <c r="D19" s="263"/>
      <c r="E19" s="263"/>
      <c r="F19" s="263"/>
      <c r="G19" s="263"/>
      <c r="H19" s="264"/>
      <c r="I19" s="59"/>
    </row>
    <row r="20" spans="1:9" x14ac:dyDescent="0.2">
      <c r="A20" s="59"/>
      <c r="B20" s="428"/>
      <c r="C20" s="429"/>
      <c r="D20" s="429"/>
      <c r="E20" s="270" t="str">
        <f>IF(Offerteblad!C79="&lt;selecteer&gt;","",Offerteblad!C79)</f>
        <v>Bezorgen</v>
      </c>
      <c r="F20" s="455" t="str">
        <f>IF(Offerteblad!D79="&lt;kies locatie&gt;","",Offerteblad!D79)</f>
        <v/>
      </c>
      <c r="G20" s="455"/>
      <c r="H20" s="271"/>
      <c r="I20" s="59"/>
    </row>
    <row r="21" spans="1:9" ht="7.5" customHeight="1" x14ac:dyDescent="0.2">
      <c r="A21" s="59"/>
      <c r="B21" s="267"/>
      <c r="C21" s="268"/>
      <c r="D21" s="268"/>
      <c r="E21" s="268"/>
      <c r="F21" s="268"/>
      <c r="G21" s="268"/>
      <c r="H21" s="269"/>
      <c r="I21" s="59"/>
    </row>
    <row r="22" spans="1:9" ht="12" customHeight="1" x14ac:dyDescent="0.2">
      <c r="A22" s="59"/>
      <c r="I22" s="59"/>
    </row>
    <row r="23" spans="1:9" x14ac:dyDescent="0.2">
      <c r="A23" s="59"/>
      <c r="B23" s="461" t="s">
        <v>7</v>
      </c>
      <c r="C23" s="457" t="s">
        <v>158</v>
      </c>
      <c r="D23" s="364"/>
      <c r="E23" s="75" t="s">
        <v>8</v>
      </c>
      <c r="F23" s="75" t="s">
        <v>9</v>
      </c>
      <c r="G23" s="75" t="s">
        <v>159</v>
      </c>
      <c r="H23" s="76" t="s">
        <v>51</v>
      </c>
      <c r="I23" s="59"/>
    </row>
    <row r="24" spans="1:9" x14ac:dyDescent="0.2">
      <c r="A24" s="59"/>
      <c r="B24" s="462"/>
      <c r="C24" s="458"/>
      <c r="D24" s="366"/>
      <c r="E24" s="78" t="s">
        <v>13</v>
      </c>
      <c r="F24" s="78" t="s">
        <v>13</v>
      </c>
      <c r="G24" s="78" t="s">
        <v>145</v>
      </c>
      <c r="H24" s="79" t="s">
        <v>14</v>
      </c>
      <c r="I24" s="59"/>
    </row>
    <row r="25" spans="1:9" ht="6" customHeight="1" x14ac:dyDescent="0.2">
      <c r="A25" s="59"/>
      <c r="B25" s="272"/>
      <c r="C25" s="459"/>
      <c r="D25" s="460"/>
      <c r="E25" s="273"/>
      <c r="F25" s="273"/>
      <c r="G25" s="273"/>
      <c r="H25" s="274"/>
      <c r="I25" s="59"/>
    </row>
    <row r="26" spans="1:9" x14ac:dyDescent="0.2">
      <c r="A26" s="59"/>
      <c r="B26" s="275" t="str">
        <f>IF(Offerteblad!F16=0,"",Offerteblad!F16)</f>
        <v/>
      </c>
      <c r="C26" s="444" t="str">
        <f>IF(Offerteblad!B16="  &lt;selecteer&gt;","",Offerteblad!B16)</f>
        <v/>
      </c>
      <c r="D26" s="446"/>
      <c r="E26" s="276" t="str">
        <f>IF(Offerteblad!G16= 0, "",Offerteblad!G16)</f>
        <v/>
      </c>
      <c r="F26" s="276" t="str">
        <f>IF(Offerteblad!H16= 0, "",Offerteblad!H16)</f>
        <v/>
      </c>
      <c r="G26" s="277" t="str">
        <f>IF(Offerteblad!I16=0,"",(Offerteblad!F16*Offerteblad!I16))</f>
        <v/>
      </c>
      <c r="H26" s="278" t="str">
        <f>IF(Offerteblad!K16= 0, "",Offerteblad!K16)</f>
        <v/>
      </c>
      <c r="I26" s="59"/>
    </row>
    <row r="27" spans="1:9" x14ac:dyDescent="0.2">
      <c r="A27" s="59"/>
      <c r="B27" s="275" t="str">
        <f>IF(Offerteblad!F17=0,"",Offerteblad!F17)</f>
        <v/>
      </c>
      <c r="C27" s="444" t="str">
        <f>IF(Offerteblad!B17="  &lt;selecteer&gt;","",Offerteblad!B17)</f>
        <v/>
      </c>
      <c r="D27" s="446"/>
      <c r="E27" s="276" t="str">
        <f>IF(Offerteblad!G17= 0, "",Offerteblad!G17)</f>
        <v/>
      </c>
      <c r="F27" s="276" t="str">
        <f>IF(Offerteblad!H17= 0, "",Offerteblad!H17)</f>
        <v/>
      </c>
      <c r="G27" s="277" t="str">
        <f>IF(Offerteblad!I17=0,"",(Offerteblad!F17*Offerteblad!I17))</f>
        <v/>
      </c>
      <c r="H27" s="278" t="str">
        <f>IF(Offerteblad!K17= 0, "",Offerteblad!K17)</f>
        <v/>
      </c>
      <c r="I27" s="59"/>
    </row>
    <row r="28" spans="1:9" x14ac:dyDescent="0.2">
      <c r="A28" s="59"/>
      <c r="B28" s="275" t="str">
        <f>IF(Offerteblad!F18=0,"",Offerteblad!F18)</f>
        <v/>
      </c>
      <c r="C28" s="444" t="str">
        <f>IF(Offerteblad!B18="  &lt;selecteer&gt;","",Offerteblad!B18)</f>
        <v/>
      </c>
      <c r="D28" s="446"/>
      <c r="E28" s="276" t="str">
        <f>IF(Offerteblad!G18= 0, "",Offerteblad!G18)</f>
        <v/>
      </c>
      <c r="F28" s="276" t="str">
        <f>IF(Offerteblad!H18= 0, "",Offerteblad!H18)</f>
        <v/>
      </c>
      <c r="G28" s="277" t="str">
        <f>IF(Offerteblad!I18=0,"",(Offerteblad!F18*Offerteblad!I18))</f>
        <v/>
      </c>
      <c r="H28" s="278" t="str">
        <f>IF(Offerteblad!K18= 0, "",Offerteblad!K18)</f>
        <v/>
      </c>
      <c r="I28" s="59"/>
    </row>
    <row r="29" spans="1:9" x14ac:dyDescent="0.2">
      <c r="A29" s="59"/>
      <c r="B29" s="275" t="str">
        <f>IF(Offerteblad!F19=0,"",Offerteblad!F19)</f>
        <v/>
      </c>
      <c r="C29" s="444" t="str">
        <f>IF(Offerteblad!B19="  &lt;selecteer&gt;","",Offerteblad!B19)</f>
        <v/>
      </c>
      <c r="D29" s="446"/>
      <c r="E29" s="276" t="str">
        <f>IF(Offerteblad!G19= 0, "",Offerteblad!G19)</f>
        <v/>
      </c>
      <c r="F29" s="276" t="str">
        <f>IF(Offerteblad!H19= 0, "",Offerteblad!H19)</f>
        <v/>
      </c>
      <c r="G29" s="277" t="str">
        <f>IF(Offerteblad!I19=0,"",(Offerteblad!F19*Offerteblad!I19))</f>
        <v/>
      </c>
      <c r="H29" s="278" t="str">
        <f>IF(Offerteblad!K19= 0, "",Offerteblad!K19)</f>
        <v/>
      </c>
      <c r="I29" s="59"/>
    </row>
    <row r="30" spans="1:9" x14ac:dyDescent="0.2">
      <c r="A30" s="59"/>
      <c r="B30" s="275" t="str">
        <f>IF(Offerteblad!F20=0,"",Offerteblad!F20)</f>
        <v/>
      </c>
      <c r="C30" s="444" t="str">
        <f>IF(Offerteblad!B20="  &lt;selecteer&gt;","",Offerteblad!B20)</f>
        <v/>
      </c>
      <c r="D30" s="446"/>
      <c r="E30" s="276" t="str">
        <f>IF(Offerteblad!G20= 0, "",Offerteblad!G20)</f>
        <v/>
      </c>
      <c r="F30" s="276" t="str">
        <f>IF(Offerteblad!H20= 0, "",Offerteblad!H20)</f>
        <v/>
      </c>
      <c r="G30" s="277" t="str">
        <f>IF(Offerteblad!I20=0,"",(Offerteblad!F20*Offerteblad!I20))</f>
        <v/>
      </c>
      <c r="H30" s="278" t="str">
        <f>IF(Offerteblad!K20= 0, "",Offerteblad!K20)</f>
        <v/>
      </c>
      <c r="I30" s="59"/>
    </row>
    <row r="31" spans="1:9" x14ac:dyDescent="0.2">
      <c r="A31" s="59"/>
      <c r="B31" s="275" t="str">
        <f>IF(Offerteblad!F21=0,"",Offerteblad!F21)</f>
        <v/>
      </c>
      <c r="C31" s="444" t="str">
        <f>IF(Offerteblad!B21="  &lt;selecteer&gt;","",Offerteblad!B21)</f>
        <v/>
      </c>
      <c r="D31" s="446"/>
      <c r="E31" s="276" t="str">
        <f>IF(Offerteblad!G21= 0, "",Offerteblad!G21)</f>
        <v/>
      </c>
      <c r="F31" s="276" t="str">
        <f>IF(Offerteblad!H21= 0, "",Offerteblad!H21)</f>
        <v/>
      </c>
      <c r="G31" s="277" t="str">
        <f>IF(Offerteblad!I21=0,"",(Offerteblad!F21*Offerteblad!I21))</f>
        <v/>
      </c>
      <c r="H31" s="278" t="str">
        <f>IF(Offerteblad!K21= 0, "",Offerteblad!K21)</f>
        <v/>
      </c>
      <c r="I31" s="59"/>
    </row>
    <row r="32" spans="1:9" x14ac:dyDescent="0.2">
      <c r="A32" s="59"/>
      <c r="B32" s="275" t="str">
        <f>IF(Offerteblad!F22=0,"",Offerteblad!F22)</f>
        <v/>
      </c>
      <c r="C32" s="444" t="str">
        <f>IF(Offerteblad!B22="  &lt;selecteer&gt;","",Offerteblad!B22)</f>
        <v/>
      </c>
      <c r="D32" s="446"/>
      <c r="E32" s="276" t="str">
        <f>IF(Offerteblad!G22= 0, "",Offerteblad!G22)</f>
        <v/>
      </c>
      <c r="F32" s="276" t="str">
        <f>IF(Offerteblad!H22= 0, "",Offerteblad!H22)</f>
        <v/>
      </c>
      <c r="G32" s="277" t="str">
        <f>IF(Offerteblad!I22=0,"",(Offerteblad!F22*Offerteblad!I22))</f>
        <v/>
      </c>
      <c r="H32" s="278" t="str">
        <f>IF(Offerteblad!K22= 0, "",Offerteblad!K22)</f>
        <v/>
      </c>
      <c r="I32" s="59"/>
    </row>
    <row r="33" spans="1:9" x14ac:dyDescent="0.2">
      <c r="A33" s="59"/>
      <c r="B33" s="275" t="str">
        <f>IF(Offerteblad!F23=0,"",Offerteblad!F23)</f>
        <v/>
      </c>
      <c r="C33" s="444" t="str">
        <f>IF(Offerteblad!B23="  &lt;selecteer&gt;","",Offerteblad!B23)</f>
        <v/>
      </c>
      <c r="D33" s="446"/>
      <c r="E33" s="276" t="str">
        <f>IF(Offerteblad!G23= 0, "",Offerteblad!G23)</f>
        <v/>
      </c>
      <c r="F33" s="276" t="str">
        <f>IF(Offerteblad!H23= 0, "",Offerteblad!H23)</f>
        <v/>
      </c>
      <c r="G33" s="277" t="str">
        <f>IF(Offerteblad!I23=0,"",(Offerteblad!F23*Offerteblad!I23))</f>
        <v/>
      </c>
      <c r="H33" s="278" t="str">
        <f>IF(Offerteblad!K23= 0, "",Offerteblad!K23)</f>
        <v/>
      </c>
      <c r="I33" s="59"/>
    </row>
    <row r="34" spans="1:9" x14ac:dyDescent="0.2">
      <c r="A34" s="59"/>
      <c r="B34" s="275" t="str">
        <f>IF(Offerteblad!F24=0,"",Offerteblad!F24)</f>
        <v/>
      </c>
      <c r="C34" s="444" t="str">
        <f>IF(Offerteblad!B24="  &lt;selecteer&gt;","",Offerteblad!B24)</f>
        <v/>
      </c>
      <c r="D34" s="446"/>
      <c r="E34" s="276" t="str">
        <f>IF(Offerteblad!G24= 0, "",Offerteblad!G24)</f>
        <v/>
      </c>
      <c r="F34" s="276" t="str">
        <f>IF(Offerteblad!H24= 0, "",Offerteblad!H24)</f>
        <v/>
      </c>
      <c r="G34" s="277" t="str">
        <f>IF(Offerteblad!I24=0,"",(Offerteblad!F24*Offerteblad!I24))</f>
        <v/>
      </c>
      <c r="H34" s="278" t="str">
        <f>IF(Offerteblad!K24= 0, "",Offerteblad!K24)</f>
        <v/>
      </c>
      <c r="I34" s="59"/>
    </row>
    <row r="35" spans="1:9" x14ac:dyDescent="0.2">
      <c r="A35" s="59"/>
      <c r="B35" s="275" t="str">
        <f>IF(Offerteblad!F25=0,"",Offerteblad!F25)</f>
        <v/>
      </c>
      <c r="C35" s="444" t="str">
        <f>IF(Offerteblad!B25="  &lt;selecteer&gt;","",Offerteblad!B25)</f>
        <v/>
      </c>
      <c r="D35" s="446"/>
      <c r="E35" s="276" t="str">
        <f>IF(Offerteblad!G25= 0, "",Offerteblad!G25)</f>
        <v/>
      </c>
      <c r="F35" s="276" t="str">
        <f>IF(Offerteblad!H25= 0, "",Offerteblad!H25)</f>
        <v/>
      </c>
      <c r="G35" s="277" t="str">
        <f>IF(Offerteblad!I25=0,"",(Offerteblad!F25*Offerteblad!I25))</f>
        <v/>
      </c>
      <c r="H35" s="278" t="str">
        <f>IF(Offerteblad!K25= 0, "",Offerteblad!K25)</f>
        <v/>
      </c>
      <c r="I35" s="59"/>
    </row>
    <row r="36" spans="1:9" x14ac:dyDescent="0.2">
      <c r="A36" s="59"/>
      <c r="B36" s="275" t="str">
        <f>IF(Offerteblad!F26=0,"",Offerteblad!F26)</f>
        <v/>
      </c>
      <c r="C36" s="444" t="str">
        <f>IF(Offerteblad!B26="  &lt;selecteer&gt;","",Offerteblad!B26)</f>
        <v/>
      </c>
      <c r="D36" s="446"/>
      <c r="E36" s="276" t="str">
        <f>IF(Offerteblad!G26= 0, "",Offerteblad!G26)</f>
        <v/>
      </c>
      <c r="F36" s="276" t="str">
        <f>IF(Offerteblad!H26= 0, "",Offerteblad!H26)</f>
        <v/>
      </c>
      <c r="G36" s="277" t="str">
        <f>IF(Offerteblad!I26=0,"",(Offerteblad!F26*Offerteblad!I26))</f>
        <v/>
      </c>
      <c r="H36" s="278" t="str">
        <f>IF(Offerteblad!K26= 0, "",Offerteblad!K26)</f>
        <v/>
      </c>
      <c r="I36" s="59"/>
    </row>
    <row r="37" spans="1:9" x14ac:dyDescent="0.2">
      <c r="A37" s="59"/>
      <c r="B37" s="275" t="str">
        <f>IF(Offerteblad!F27=0,"",Offerteblad!F27)</f>
        <v/>
      </c>
      <c r="C37" s="444" t="str">
        <f>IF(Offerteblad!B27="  &lt;selecteer&gt;","",Offerteblad!B27)</f>
        <v/>
      </c>
      <c r="D37" s="446"/>
      <c r="E37" s="276" t="str">
        <f>IF(Offerteblad!G27= 0, "",Offerteblad!G27)</f>
        <v/>
      </c>
      <c r="F37" s="276" t="str">
        <f>IF(Offerteblad!H27= 0, "",Offerteblad!H27)</f>
        <v/>
      </c>
      <c r="G37" s="277" t="str">
        <f>IF(Offerteblad!I27=0,"",(Offerteblad!F27*Offerteblad!I27))</f>
        <v/>
      </c>
      <c r="H37" s="278" t="str">
        <f>IF(Offerteblad!K27= 0, "",Offerteblad!K27)</f>
        <v/>
      </c>
      <c r="I37" s="59"/>
    </row>
    <row r="38" spans="1:9" x14ac:dyDescent="0.2">
      <c r="A38" s="59"/>
      <c r="B38" s="275" t="str">
        <f>IF(Offerteblad!F28=0,"",Offerteblad!F28)</f>
        <v/>
      </c>
      <c r="C38" s="444" t="str">
        <f>IF(Offerteblad!B28="  &lt;selecteer&gt;","",Offerteblad!B28)</f>
        <v/>
      </c>
      <c r="D38" s="446"/>
      <c r="E38" s="276" t="str">
        <f>IF(Offerteblad!G28= 0, "",Offerteblad!G28)</f>
        <v/>
      </c>
      <c r="F38" s="276" t="str">
        <f>IF(Offerteblad!H28= 0, "",Offerteblad!H28)</f>
        <v/>
      </c>
      <c r="G38" s="277" t="str">
        <f>IF(Offerteblad!I28=0,"",(Offerteblad!F28*Offerteblad!I28))</f>
        <v/>
      </c>
      <c r="H38" s="278" t="str">
        <f>IF(Offerteblad!K28= 0, "",Offerteblad!K28)</f>
        <v/>
      </c>
      <c r="I38" s="59"/>
    </row>
    <row r="39" spans="1:9" x14ac:dyDescent="0.2">
      <c r="A39" s="59"/>
      <c r="B39" s="275" t="str">
        <f>IF(Offerteblad!F29=0,"",Offerteblad!F29)</f>
        <v/>
      </c>
      <c r="C39" s="444" t="str">
        <f>IF(Offerteblad!B29="  &lt;selecteer&gt;","",Offerteblad!B29)</f>
        <v/>
      </c>
      <c r="D39" s="446"/>
      <c r="E39" s="276" t="str">
        <f>IF(Offerteblad!G29= 0, "",Offerteblad!G29)</f>
        <v/>
      </c>
      <c r="F39" s="276" t="str">
        <f>IF(Offerteblad!H29= 0, "",Offerteblad!H29)</f>
        <v/>
      </c>
      <c r="G39" s="277" t="str">
        <f>IF(Offerteblad!I29=0,"",(Offerteblad!F29*Offerteblad!I29))</f>
        <v/>
      </c>
      <c r="H39" s="278" t="str">
        <f>IF(Offerteblad!K29= 0, "",Offerteblad!K29)</f>
        <v/>
      </c>
      <c r="I39" s="59"/>
    </row>
    <row r="40" spans="1:9" x14ac:dyDescent="0.2">
      <c r="A40" s="59"/>
      <c r="B40" s="275" t="str">
        <f>IF(Offerteblad!F30=0,"",Offerteblad!F30)</f>
        <v/>
      </c>
      <c r="C40" s="444" t="str">
        <f>IF(Offerteblad!B30="  &lt;selecteer&gt;","",Offerteblad!B30)</f>
        <v/>
      </c>
      <c r="D40" s="446"/>
      <c r="E40" s="276" t="str">
        <f>IF(Offerteblad!G30= 0, "",Offerteblad!G30)</f>
        <v/>
      </c>
      <c r="F40" s="276" t="str">
        <f>IF(Offerteblad!H30= 0, "",Offerteblad!H30)</f>
        <v/>
      </c>
      <c r="G40" s="277" t="str">
        <f>IF(Offerteblad!I30=0,"",(Offerteblad!F30*Offerteblad!I30))</f>
        <v/>
      </c>
      <c r="H40" s="278" t="str">
        <f>IF(Offerteblad!K30= 0, "",Offerteblad!K30)</f>
        <v/>
      </c>
      <c r="I40" s="59"/>
    </row>
    <row r="41" spans="1:9" x14ac:dyDescent="0.2">
      <c r="A41" s="59"/>
      <c r="B41" s="275" t="str">
        <f>IF(Offerteblad!F31=0,"",Offerteblad!F31)</f>
        <v/>
      </c>
      <c r="C41" s="444" t="str">
        <f>IF(Offerteblad!B31="  &lt;selecteer&gt;","",Offerteblad!B31)</f>
        <v/>
      </c>
      <c r="D41" s="446"/>
      <c r="E41" s="276" t="str">
        <f>IF(Offerteblad!G31= 0, "",Offerteblad!G31)</f>
        <v/>
      </c>
      <c r="F41" s="276" t="str">
        <f>IF(Offerteblad!H31= 0, "",Offerteblad!H31)</f>
        <v/>
      </c>
      <c r="G41" s="277" t="str">
        <f>IF(Offerteblad!I31=0,"",(Offerteblad!F31*Offerteblad!I31))</f>
        <v/>
      </c>
      <c r="H41" s="278" t="str">
        <f>IF(Offerteblad!K31= 0, "",Offerteblad!K31)</f>
        <v/>
      </c>
      <c r="I41" s="59"/>
    </row>
    <row r="42" spans="1:9" x14ac:dyDescent="0.2">
      <c r="A42" s="59"/>
      <c r="B42" s="275" t="str">
        <f>IF(Offerteblad!F32=0,"",Offerteblad!F32)</f>
        <v/>
      </c>
      <c r="C42" s="444" t="str">
        <f>IF(Offerteblad!B32="  &lt;selecteer&gt;","",Offerteblad!B32)</f>
        <v/>
      </c>
      <c r="D42" s="446"/>
      <c r="E42" s="276" t="str">
        <f>IF(Offerteblad!G32= 0, "",Offerteblad!G32)</f>
        <v/>
      </c>
      <c r="F42" s="276" t="str">
        <f>IF(Offerteblad!H32= 0, "",Offerteblad!H32)</f>
        <v/>
      </c>
      <c r="G42" s="277" t="str">
        <f>IF(Offerteblad!I32=0,"",(Offerteblad!F32*Offerteblad!I32))</f>
        <v/>
      </c>
      <c r="H42" s="278" t="str">
        <f>IF(Offerteblad!K32= 0, "",Offerteblad!K32)</f>
        <v/>
      </c>
      <c r="I42" s="59"/>
    </row>
    <row r="43" spans="1:9" x14ac:dyDescent="0.2">
      <c r="A43" s="59"/>
      <c r="B43" s="275" t="str">
        <f>IF(Offerteblad!F33=0,"",Offerteblad!F33)</f>
        <v/>
      </c>
      <c r="C43" s="444" t="str">
        <f>IF(Offerteblad!B33="  &lt;selecteer&gt;","",Offerteblad!B33)</f>
        <v/>
      </c>
      <c r="D43" s="446"/>
      <c r="E43" s="276" t="str">
        <f>IF(Offerteblad!G33= 0, "",Offerteblad!G33)</f>
        <v/>
      </c>
      <c r="F43" s="276" t="str">
        <f>IF(Offerteblad!H33= 0, "",Offerteblad!H33)</f>
        <v/>
      </c>
      <c r="G43" s="277" t="str">
        <f>IF(Offerteblad!I33=0,"",(Offerteblad!F33*Offerteblad!I33))</f>
        <v/>
      </c>
      <c r="H43" s="278" t="str">
        <f>IF(Offerteblad!K33= 0, "",Offerteblad!K33)</f>
        <v/>
      </c>
      <c r="I43" s="59"/>
    </row>
    <row r="44" spans="1:9" x14ac:dyDescent="0.2">
      <c r="A44" s="59"/>
      <c r="B44" s="275" t="str">
        <f>IF(Offerteblad!F34=0,"",Offerteblad!F34)</f>
        <v/>
      </c>
      <c r="C44" s="444" t="str">
        <f>IF(Offerteblad!B34="  &lt;selecteer&gt;","",Offerteblad!B34)</f>
        <v/>
      </c>
      <c r="D44" s="446"/>
      <c r="E44" s="276" t="str">
        <f>IF(Offerteblad!G34= 0, "",Offerteblad!G34)</f>
        <v/>
      </c>
      <c r="F44" s="276" t="str">
        <f>IF(Offerteblad!H34= 0, "",Offerteblad!H34)</f>
        <v/>
      </c>
      <c r="G44" s="277" t="str">
        <f>IF(Offerteblad!I34=0,"",(Offerteblad!F34*Offerteblad!I34))</f>
        <v/>
      </c>
      <c r="H44" s="278" t="str">
        <f>IF(Offerteblad!K34= 0, "",Offerteblad!K34)</f>
        <v/>
      </c>
      <c r="I44" s="59"/>
    </row>
    <row r="45" spans="1:9" ht="6" customHeight="1" x14ac:dyDescent="0.2">
      <c r="A45" s="59"/>
      <c r="B45" s="279"/>
      <c r="C45" s="464"/>
      <c r="D45" s="465"/>
      <c r="E45" s="280"/>
      <c r="F45" s="281"/>
      <c r="G45" s="281"/>
      <c r="H45" s="282"/>
      <c r="I45" s="59"/>
    </row>
    <row r="46" spans="1:9" ht="18.75" customHeight="1" x14ac:dyDescent="0.2">
      <c r="A46" s="59"/>
      <c r="H46" s="283">
        <f>SUM(H26:H44)</f>
        <v>0</v>
      </c>
      <c r="I46" s="59"/>
    </row>
    <row r="47" spans="1:9" ht="6" customHeight="1" x14ac:dyDescent="0.2">
      <c r="A47" s="59"/>
      <c r="I47" s="59"/>
    </row>
    <row r="48" spans="1:9" x14ac:dyDescent="0.2">
      <c r="A48" s="59"/>
      <c r="B48" s="284" t="s">
        <v>52</v>
      </c>
      <c r="C48" s="285"/>
      <c r="D48" s="285"/>
      <c r="E48" s="285"/>
      <c r="F48" s="285"/>
      <c r="G48" s="285"/>
      <c r="H48" s="286"/>
      <c r="I48" s="59"/>
    </row>
    <row r="49" spans="1:18" ht="6" customHeight="1" x14ac:dyDescent="0.2">
      <c r="A49" s="59"/>
      <c r="B49" s="272"/>
      <c r="C49" s="463"/>
      <c r="D49" s="463"/>
      <c r="E49" s="463"/>
      <c r="F49" s="463"/>
      <c r="G49" s="463"/>
      <c r="H49" s="287"/>
      <c r="I49" s="59"/>
    </row>
    <row r="50" spans="1:18" x14ac:dyDescent="0.2">
      <c r="A50" s="59"/>
      <c r="B50" s="288" t="str">
        <f>IF(H50="","",IF(H50&gt;0,Offerteblad!E46))</f>
        <v/>
      </c>
      <c r="C50" s="444" t="str">
        <f>Offerteblad!G46</f>
        <v xml:space="preserve"> </v>
      </c>
      <c r="D50" s="445"/>
      <c r="E50" s="445"/>
      <c r="F50" s="445"/>
      <c r="G50" s="446"/>
      <c r="H50" s="278" t="str">
        <f>Offerteblad!K46</f>
        <v/>
      </c>
      <c r="I50" s="59"/>
    </row>
    <row r="51" spans="1:18" x14ac:dyDescent="0.2">
      <c r="A51" s="59"/>
      <c r="B51" s="288" t="str">
        <f>IF(H51="","",IF(H51&gt;0,Offerteblad!E47))</f>
        <v/>
      </c>
      <c r="C51" s="444" t="str">
        <f>Offerteblad!G47</f>
        <v xml:space="preserve"> </v>
      </c>
      <c r="D51" s="445"/>
      <c r="E51" s="445"/>
      <c r="F51" s="445"/>
      <c r="G51" s="446"/>
      <c r="H51" s="278" t="str">
        <f>Offerteblad!K47</f>
        <v/>
      </c>
      <c r="I51" s="59"/>
    </row>
    <row r="52" spans="1:18" x14ac:dyDescent="0.2">
      <c r="A52" s="59"/>
      <c r="B52" s="288" t="str">
        <f>IF(H52="","",IF(H52&gt;0,Offerteblad!E48))</f>
        <v/>
      </c>
      <c r="C52" s="444" t="str">
        <f>Offerteblad!G48</f>
        <v xml:space="preserve"> </v>
      </c>
      <c r="D52" s="445"/>
      <c r="E52" s="445"/>
      <c r="F52" s="445"/>
      <c r="G52" s="446"/>
      <c r="H52" s="278" t="str">
        <f>Offerteblad!K48</f>
        <v/>
      </c>
      <c r="I52" s="59"/>
    </row>
    <row r="53" spans="1:18" x14ac:dyDescent="0.2">
      <c r="A53" s="59"/>
      <c r="B53" s="288" t="str">
        <f>IF(H53="","",IF(H53&gt;0,1,""))</f>
        <v/>
      </c>
      <c r="C53" s="444" t="str">
        <f>Offerteblad!G49</f>
        <v>Bezorgkosten beglazingsmateriaal</v>
      </c>
      <c r="D53" s="445"/>
      <c r="E53" s="445"/>
      <c r="F53" s="445"/>
      <c r="G53" s="446"/>
      <c r="H53" s="278" t="str">
        <f>Offerteblad!K49</f>
        <v/>
      </c>
      <c r="I53" s="59"/>
    </row>
    <row r="54" spans="1:18" ht="6" customHeight="1" x14ac:dyDescent="0.2">
      <c r="A54" s="59"/>
      <c r="B54" s="279"/>
      <c r="C54" s="447"/>
      <c r="D54" s="447"/>
      <c r="E54" s="447"/>
      <c r="F54" s="447"/>
      <c r="G54" s="447"/>
      <c r="H54" s="289"/>
      <c r="I54" s="59"/>
    </row>
    <row r="55" spans="1:18" ht="18.75" customHeight="1" x14ac:dyDescent="0.2">
      <c r="A55" s="59"/>
      <c r="B55" s="448" t="s">
        <v>53</v>
      </c>
      <c r="C55" s="448"/>
      <c r="D55" s="290"/>
      <c r="E55" s="291"/>
      <c r="F55" s="291"/>
      <c r="G55" s="91" t="s">
        <v>21</v>
      </c>
      <c r="H55" s="283">
        <f>SUM(H50:H53)</f>
        <v>0</v>
      </c>
      <c r="I55" s="59"/>
      <c r="J55" s="292" t="str">
        <f>IF(Offerteblad!$B$85="","","Zie offerteblad voor opmerkingen klant")</f>
        <v/>
      </c>
    </row>
    <row r="56" spans="1:18" ht="6" customHeight="1" x14ac:dyDescent="0.2">
      <c r="A56" s="59"/>
      <c r="B56" s="439" t="s">
        <v>4</v>
      </c>
      <c r="C56" s="439"/>
      <c r="D56" s="439"/>
      <c r="E56" s="43"/>
      <c r="F56" s="43"/>
      <c r="G56" s="73"/>
      <c r="H56" s="293"/>
      <c r="I56" s="59"/>
    </row>
    <row r="57" spans="1:18" x14ac:dyDescent="0.2">
      <c r="A57" s="59"/>
      <c r="B57" s="439"/>
      <c r="C57" s="439"/>
      <c r="D57" s="439"/>
      <c r="E57" s="43"/>
      <c r="F57" s="43"/>
      <c r="G57" s="294" t="s">
        <v>54</v>
      </c>
      <c r="H57" s="295">
        <f>Offerteblad!K53</f>
        <v>0</v>
      </c>
      <c r="I57" s="59"/>
    </row>
    <row r="58" spans="1:18" x14ac:dyDescent="0.2">
      <c r="A58" s="59"/>
      <c r="B58" s="439"/>
      <c r="C58" s="439"/>
      <c r="D58" s="439"/>
      <c r="E58" s="43"/>
      <c r="F58" s="43"/>
      <c r="G58" s="294" t="str">
        <f>Offerteblad!J54</f>
        <v>0% korting</v>
      </c>
      <c r="H58" s="296">
        <f>Offerteblad!K54</f>
        <v>0</v>
      </c>
      <c r="I58" s="59"/>
    </row>
    <row r="59" spans="1:18" ht="6" customHeight="1" x14ac:dyDescent="0.2">
      <c r="A59" s="59"/>
      <c r="B59" s="439"/>
      <c r="C59" s="439"/>
      <c r="D59" s="439"/>
      <c r="E59" s="43"/>
      <c r="F59" s="43"/>
      <c r="G59" s="297"/>
      <c r="H59" s="298"/>
      <c r="I59" s="59"/>
    </row>
    <row r="60" spans="1:18" ht="18.75" customHeight="1" x14ac:dyDescent="0.25">
      <c r="A60" s="59"/>
      <c r="B60" s="473" t="s">
        <v>59</v>
      </c>
      <c r="C60" s="473"/>
      <c r="D60" s="473"/>
      <c r="E60" s="473"/>
      <c r="F60" s="299"/>
      <c r="G60" s="300" t="s">
        <v>29</v>
      </c>
      <c r="H60" s="301">
        <f>Offerteblad!K56</f>
        <v>0</v>
      </c>
      <c r="I60" s="59"/>
    </row>
    <row r="61" spans="1:18" ht="6" customHeight="1" x14ac:dyDescent="0.2">
      <c r="A61" s="59"/>
      <c r="B61" s="449" t="s">
        <v>55</v>
      </c>
      <c r="C61" s="449"/>
      <c r="D61" s="449"/>
      <c r="E61" s="449"/>
      <c r="F61" s="299"/>
      <c r="G61" s="294"/>
      <c r="H61" s="302"/>
      <c r="I61" s="59"/>
    </row>
    <row r="62" spans="1:18" ht="12.75" customHeight="1" x14ac:dyDescent="0.2">
      <c r="A62" s="59"/>
      <c r="B62" s="449"/>
      <c r="C62" s="449"/>
      <c r="D62" s="449"/>
      <c r="E62" s="449"/>
      <c r="F62" s="299"/>
      <c r="G62" s="294" t="str">
        <f>Offerteblad!J58</f>
        <v>Btw bedrag 21%</v>
      </c>
      <c r="H62" s="303">
        <f>Offerteblad!K58</f>
        <v>0</v>
      </c>
      <c r="I62" s="59"/>
    </row>
    <row r="63" spans="1:18" ht="12.75" customHeight="1" x14ac:dyDescent="0.2">
      <c r="A63" s="59"/>
      <c r="B63" s="449"/>
      <c r="C63" s="449"/>
      <c r="D63" s="449"/>
      <c r="E63" s="449"/>
      <c r="F63" s="299"/>
      <c r="G63" s="294" t="str">
        <f>Offerteblad!J59</f>
        <v/>
      </c>
      <c r="H63" s="259" t="str">
        <f>Offerteblad!K59</f>
        <v/>
      </c>
      <c r="I63" s="59"/>
      <c r="J63" s="304" t="str">
        <f>IF(H63="","",("Btw regeling bouw"))</f>
        <v/>
      </c>
    </row>
    <row r="64" spans="1:18" s="72" customFormat="1" ht="6" customHeight="1" x14ac:dyDescent="0.2">
      <c r="A64" s="212"/>
      <c r="B64" s="449"/>
      <c r="C64" s="449"/>
      <c r="D64" s="449"/>
      <c r="E64" s="449"/>
      <c r="F64" s="299"/>
      <c r="G64" s="126"/>
      <c r="H64" s="298"/>
      <c r="I64" s="212"/>
      <c r="M64" s="60"/>
      <c r="N64" s="60"/>
      <c r="O64" s="60"/>
      <c r="P64" s="60"/>
      <c r="Q64" s="60"/>
      <c r="R64" s="60"/>
    </row>
    <row r="65" spans="1:9" ht="18.75" customHeight="1" x14ac:dyDescent="0.25">
      <c r="A65" s="59"/>
      <c r="B65" s="449"/>
      <c r="C65" s="449"/>
      <c r="D65" s="449"/>
      <c r="E65" s="449"/>
      <c r="F65" s="299"/>
      <c r="G65" s="300" t="s">
        <v>32</v>
      </c>
      <c r="H65" s="301">
        <f>Offerteblad!K61</f>
        <v>0</v>
      </c>
      <c r="I65" s="59"/>
    </row>
    <row r="66" spans="1:9" ht="7.5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</row>
    <row r="68" spans="1:9" x14ac:dyDescent="0.2">
      <c r="B68" s="379" t="str">
        <f>'© Copyright'!A1</f>
        <v>© 2004 - 2019 Glasdiscount.nl</v>
      </c>
      <c r="C68" s="379"/>
      <c r="D68" s="379"/>
      <c r="E68" s="379"/>
      <c r="F68" s="379"/>
      <c r="G68" s="379"/>
      <c r="H68" s="379"/>
    </row>
    <row r="69" spans="1:9" x14ac:dyDescent="0.2">
      <c r="B69" s="379" t="str">
        <f>'© Copyright'!A3</f>
        <v>Deze spreadsheet is eigendom van Glasdiscount.nl en mag uitsluitend gebruikt worden door (potentiële) relaties en klanten van Glasdiscount.nl</v>
      </c>
      <c r="C69" s="379"/>
      <c r="D69" s="379"/>
      <c r="E69" s="379"/>
      <c r="F69" s="379"/>
      <c r="G69" s="379"/>
      <c r="H69" s="379"/>
    </row>
    <row r="70" spans="1:9" x14ac:dyDescent="0.2">
      <c r="B70" s="379" t="str">
        <f>'© Copyright'!A4</f>
        <v>Op geen enkele wijze mag dit programma gekopieerd of hergebruikt worden tenzij schriftelijke toestemming is verleend door Glasdiscount.nl</v>
      </c>
      <c r="C70" s="379"/>
      <c r="D70" s="379"/>
      <c r="E70" s="379"/>
      <c r="F70" s="379"/>
      <c r="G70" s="379"/>
      <c r="H70" s="379"/>
    </row>
  </sheetData>
  <sheetProtection algorithmName="SHA-512" hashValue="E0U+po76HaZD0iafdzCdW+dvVKzOCGFufBNp0z53CmlDH8T0X8EmcMsI7jURtvVVuY8SgvGaphiQmKX263NQNg==" saltValue="ZpUBtPM7rJDFiOL4QOqKgQ==" spinCount="100000" sheet="1" objects="1" scenarios="1" selectLockedCells="1"/>
  <mergeCells count="57"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B69:H69"/>
    <mergeCell ref="B70:H70"/>
    <mergeCell ref="B8:D8"/>
    <mergeCell ref="B18:D18"/>
    <mergeCell ref="B10:D10"/>
    <mergeCell ref="B11:D11"/>
    <mergeCell ref="B13:D13"/>
    <mergeCell ref="B15:D15"/>
    <mergeCell ref="B14:C14"/>
    <mergeCell ref="B20:D20"/>
    <mergeCell ref="C53:G53"/>
    <mergeCell ref="C54:G54"/>
    <mergeCell ref="B55:C55"/>
    <mergeCell ref="B61:E65"/>
    <mergeCell ref="B68:H68"/>
    <mergeCell ref="C28:D28"/>
    <mergeCell ref="B56:D59"/>
    <mergeCell ref="B60:E60"/>
    <mergeCell ref="B23:B24"/>
    <mergeCell ref="C49:G49"/>
    <mergeCell ref="C50:G50"/>
    <mergeCell ref="C51:G51"/>
    <mergeCell ref="C52:G52"/>
    <mergeCell ref="C23:D24"/>
    <mergeCell ref="C25:D25"/>
    <mergeCell ref="C26:D26"/>
    <mergeCell ref="C27:D27"/>
    <mergeCell ref="C33:D33"/>
    <mergeCell ref="C29:D29"/>
    <mergeCell ref="C30:D30"/>
    <mergeCell ref="C31:D31"/>
    <mergeCell ref="C32:D32"/>
    <mergeCell ref="E15:H15"/>
    <mergeCell ref="E18:H18"/>
    <mergeCell ref="F20:G20"/>
    <mergeCell ref="E11:H11"/>
    <mergeCell ref="F12:H12"/>
    <mergeCell ref="E13:H13"/>
    <mergeCell ref="E14:H14"/>
    <mergeCell ref="B2:H2"/>
    <mergeCell ref="E8:H8"/>
    <mergeCell ref="E10:H10"/>
    <mergeCell ref="G4:H5"/>
    <mergeCell ref="E4:F4"/>
    <mergeCell ref="C5:D5"/>
  </mergeCells>
  <conditionalFormatting sqref="H63">
    <cfRule type="expression" dxfId="0" priority="1">
      <formula>$H$63*1&gt;0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zoomScaleNormal="100" workbookViewId="0">
      <selection activeCell="B20" sqref="B20:D20"/>
    </sheetView>
  </sheetViews>
  <sheetFormatPr defaultRowHeight="12.75" x14ac:dyDescent="0.2"/>
  <cols>
    <col min="1" max="1" width="1.42578125" style="3" customWidth="1"/>
    <col min="2" max="2" width="10.7109375" style="3" customWidth="1"/>
    <col min="3" max="3" width="19.28515625" style="3" customWidth="1"/>
    <col min="4" max="4" width="16.7109375" style="3" customWidth="1"/>
    <col min="5" max="6" width="10.7109375" style="3" customWidth="1"/>
    <col min="7" max="7" width="13.28515625" style="3" customWidth="1"/>
    <col min="8" max="8" width="19.42578125" style="3" customWidth="1"/>
    <col min="9" max="9" width="1.42578125" style="3" customWidth="1"/>
    <col min="10" max="16384" width="9.140625" style="3"/>
  </cols>
  <sheetData>
    <row r="1" spans="1:9" ht="7.5" customHeight="1" x14ac:dyDescent="0.2">
      <c r="A1" s="10"/>
      <c r="B1" s="10"/>
      <c r="C1" s="10"/>
      <c r="D1" s="10"/>
      <c r="E1" s="10"/>
      <c r="F1" s="10"/>
      <c r="G1" s="10"/>
      <c r="H1" s="10"/>
      <c r="I1" s="10"/>
    </row>
    <row r="2" spans="1:9" ht="60" customHeight="1" x14ac:dyDescent="0.2">
      <c r="A2" s="10"/>
      <c r="B2" s="422" t="s">
        <v>0</v>
      </c>
      <c r="C2" s="422"/>
      <c r="D2" s="422"/>
      <c r="E2" s="422"/>
      <c r="F2" s="422"/>
      <c r="G2" s="422"/>
      <c r="H2" s="422"/>
      <c r="I2" s="10"/>
    </row>
    <row r="3" spans="1:9" ht="6" customHeight="1" x14ac:dyDescent="0.2">
      <c r="A3" s="10"/>
      <c r="B3" s="20"/>
      <c r="C3" s="21"/>
      <c r="D3" s="63"/>
      <c r="E3" s="63"/>
      <c r="F3" s="21"/>
      <c r="G3" s="21"/>
      <c r="H3" s="21"/>
      <c r="I3" s="10"/>
    </row>
    <row r="4" spans="1:9" ht="12.75" customHeight="1" x14ac:dyDescent="0.2">
      <c r="A4" s="10"/>
      <c r="B4" s="199" t="s">
        <v>1</v>
      </c>
      <c r="C4" s="146">
        <f ca="1">TODAY()</f>
        <v>41814</v>
      </c>
      <c r="D4" s="203"/>
      <c r="E4" s="203"/>
      <c r="F4" s="440" t="s">
        <v>60</v>
      </c>
      <c r="G4" s="440"/>
      <c r="H4" s="440"/>
      <c r="I4" s="10"/>
    </row>
    <row r="5" spans="1:9" ht="12.75" customHeight="1" x14ac:dyDescent="0.2">
      <c r="A5" s="10"/>
      <c r="B5" s="199" t="s">
        <v>3</v>
      </c>
      <c r="C5" s="471" t="str">
        <f>Offerteblad!C5</f>
        <v>……</v>
      </c>
      <c r="D5" s="471"/>
      <c r="E5" s="37"/>
      <c r="F5" s="440"/>
      <c r="G5" s="440"/>
      <c r="H5" s="440"/>
      <c r="I5" s="10"/>
    </row>
    <row r="6" spans="1:9" ht="6" customHeight="1" x14ac:dyDescent="0.2">
      <c r="A6" s="10"/>
      <c r="B6" s="22"/>
      <c r="C6" s="23"/>
      <c r="D6" s="69"/>
      <c r="E6" s="69"/>
      <c r="F6" s="24"/>
      <c r="G6" s="24"/>
      <c r="H6" s="24"/>
      <c r="I6" s="10"/>
    </row>
    <row r="7" spans="1:9" ht="6" customHeight="1" x14ac:dyDescent="0.2">
      <c r="A7" s="10"/>
      <c r="I7" s="10"/>
    </row>
    <row r="8" spans="1:9" ht="18" customHeight="1" x14ac:dyDescent="0.2">
      <c r="A8" s="10"/>
      <c r="B8" s="411" t="s">
        <v>34</v>
      </c>
      <c r="C8" s="412"/>
      <c r="D8" s="413"/>
      <c r="E8" s="411" t="str">
        <f>Offerteblad!G65</f>
        <v>Afleveradres</v>
      </c>
      <c r="F8" s="412"/>
      <c r="G8" s="412"/>
      <c r="H8" s="413"/>
      <c r="I8" s="10"/>
    </row>
    <row r="9" spans="1:9" ht="6" customHeight="1" x14ac:dyDescent="0.2">
      <c r="A9" s="10"/>
      <c r="B9" s="240"/>
      <c r="C9" s="241"/>
      <c r="D9" s="241"/>
      <c r="E9" s="241"/>
      <c r="F9" s="241"/>
      <c r="G9" s="241"/>
      <c r="H9" s="245"/>
      <c r="I9" s="10"/>
    </row>
    <row r="10" spans="1:9" x14ac:dyDescent="0.2">
      <c r="A10" s="10"/>
      <c r="B10" s="427" t="str">
        <f>IF(Offerteblad!C67="","",Offerteblad!C67)</f>
        <v/>
      </c>
      <c r="C10" s="416"/>
      <c r="D10" s="416"/>
      <c r="E10" s="414" t="str">
        <f>IF(Offerteblad!I67="","",Offerteblad!I67)</f>
        <v/>
      </c>
      <c r="F10" s="414"/>
      <c r="G10" s="414"/>
      <c r="H10" s="415"/>
      <c r="I10" s="10"/>
    </row>
    <row r="11" spans="1:9" x14ac:dyDescent="0.2">
      <c r="A11" s="10"/>
      <c r="B11" s="427" t="str">
        <f>IF(Offerteblad!C68="","",Offerteblad!C68)</f>
        <v/>
      </c>
      <c r="C11" s="416"/>
      <c r="D11" s="416"/>
      <c r="E11" s="414" t="str">
        <f>IF(Offerteblad!I68="","",Offerteblad!I68)</f>
        <v/>
      </c>
      <c r="F11" s="414"/>
      <c r="G11" s="414"/>
      <c r="H11" s="415"/>
      <c r="I11" s="10"/>
    </row>
    <row r="12" spans="1:9" x14ac:dyDescent="0.2">
      <c r="A12" s="10"/>
      <c r="B12" s="200" t="str">
        <f>IF(Offerteblad!C69="","",Offerteblad!C69)</f>
        <v/>
      </c>
      <c r="C12" s="204" t="str">
        <f>IF(Offerteblad!C70="","",Offerteblad!C70)</f>
        <v/>
      </c>
      <c r="D12" s="204"/>
      <c r="E12" s="201" t="str">
        <f>IF(Offerteblad!I69="","",Offerteblad!I69)</f>
        <v/>
      </c>
      <c r="F12" s="442" t="str">
        <f>IF(Offerteblad!I70="","",Offerteblad!I70)</f>
        <v/>
      </c>
      <c r="G12" s="442"/>
      <c r="H12" s="443"/>
      <c r="I12" s="10"/>
    </row>
    <row r="13" spans="1:9" x14ac:dyDescent="0.2">
      <c r="A13" s="10"/>
      <c r="B13" s="427" t="str">
        <f>IF(Offerteblad!C71="&lt;selecteer&gt;","",Offerteblad!C71)</f>
        <v/>
      </c>
      <c r="C13" s="416"/>
      <c r="D13" s="416"/>
      <c r="E13" s="416" t="str">
        <f>IF(Offerteblad!I71="&lt;selecteer&gt;","",Offerteblad!I71)</f>
        <v/>
      </c>
      <c r="F13" s="416"/>
      <c r="G13" s="416"/>
      <c r="H13" s="417"/>
      <c r="I13" s="10"/>
    </row>
    <row r="14" spans="1:9" x14ac:dyDescent="0.2">
      <c r="A14" s="10"/>
      <c r="B14" s="427" t="str">
        <f>IF(Offerteblad!C72="","",Offerteblad!C72)</f>
        <v/>
      </c>
      <c r="C14" s="416"/>
      <c r="D14" s="204" t="str">
        <f>IF(Offerteblad!C73="","",Offerteblad!C73)</f>
        <v/>
      </c>
      <c r="E14" s="416" t="str">
        <f>IF(Offerteblad!I72="","",Offerteblad!I72)</f>
        <v/>
      </c>
      <c r="F14" s="416"/>
      <c r="G14" s="416"/>
      <c r="H14" s="417"/>
      <c r="I14" s="10"/>
    </row>
    <row r="15" spans="1:9" x14ac:dyDescent="0.2">
      <c r="A15" s="10"/>
      <c r="B15" s="427" t="str">
        <f>IF(Offerteblad!C74="","",Offerteblad!C74)</f>
        <v/>
      </c>
      <c r="C15" s="416"/>
      <c r="D15" s="416"/>
      <c r="E15" s="416"/>
      <c r="F15" s="416"/>
      <c r="G15" s="416"/>
      <c r="H15" s="417"/>
      <c r="I15" s="10"/>
    </row>
    <row r="16" spans="1:9" ht="6" customHeight="1" x14ac:dyDescent="0.2">
      <c r="A16" s="10"/>
      <c r="B16" s="242"/>
      <c r="C16" s="243"/>
      <c r="D16" s="243"/>
      <c r="E16" s="243"/>
      <c r="F16" s="243"/>
      <c r="G16" s="243"/>
      <c r="H16" s="246"/>
      <c r="I16" s="10"/>
    </row>
    <row r="17" spans="1:9" ht="6" customHeight="1" x14ac:dyDescent="0.2">
      <c r="A17" s="10"/>
      <c r="I17" s="10"/>
    </row>
    <row r="18" spans="1:9" ht="18" customHeight="1" x14ac:dyDescent="0.2">
      <c r="A18" s="10"/>
      <c r="B18" s="411" t="s">
        <v>143</v>
      </c>
      <c r="C18" s="412"/>
      <c r="D18" s="413"/>
      <c r="E18" s="411" t="s">
        <v>141</v>
      </c>
      <c r="F18" s="412"/>
      <c r="G18" s="412"/>
      <c r="H18" s="413"/>
      <c r="I18" s="10"/>
    </row>
    <row r="19" spans="1:9" ht="7.5" customHeight="1" x14ac:dyDescent="0.2">
      <c r="A19" s="10"/>
      <c r="B19" s="240"/>
      <c r="C19" s="241"/>
      <c r="D19" s="241"/>
      <c r="E19" s="241"/>
      <c r="F19" s="241"/>
      <c r="G19" s="241"/>
      <c r="H19" s="245"/>
      <c r="I19" s="10"/>
    </row>
    <row r="20" spans="1:9" x14ac:dyDescent="0.2">
      <c r="A20" s="10"/>
      <c r="B20" s="428" t="s">
        <v>61</v>
      </c>
      <c r="C20" s="429"/>
      <c r="D20" s="429"/>
      <c r="E20" s="315" t="str">
        <f>IF(Offerteblad!C79="&lt;selecteer&gt;","",Offerteblad!C79)</f>
        <v>Bezorgen</v>
      </c>
      <c r="F20" s="485" t="str">
        <f>IF(Offerteblad!D79="&lt;kies locatie&gt;","",Offerteblad!D79)</f>
        <v/>
      </c>
      <c r="G20" s="485"/>
      <c r="H20" s="486"/>
      <c r="I20" s="10"/>
    </row>
    <row r="21" spans="1:9" ht="7.5" customHeight="1" x14ac:dyDescent="0.2">
      <c r="A21" s="10"/>
      <c r="B21" s="242"/>
      <c r="C21" s="243"/>
      <c r="D21" s="243"/>
      <c r="E21" s="243"/>
      <c r="F21" s="243"/>
      <c r="G21" s="243"/>
      <c r="H21" s="246"/>
      <c r="I21" s="10"/>
    </row>
    <row r="22" spans="1:9" ht="12" customHeight="1" x14ac:dyDescent="0.2">
      <c r="A22" s="10"/>
      <c r="I22" s="10"/>
    </row>
    <row r="23" spans="1:9" x14ac:dyDescent="0.2">
      <c r="A23" s="10"/>
      <c r="B23" s="423" t="s">
        <v>7</v>
      </c>
      <c r="C23" s="430" t="s">
        <v>158</v>
      </c>
      <c r="D23" s="431"/>
      <c r="E23" s="25" t="s">
        <v>8</v>
      </c>
      <c r="F23" s="40" t="s">
        <v>9</v>
      </c>
      <c r="G23" s="476" t="s">
        <v>62</v>
      </c>
      <c r="H23" s="477"/>
      <c r="I23" s="10"/>
    </row>
    <row r="24" spans="1:9" x14ac:dyDescent="0.2">
      <c r="A24" s="10"/>
      <c r="B24" s="424"/>
      <c r="C24" s="432"/>
      <c r="D24" s="433"/>
      <c r="E24" s="26" t="s">
        <v>13</v>
      </c>
      <c r="F24" s="39" t="s">
        <v>13</v>
      </c>
      <c r="G24" s="478"/>
      <c r="H24" s="479"/>
      <c r="I24" s="10"/>
    </row>
    <row r="25" spans="1:9" ht="6" customHeight="1" x14ac:dyDescent="0.2">
      <c r="A25" s="10"/>
      <c r="B25" s="12"/>
      <c r="C25" s="434"/>
      <c r="D25" s="435"/>
      <c r="E25" s="13"/>
      <c r="F25" s="41"/>
      <c r="G25" s="480"/>
      <c r="H25" s="481"/>
      <c r="I25" s="10"/>
    </row>
    <row r="26" spans="1:9" x14ac:dyDescent="0.2">
      <c r="A26" s="10"/>
      <c r="B26" s="247" t="str">
        <f>IF(Offerteblad!F16=0,"",Offerteblad!F16)</f>
        <v/>
      </c>
      <c r="C26" s="418" t="str">
        <f>IF(Offerteblad!B16="  &lt;selecteer&gt;","",Offerteblad!B16)</f>
        <v/>
      </c>
      <c r="D26" s="419"/>
      <c r="E26" s="249" t="str">
        <f>IF(Offerteblad!G16= 0, "",Offerteblad!G16)</f>
        <v/>
      </c>
      <c r="F26" s="307" t="str">
        <f>IF(Offerteblad!H16= 0, "",Offerteblad!H16)</f>
        <v/>
      </c>
      <c r="G26" s="474"/>
      <c r="H26" s="475"/>
      <c r="I26" s="10"/>
    </row>
    <row r="27" spans="1:9" x14ac:dyDescent="0.2">
      <c r="A27" s="10"/>
      <c r="B27" s="247" t="str">
        <f>IF(Offerteblad!F17=0,"",Offerteblad!F17)</f>
        <v/>
      </c>
      <c r="C27" s="418" t="str">
        <f>IF(Offerteblad!B17="  &lt;selecteer&gt;","",Offerteblad!B17)</f>
        <v/>
      </c>
      <c r="D27" s="419"/>
      <c r="E27" s="249" t="str">
        <f>IF(Offerteblad!G17= 0, "",Offerteblad!G17)</f>
        <v/>
      </c>
      <c r="F27" s="307" t="str">
        <f>IF(Offerteblad!H17= 0, "",Offerteblad!H17)</f>
        <v/>
      </c>
      <c r="G27" s="474"/>
      <c r="H27" s="475"/>
      <c r="I27" s="10"/>
    </row>
    <row r="28" spans="1:9" x14ac:dyDescent="0.2">
      <c r="A28" s="10"/>
      <c r="B28" s="247" t="str">
        <f>IF(Offerteblad!F18=0,"",Offerteblad!F18)</f>
        <v/>
      </c>
      <c r="C28" s="418" t="str">
        <f>IF(Offerteblad!B18="  &lt;selecteer&gt;","",Offerteblad!B18)</f>
        <v/>
      </c>
      <c r="D28" s="419"/>
      <c r="E28" s="249" t="str">
        <f>IF(Offerteblad!G18= 0, "",Offerteblad!G18)</f>
        <v/>
      </c>
      <c r="F28" s="307" t="str">
        <f>IF(Offerteblad!H18= 0, "",Offerteblad!H18)</f>
        <v/>
      </c>
      <c r="G28" s="474"/>
      <c r="H28" s="475"/>
      <c r="I28" s="10"/>
    </row>
    <row r="29" spans="1:9" x14ac:dyDescent="0.2">
      <c r="A29" s="10"/>
      <c r="B29" s="247" t="str">
        <f>IF(Offerteblad!F19=0,"",Offerteblad!F19)</f>
        <v/>
      </c>
      <c r="C29" s="418" t="str">
        <f>IF(Offerteblad!B19="  &lt;selecteer&gt;","",Offerteblad!B19)</f>
        <v/>
      </c>
      <c r="D29" s="419"/>
      <c r="E29" s="249" t="str">
        <f>IF(Offerteblad!G19= 0, "",Offerteblad!G19)</f>
        <v/>
      </c>
      <c r="F29" s="307" t="str">
        <f>IF(Offerteblad!H19= 0, "",Offerteblad!H19)</f>
        <v/>
      </c>
      <c r="G29" s="474"/>
      <c r="H29" s="475"/>
      <c r="I29" s="10"/>
    </row>
    <row r="30" spans="1:9" x14ac:dyDescent="0.2">
      <c r="A30" s="10"/>
      <c r="B30" s="247" t="str">
        <f>IF(Offerteblad!F20=0,"",Offerteblad!F20)</f>
        <v/>
      </c>
      <c r="C30" s="418" t="str">
        <f>IF(Offerteblad!B20="  &lt;selecteer&gt;","",Offerteblad!B20)</f>
        <v/>
      </c>
      <c r="D30" s="419"/>
      <c r="E30" s="249" t="str">
        <f>IF(Offerteblad!G20= 0, "",Offerteblad!G20)</f>
        <v/>
      </c>
      <c r="F30" s="307" t="str">
        <f>IF(Offerteblad!H20= 0, "",Offerteblad!H20)</f>
        <v/>
      </c>
      <c r="G30" s="474"/>
      <c r="H30" s="475"/>
      <c r="I30" s="10"/>
    </row>
    <row r="31" spans="1:9" x14ac:dyDescent="0.2">
      <c r="A31" s="10"/>
      <c r="B31" s="247" t="str">
        <f>IF(Offerteblad!F21=0,"",Offerteblad!F21)</f>
        <v/>
      </c>
      <c r="C31" s="418" t="str">
        <f>IF(Offerteblad!B21="  &lt;selecteer&gt;","",Offerteblad!B21)</f>
        <v/>
      </c>
      <c r="D31" s="419"/>
      <c r="E31" s="249" t="str">
        <f>IF(Offerteblad!G21= 0, "",Offerteblad!G21)</f>
        <v/>
      </c>
      <c r="F31" s="307" t="str">
        <f>IF(Offerteblad!H21= 0, "",Offerteblad!H21)</f>
        <v/>
      </c>
      <c r="G31" s="474"/>
      <c r="H31" s="475"/>
      <c r="I31" s="10"/>
    </row>
    <row r="32" spans="1:9" x14ac:dyDescent="0.2">
      <c r="A32" s="10"/>
      <c r="B32" s="247" t="str">
        <f>IF(Offerteblad!F22=0,"",Offerteblad!F22)</f>
        <v/>
      </c>
      <c r="C32" s="418" t="str">
        <f>IF(Offerteblad!B22="  &lt;selecteer&gt;","",Offerteblad!B22)</f>
        <v/>
      </c>
      <c r="D32" s="419"/>
      <c r="E32" s="249" t="str">
        <f>IF(Offerteblad!G22= 0, "",Offerteblad!G22)</f>
        <v/>
      </c>
      <c r="F32" s="307" t="str">
        <f>IF(Offerteblad!H22= 0, "",Offerteblad!H22)</f>
        <v/>
      </c>
      <c r="G32" s="474"/>
      <c r="H32" s="475"/>
      <c r="I32" s="10"/>
    </row>
    <row r="33" spans="1:9" x14ac:dyDescent="0.2">
      <c r="A33" s="10"/>
      <c r="B33" s="247" t="str">
        <f>IF(Offerteblad!F23=0,"",Offerteblad!F23)</f>
        <v/>
      </c>
      <c r="C33" s="418" t="str">
        <f>IF(Offerteblad!B23="  &lt;selecteer&gt;","",Offerteblad!B23)</f>
        <v/>
      </c>
      <c r="D33" s="419"/>
      <c r="E33" s="249" t="str">
        <f>IF(Offerteblad!G23= 0, "",Offerteblad!G23)</f>
        <v/>
      </c>
      <c r="F33" s="307" t="str">
        <f>IF(Offerteblad!H23= 0, "",Offerteblad!H23)</f>
        <v/>
      </c>
      <c r="G33" s="474"/>
      <c r="H33" s="475"/>
      <c r="I33" s="10"/>
    </row>
    <row r="34" spans="1:9" x14ac:dyDescent="0.2">
      <c r="A34" s="10"/>
      <c r="B34" s="247" t="str">
        <f>IF(Offerteblad!F24=0,"",Offerteblad!F24)</f>
        <v/>
      </c>
      <c r="C34" s="418" t="str">
        <f>IF(Offerteblad!B24="  &lt;selecteer&gt;","",Offerteblad!B24)</f>
        <v/>
      </c>
      <c r="D34" s="419"/>
      <c r="E34" s="249" t="str">
        <f>IF(Offerteblad!G24= 0, "",Offerteblad!G24)</f>
        <v/>
      </c>
      <c r="F34" s="307" t="str">
        <f>IF(Offerteblad!H24= 0, "",Offerteblad!H24)</f>
        <v/>
      </c>
      <c r="G34" s="474"/>
      <c r="H34" s="475"/>
      <c r="I34" s="10"/>
    </row>
    <row r="35" spans="1:9" x14ac:dyDescent="0.2">
      <c r="A35" s="10"/>
      <c r="B35" s="247" t="str">
        <f>IF(Offerteblad!F25=0,"",Offerteblad!F25)</f>
        <v/>
      </c>
      <c r="C35" s="418" t="str">
        <f>IF(Offerteblad!B25="  &lt;selecteer&gt;","",Offerteblad!B25)</f>
        <v/>
      </c>
      <c r="D35" s="419"/>
      <c r="E35" s="249" t="str">
        <f>IF(Offerteblad!G25= 0, "",Offerteblad!G25)</f>
        <v/>
      </c>
      <c r="F35" s="307" t="str">
        <f>IF(Offerteblad!H25= 0, "",Offerteblad!H25)</f>
        <v/>
      </c>
      <c r="G35" s="474"/>
      <c r="H35" s="475"/>
      <c r="I35" s="10"/>
    </row>
    <row r="36" spans="1:9" x14ac:dyDescent="0.2">
      <c r="A36" s="10"/>
      <c r="B36" s="247" t="str">
        <f>IF(Offerteblad!F26=0,"",Offerteblad!F26)</f>
        <v/>
      </c>
      <c r="C36" s="418" t="str">
        <f>IF(Offerteblad!B26="  &lt;selecteer&gt;","",Offerteblad!B26)</f>
        <v/>
      </c>
      <c r="D36" s="419"/>
      <c r="E36" s="249" t="str">
        <f>IF(Offerteblad!G26= 0, "",Offerteblad!G26)</f>
        <v/>
      </c>
      <c r="F36" s="307" t="str">
        <f>IF(Offerteblad!H26= 0, "",Offerteblad!H26)</f>
        <v/>
      </c>
      <c r="G36" s="474"/>
      <c r="H36" s="475"/>
      <c r="I36" s="10"/>
    </row>
    <row r="37" spans="1:9" x14ac:dyDescent="0.2">
      <c r="A37" s="10"/>
      <c r="B37" s="247" t="str">
        <f>IF(Offerteblad!F27=0,"",Offerteblad!F27)</f>
        <v/>
      </c>
      <c r="C37" s="418" t="str">
        <f>IF(Offerteblad!B27="  &lt;selecteer&gt;","",Offerteblad!B27)</f>
        <v/>
      </c>
      <c r="D37" s="419"/>
      <c r="E37" s="249" t="str">
        <f>IF(Offerteblad!G27= 0, "",Offerteblad!G27)</f>
        <v/>
      </c>
      <c r="F37" s="307" t="str">
        <f>IF(Offerteblad!H27= 0, "",Offerteblad!H27)</f>
        <v/>
      </c>
      <c r="G37" s="474"/>
      <c r="H37" s="475"/>
      <c r="I37" s="10"/>
    </row>
    <row r="38" spans="1:9" x14ac:dyDescent="0.2">
      <c r="A38" s="10"/>
      <c r="B38" s="247" t="str">
        <f>IF(Offerteblad!F28=0,"",Offerteblad!F28)</f>
        <v/>
      </c>
      <c r="C38" s="418" t="str">
        <f>IF(Offerteblad!B28="  &lt;selecteer&gt;","",Offerteblad!B28)</f>
        <v/>
      </c>
      <c r="D38" s="419"/>
      <c r="E38" s="249" t="str">
        <f>IF(Offerteblad!G28= 0, "",Offerteblad!G28)</f>
        <v/>
      </c>
      <c r="F38" s="307" t="str">
        <f>IF(Offerteblad!H28= 0, "",Offerteblad!H28)</f>
        <v/>
      </c>
      <c r="G38" s="474"/>
      <c r="H38" s="475"/>
      <c r="I38" s="10"/>
    </row>
    <row r="39" spans="1:9" x14ac:dyDescent="0.2">
      <c r="A39" s="10"/>
      <c r="B39" s="247" t="str">
        <f>IF(Offerteblad!F29=0,"",Offerteblad!F29)</f>
        <v/>
      </c>
      <c r="C39" s="418" t="str">
        <f>IF(Offerteblad!B29="  &lt;selecteer&gt;","",Offerteblad!B29)</f>
        <v/>
      </c>
      <c r="D39" s="419"/>
      <c r="E39" s="249" t="str">
        <f>IF(Offerteblad!G29= 0, "",Offerteblad!G29)</f>
        <v/>
      </c>
      <c r="F39" s="307" t="str">
        <f>IF(Offerteblad!H29= 0, "",Offerteblad!H29)</f>
        <v/>
      </c>
      <c r="G39" s="474"/>
      <c r="H39" s="475"/>
      <c r="I39" s="10"/>
    </row>
    <row r="40" spans="1:9" x14ac:dyDescent="0.2">
      <c r="A40" s="10"/>
      <c r="B40" s="247" t="str">
        <f>IF(Offerteblad!F30=0,"",Offerteblad!F30)</f>
        <v/>
      </c>
      <c r="C40" s="418" t="str">
        <f>IF(Offerteblad!B30="  &lt;selecteer&gt;","",Offerteblad!B30)</f>
        <v/>
      </c>
      <c r="D40" s="419"/>
      <c r="E40" s="249" t="str">
        <f>IF(Offerteblad!G30= 0, "",Offerteblad!G30)</f>
        <v/>
      </c>
      <c r="F40" s="307" t="str">
        <f>IF(Offerteblad!H30= 0, "",Offerteblad!H30)</f>
        <v/>
      </c>
      <c r="G40" s="474"/>
      <c r="H40" s="475"/>
      <c r="I40" s="10"/>
    </row>
    <row r="41" spans="1:9" x14ac:dyDescent="0.2">
      <c r="A41" s="10"/>
      <c r="B41" s="247" t="str">
        <f>IF(Offerteblad!F31=0,"",Offerteblad!F31)</f>
        <v/>
      </c>
      <c r="C41" s="418" t="str">
        <f>IF(Offerteblad!B31="  &lt;selecteer&gt;","",Offerteblad!B31)</f>
        <v/>
      </c>
      <c r="D41" s="419"/>
      <c r="E41" s="249" t="str">
        <f>IF(Offerteblad!G31= 0, "",Offerteblad!G31)</f>
        <v/>
      </c>
      <c r="F41" s="307" t="str">
        <f>IF(Offerteblad!H31= 0, "",Offerteblad!H31)</f>
        <v/>
      </c>
      <c r="G41" s="474"/>
      <c r="H41" s="475"/>
      <c r="I41" s="10"/>
    </row>
    <row r="42" spans="1:9" x14ac:dyDescent="0.2">
      <c r="A42" s="10"/>
      <c r="B42" s="247" t="str">
        <f>IF(Offerteblad!F32=0,"",Offerteblad!F32)</f>
        <v/>
      </c>
      <c r="C42" s="418" t="str">
        <f>IF(Offerteblad!B32="  &lt;selecteer&gt;","",Offerteblad!B32)</f>
        <v/>
      </c>
      <c r="D42" s="419"/>
      <c r="E42" s="249" t="str">
        <f>IF(Offerteblad!G32= 0, "",Offerteblad!G32)</f>
        <v/>
      </c>
      <c r="F42" s="307" t="str">
        <f>IF(Offerteblad!H32= 0, "",Offerteblad!H32)</f>
        <v/>
      </c>
      <c r="G42" s="474"/>
      <c r="H42" s="475"/>
      <c r="I42" s="10"/>
    </row>
    <row r="43" spans="1:9" x14ac:dyDescent="0.2">
      <c r="A43" s="10"/>
      <c r="B43" s="247" t="str">
        <f>IF(Offerteblad!F33=0,"",Offerteblad!F33)</f>
        <v/>
      </c>
      <c r="C43" s="418" t="str">
        <f>IF(Offerteblad!B33="  &lt;selecteer&gt;","",Offerteblad!B33)</f>
        <v/>
      </c>
      <c r="D43" s="419"/>
      <c r="E43" s="249" t="str">
        <f>IF(Offerteblad!G33= 0, "",Offerteblad!G33)</f>
        <v/>
      </c>
      <c r="F43" s="307" t="str">
        <f>IF(Offerteblad!H33= 0, "",Offerteblad!H33)</f>
        <v/>
      </c>
      <c r="G43" s="474"/>
      <c r="H43" s="475"/>
      <c r="I43" s="10"/>
    </row>
    <row r="44" spans="1:9" x14ac:dyDescent="0.2">
      <c r="A44" s="10"/>
      <c r="B44" s="247" t="str">
        <f>IF(Offerteblad!F34=0,"",Offerteblad!F34)</f>
        <v/>
      </c>
      <c r="C44" s="418" t="str">
        <f>IF(Offerteblad!B34="  &lt;selecteer&gt;","",Offerteblad!B34)</f>
        <v/>
      </c>
      <c r="D44" s="419"/>
      <c r="E44" s="249" t="str">
        <f>IF(Offerteblad!G34= 0, "",Offerteblad!G34)</f>
        <v/>
      </c>
      <c r="F44" s="307" t="str">
        <f>IF(Offerteblad!H34= 0, "",Offerteblad!H34)</f>
        <v/>
      </c>
      <c r="G44" s="474"/>
      <c r="H44" s="475"/>
      <c r="I44" s="10"/>
    </row>
    <row r="45" spans="1:9" ht="6" customHeight="1" x14ac:dyDescent="0.2">
      <c r="A45" s="10"/>
      <c r="B45" s="15"/>
      <c r="C45" s="437"/>
      <c r="D45" s="438"/>
      <c r="E45" s="202"/>
      <c r="F45" s="42"/>
      <c r="G45" s="487"/>
      <c r="H45" s="488"/>
      <c r="I45" s="10"/>
    </row>
    <row r="46" spans="1:9" ht="6" customHeight="1" x14ac:dyDescent="0.2">
      <c r="A46" s="10"/>
      <c r="B46" s="36"/>
      <c r="C46" s="306"/>
      <c r="D46" s="306"/>
      <c r="E46" s="306"/>
      <c r="F46" s="306"/>
      <c r="G46" s="306"/>
      <c r="H46" s="306"/>
      <c r="I46" s="10"/>
    </row>
    <row r="47" spans="1:9" ht="18.75" customHeight="1" x14ac:dyDescent="0.2">
      <c r="A47" s="10"/>
      <c r="B47" s="484" t="s">
        <v>63</v>
      </c>
      <c r="C47" s="484"/>
      <c r="D47" s="484"/>
      <c r="E47" s="484"/>
      <c r="F47" s="484"/>
      <c r="G47" s="484"/>
      <c r="H47" s="484"/>
      <c r="I47" s="10"/>
    </row>
    <row r="48" spans="1:9" ht="6" customHeight="1" x14ac:dyDescent="0.2">
      <c r="A48" s="10"/>
      <c r="B48" s="43"/>
      <c r="C48" s="43"/>
      <c r="D48" s="43"/>
      <c r="E48" s="43"/>
      <c r="F48" s="43"/>
      <c r="G48" s="43"/>
      <c r="H48" s="43"/>
      <c r="I48" s="10"/>
    </row>
    <row r="49" spans="1:9" x14ac:dyDescent="0.2">
      <c r="A49" s="10"/>
      <c r="B49" s="483" t="s">
        <v>4</v>
      </c>
      <c r="C49" s="483"/>
      <c r="D49" s="483"/>
      <c r="E49" s="483"/>
      <c r="F49" s="483"/>
      <c r="G49" s="483"/>
      <c r="H49" s="483"/>
      <c r="I49" s="10"/>
    </row>
    <row r="50" spans="1:9" x14ac:dyDescent="0.2">
      <c r="A50" s="10"/>
      <c r="B50" s="483"/>
      <c r="C50" s="483"/>
      <c r="D50" s="483"/>
      <c r="E50" s="483"/>
      <c r="F50" s="483"/>
      <c r="G50" s="483"/>
      <c r="H50" s="483"/>
      <c r="I50" s="10"/>
    </row>
    <row r="51" spans="1:9" x14ac:dyDescent="0.2">
      <c r="A51" s="10"/>
      <c r="B51" s="483"/>
      <c r="C51" s="483"/>
      <c r="D51" s="483"/>
      <c r="E51" s="483"/>
      <c r="F51" s="483"/>
      <c r="G51" s="483"/>
      <c r="H51" s="483"/>
      <c r="I51" s="10"/>
    </row>
    <row r="52" spans="1:9" x14ac:dyDescent="0.2">
      <c r="A52" s="10"/>
      <c r="B52" s="483"/>
      <c r="C52" s="483"/>
      <c r="D52" s="483"/>
      <c r="E52" s="483"/>
      <c r="F52" s="483"/>
      <c r="G52" s="483"/>
      <c r="H52" s="483"/>
      <c r="I52" s="10"/>
    </row>
    <row r="53" spans="1:9" x14ac:dyDescent="0.2">
      <c r="A53" s="10"/>
      <c r="B53" s="483"/>
      <c r="C53" s="483"/>
      <c r="D53" s="483"/>
      <c r="E53" s="483"/>
      <c r="F53" s="483"/>
      <c r="G53" s="483"/>
      <c r="H53" s="483"/>
      <c r="I53" s="10"/>
    </row>
    <row r="54" spans="1:9" x14ac:dyDescent="0.2">
      <c r="A54" s="10"/>
      <c r="B54" s="483"/>
      <c r="C54" s="483"/>
      <c r="D54" s="483"/>
      <c r="E54" s="483"/>
      <c r="F54" s="483"/>
      <c r="G54" s="483"/>
      <c r="H54" s="483"/>
      <c r="I54" s="10"/>
    </row>
    <row r="55" spans="1:9" x14ac:dyDescent="0.2">
      <c r="A55" s="10"/>
      <c r="B55" s="483"/>
      <c r="C55" s="483"/>
      <c r="D55" s="483"/>
      <c r="E55" s="483"/>
      <c r="F55" s="483"/>
      <c r="G55" s="483"/>
      <c r="H55" s="483"/>
      <c r="I55" s="10"/>
    </row>
    <row r="56" spans="1:9" x14ac:dyDescent="0.2">
      <c r="A56" s="10"/>
      <c r="B56" s="483"/>
      <c r="C56" s="483"/>
      <c r="D56" s="483"/>
      <c r="E56" s="483"/>
      <c r="F56" s="483"/>
      <c r="G56" s="483"/>
      <c r="H56" s="483"/>
      <c r="I56" s="10"/>
    </row>
    <row r="57" spans="1:9" x14ac:dyDescent="0.2">
      <c r="A57" s="10"/>
      <c r="B57" s="483"/>
      <c r="C57" s="483"/>
      <c r="D57" s="483"/>
      <c r="E57" s="483"/>
      <c r="F57" s="483"/>
      <c r="G57" s="483"/>
      <c r="H57" s="483"/>
      <c r="I57" s="10"/>
    </row>
    <row r="58" spans="1:9" x14ac:dyDescent="0.2">
      <c r="A58" s="10"/>
      <c r="B58" s="483"/>
      <c r="C58" s="483"/>
      <c r="D58" s="483"/>
      <c r="E58" s="483"/>
      <c r="F58" s="483"/>
      <c r="G58" s="483"/>
      <c r="H58" s="483"/>
      <c r="I58" s="10"/>
    </row>
    <row r="59" spans="1:9" ht="6" customHeight="1" x14ac:dyDescent="0.2">
      <c r="A59" s="10"/>
      <c r="B59" s="44"/>
      <c r="C59" s="44"/>
      <c r="D59" s="44"/>
      <c r="E59" s="44"/>
      <c r="F59" s="44"/>
      <c r="G59" s="44"/>
      <c r="H59" s="44"/>
      <c r="I59" s="10"/>
    </row>
    <row r="60" spans="1:9" ht="12.75" customHeight="1" x14ac:dyDescent="0.2">
      <c r="A60" s="10"/>
      <c r="B60" s="482" t="s">
        <v>160</v>
      </c>
      <c r="C60" s="482"/>
      <c r="D60" s="482"/>
      <c r="E60" s="482"/>
      <c r="F60" s="482"/>
      <c r="G60" s="482"/>
      <c r="H60" s="482"/>
      <c r="I60" s="10"/>
    </row>
    <row r="61" spans="1:9" ht="12.75" customHeight="1" x14ac:dyDescent="0.2">
      <c r="A61" s="10"/>
      <c r="B61" s="482"/>
      <c r="C61" s="482"/>
      <c r="D61" s="482"/>
      <c r="E61" s="482"/>
      <c r="F61" s="482"/>
      <c r="G61" s="482"/>
      <c r="H61" s="482"/>
      <c r="I61" s="10"/>
    </row>
    <row r="62" spans="1:9" s="5" customFormat="1" ht="12.75" customHeight="1" x14ac:dyDescent="0.2">
      <c r="A62" s="11"/>
      <c r="B62" s="482"/>
      <c r="C62" s="482"/>
      <c r="D62" s="482"/>
      <c r="E62" s="482"/>
      <c r="F62" s="482"/>
      <c r="G62" s="482"/>
      <c r="H62" s="482"/>
      <c r="I62" s="11"/>
    </row>
    <row r="63" spans="1:9" ht="12.75" customHeight="1" x14ac:dyDescent="0.2">
      <c r="A63" s="10"/>
      <c r="B63" s="482"/>
      <c r="C63" s="482"/>
      <c r="D63" s="482"/>
      <c r="E63" s="482"/>
      <c r="F63" s="482"/>
      <c r="G63" s="482"/>
      <c r="H63" s="482"/>
      <c r="I63" s="10"/>
    </row>
    <row r="64" spans="1:9" ht="7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</row>
    <row r="66" spans="2:8" x14ac:dyDescent="0.2">
      <c r="B66" s="420" t="str">
        <f>'© Copyright'!A1</f>
        <v>© 2004 - 2019 Glasdiscount.nl</v>
      </c>
      <c r="C66" s="420"/>
      <c r="D66" s="420"/>
      <c r="E66" s="420"/>
      <c r="F66" s="420"/>
      <c r="G66" s="420"/>
      <c r="H66" s="420"/>
    </row>
    <row r="67" spans="2:8" x14ac:dyDescent="0.2">
      <c r="B67" s="420" t="str">
        <f>'© Copyright'!A3</f>
        <v>Deze spreadsheet is eigendom van Glasdiscount.nl en mag uitsluitend gebruikt worden door (potentiële) relaties en klanten van Glasdiscount.nl</v>
      </c>
      <c r="C67" s="420"/>
      <c r="D67" s="420"/>
      <c r="E67" s="420"/>
      <c r="F67" s="420"/>
      <c r="G67" s="420"/>
      <c r="H67" s="420"/>
    </row>
    <row r="68" spans="2:8" x14ac:dyDescent="0.2">
      <c r="B68" s="420" t="str">
        <f>'© Copyright'!A4</f>
        <v>Op geen enkele wijze mag dit programma gekopieerd of hergebruikt worden tenzij schriftelijke toestemming is verleend door Glasdiscount.nl</v>
      </c>
      <c r="C68" s="420"/>
      <c r="D68" s="420"/>
      <c r="E68" s="420"/>
      <c r="F68" s="420"/>
      <c r="G68" s="420"/>
      <c r="H68" s="420"/>
    </row>
  </sheetData>
  <sheetProtection algorithmName="SHA-512" hashValue="HRn16kZHPQs+B6pFaS87HTibX9bQCKb84Jl+edSp+DSIMwjqzuECoKJeZnxsc0Iv99YXsWxCtSF4WYFmWbnP+A==" saltValue="Xu90oOfLAOlF8zVrAXJJkg==" spinCount="100000" sheet="1" objects="1" scenarios="1" selectLockedCells="1"/>
  <mergeCells count="71">
    <mergeCell ref="B60:H63"/>
    <mergeCell ref="B49:H58"/>
    <mergeCell ref="B47:H47"/>
    <mergeCell ref="F20:H20"/>
    <mergeCell ref="G45:H45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34:H34"/>
    <mergeCell ref="B66:H66"/>
    <mergeCell ref="B67:H67"/>
    <mergeCell ref="B68:H68"/>
    <mergeCell ref="G23:H24"/>
    <mergeCell ref="G25:H25"/>
    <mergeCell ref="G26:H26"/>
    <mergeCell ref="G27:H27"/>
    <mergeCell ref="G28:H28"/>
    <mergeCell ref="C41:D41"/>
    <mergeCell ref="C42:D42"/>
    <mergeCell ref="C43:D43"/>
    <mergeCell ref="C44:D44"/>
    <mergeCell ref="C45:D45"/>
    <mergeCell ref="G41:H41"/>
    <mergeCell ref="G42:H42"/>
    <mergeCell ref="G43:H43"/>
    <mergeCell ref="G44:H44"/>
    <mergeCell ref="C35:D35"/>
    <mergeCell ref="C36:D36"/>
    <mergeCell ref="C37:D37"/>
    <mergeCell ref="C38:D38"/>
    <mergeCell ref="C39:D39"/>
    <mergeCell ref="C40:D40"/>
    <mergeCell ref="C34:D34"/>
    <mergeCell ref="B23:B24"/>
    <mergeCell ref="C23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B15:D15"/>
    <mergeCell ref="E15:H15"/>
    <mergeCell ref="B18:D18"/>
    <mergeCell ref="E18:H18"/>
    <mergeCell ref="B20:D20"/>
    <mergeCell ref="B14:C14"/>
    <mergeCell ref="E14:H14"/>
    <mergeCell ref="B2:H2"/>
    <mergeCell ref="F4:H5"/>
    <mergeCell ref="B8:D8"/>
    <mergeCell ref="E8:H8"/>
    <mergeCell ref="B10:D10"/>
    <mergeCell ref="E10:H10"/>
    <mergeCell ref="B11:D11"/>
    <mergeCell ref="E11:H11"/>
    <mergeCell ref="F12:H12"/>
    <mergeCell ref="B13:D13"/>
    <mergeCell ref="E13:H13"/>
    <mergeCell ref="C5:D5"/>
  </mergeCells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/>
  </sheetViews>
  <sheetFormatPr defaultRowHeight="14.25" x14ac:dyDescent="0.2"/>
  <cols>
    <col min="1" max="16384" width="9.140625" style="2"/>
  </cols>
  <sheetData>
    <row r="1" spans="1:14" x14ac:dyDescent="0.2">
      <c r="A1" s="45" t="s">
        <v>139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45" t="s">
        <v>64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45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</sheetData>
  <sheetProtection algorithmName="SHA-512" hashValue="mxjfK30Edt3wPWjfFZE8ILadcNDkIPVnXHJl9m+5qaMkVh6y0qWUnwWthVynsUwi9zMiSIuoeLw08AMfQrIReg==" saltValue="xEukXgHF0+o+E4lPmdiWZg==" spinCount="100000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L177"/>
  <sheetViews>
    <sheetView workbookViewId="0"/>
  </sheetViews>
  <sheetFormatPr defaultRowHeight="12.75" x14ac:dyDescent="0.2"/>
  <cols>
    <col min="1" max="1" width="5.7109375" style="94" customWidth="1"/>
    <col min="2" max="2" width="41.42578125" style="94" customWidth="1"/>
    <col min="3" max="3" width="15" style="94" bestFit="1" customWidth="1"/>
    <col min="4" max="4" width="5.7109375" style="94" customWidth="1"/>
    <col min="5" max="5" width="17.7109375" style="94" bestFit="1" customWidth="1"/>
    <col min="6" max="6" width="41.85546875" style="94" bestFit="1" customWidth="1"/>
    <col min="7" max="7" width="7.7109375" style="94" customWidth="1"/>
    <col min="8" max="8" width="5.7109375" style="94" customWidth="1"/>
    <col min="9" max="9" width="12.28515625" style="94" bestFit="1" customWidth="1"/>
    <col min="10" max="10" width="8.28515625" style="94" bestFit="1" customWidth="1"/>
    <col min="11" max="11" width="9.28515625" style="94" bestFit="1" customWidth="1"/>
    <col min="12" max="12" width="10" style="94" bestFit="1" customWidth="1"/>
    <col min="13" max="16384" width="9.140625" style="94"/>
  </cols>
  <sheetData>
    <row r="1" spans="2:12" x14ac:dyDescent="0.2">
      <c r="B1" s="491" t="s">
        <v>211</v>
      </c>
      <c r="C1" s="491"/>
      <c r="F1" s="491" t="s">
        <v>67</v>
      </c>
      <c r="G1" s="491"/>
      <c r="J1" s="491" t="s">
        <v>68</v>
      </c>
      <c r="K1" s="491"/>
    </row>
    <row r="2" spans="2:12" ht="13.5" x14ac:dyDescent="0.25">
      <c r="B2" s="492" t="s">
        <v>212</v>
      </c>
      <c r="C2" s="492"/>
      <c r="F2" s="152" t="s">
        <v>69</v>
      </c>
      <c r="G2" s="153" t="s">
        <v>70</v>
      </c>
      <c r="J2" s="152" t="s">
        <v>71</v>
      </c>
      <c r="K2" s="152" t="s">
        <v>72</v>
      </c>
    </row>
    <row r="3" spans="2:12" x14ac:dyDescent="0.2">
      <c r="B3" s="154" t="s">
        <v>213</v>
      </c>
      <c r="C3" s="154" t="s">
        <v>214</v>
      </c>
      <c r="E3" s="155" t="s">
        <v>73</v>
      </c>
      <c r="F3" s="156" t="s">
        <v>138</v>
      </c>
      <c r="G3" s="157">
        <v>3.9</v>
      </c>
      <c r="I3" s="155" t="s">
        <v>74</v>
      </c>
      <c r="J3" s="158">
        <v>23</v>
      </c>
      <c r="K3" s="489">
        <v>400</v>
      </c>
      <c r="L3" s="490" t="s">
        <v>75</v>
      </c>
    </row>
    <row r="4" spans="2:12" ht="13.5" x14ac:dyDescent="0.25">
      <c r="B4" s="152" t="s">
        <v>12</v>
      </c>
      <c r="C4" s="152" t="s">
        <v>76</v>
      </c>
      <c r="E4" s="159" t="s">
        <v>77</v>
      </c>
      <c r="F4" s="160" t="s">
        <v>78</v>
      </c>
      <c r="G4" s="157">
        <v>3</v>
      </c>
      <c r="I4" s="155" t="s">
        <v>79</v>
      </c>
      <c r="J4" s="158">
        <v>7</v>
      </c>
      <c r="K4" s="489"/>
      <c r="L4" s="490"/>
    </row>
    <row r="5" spans="2:12" x14ac:dyDescent="0.2">
      <c r="B5" s="161" t="s">
        <v>17</v>
      </c>
      <c r="C5" s="162">
        <v>0</v>
      </c>
      <c r="D5" s="163"/>
      <c r="E5" s="159" t="s">
        <v>80</v>
      </c>
      <c r="F5" s="160" t="s">
        <v>81</v>
      </c>
      <c r="G5" s="157">
        <v>1</v>
      </c>
    </row>
    <row r="6" spans="2:12" x14ac:dyDescent="0.2">
      <c r="B6" s="309" t="s">
        <v>164</v>
      </c>
      <c r="C6" s="233">
        <v>19.5</v>
      </c>
      <c r="D6" s="163" t="s">
        <v>161</v>
      </c>
      <c r="E6" s="100"/>
      <c r="F6" s="100"/>
      <c r="G6" s="100"/>
      <c r="H6" s="100"/>
    </row>
    <row r="7" spans="2:12" x14ac:dyDescent="0.2">
      <c r="B7" s="309" t="s">
        <v>165</v>
      </c>
      <c r="C7" s="233">
        <v>24.95</v>
      </c>
      <c r="D7" s="163" t="s">
        <v>161</v>
      </c>
      <c r="E7" s="100"/>
      <c r="F7" s="100"/>
      <c r="G7" s="100"/>
      <c r="H7" s="100"/>
    </row>
    <row r="8" spans="2:12" x14ac:dyDescent="0.2">
      <c r="B8" s="309" t="s">
        <v>166</v>
      </c>
      <c r="C8" s="233">
        <v>27.5</v>
      </c>
      <c r="D8" s="163" t="s">
        <v>161</v>
      </c>
      <c r="E8" s="100"/>
      <c r="F8" s="100"/>
      <c r="G8" s="100"/>
      <c r="H8" s="100"/>
    </row>
    <row r="9" spans="2:12" x14ac:dyDescent="0.2">
      <c r="B9" s="309" t="s">
        <v>167</v>
      </c>
      <c r="C9" s="233">
        <v>29.95</v>
      </c>
      <c r="D9" s="163" t="s">
        <v>161</v>
      </c>
      <c r="E9" s="100"/>
      <c r="F9" s="100"/>
      <c r="G9" s="100"/>
      <c r="H9" s="100"/>
    </row>
    <row r="10" spans="2:12" x14ac:dyDescent="0.2">
      <c r="B10" s="309" t="s">
        <v>168</v>
      </c>
      <c r="C10" s="233">
        <v>47.5</v>
      </c>
      <c r="D10" s="163" t="s">
        <v>161</v>
      </c>
      <c r="E10" s="100"/>
      <c r="F10" s="100"/>
      <c r="G10" s="100"/>
      <c r="H10" s="100"/>
    </row>
    <row r="11" spans="2:12" x14ac:dyDescent="0.2">
      <c r="B11" s="309" t="s">
        <v>169</v>
      </c>
      <c r="C11" s="233">
        <v>65</v>
      </c>
      <c r="D11" s="163" t="s">
        <v>161</v>
      </c>
      <c r="E11" s="100"/>
      <c r="F11" s="100"/>
      <c r="G11" s="100"/>
      <c r="H11" s="100"/>
    </row>
    <row r="12" spans="2:12" x14ac:dyDescent="0.2">
      <c r="B12" s="309"/>
      <c r="C12" s="233"/>
      <c r="D12" s="163"/>
      <c r="E12" s="100"/>
      <c r="F12" s="100"/>
      <c r="G12" s="100"/>
      <c r="H12" s="100"/>
    </row>
    <row r="13" spans="2:12" x14ac:dyDescent="0.2">
      <c r="B13" s="234" t="s">
        <v>162</v>
      </c>
      <c r="C13" s="233">
        <v>45.67</v>
      </c>
      <c r="D13" s="163" t="s">
        <v>161</v>
      </c>
      <c r="E13" s="100"/>
      <c r="F13" s="100"/>
      <c r="G13" s="100"/>
      <c r="H13" s="100"/>
    </row>
    <row r="14" spans="2:12" x14ac:dyDescent="0.2">
      <c r="B14" s="234" t="s">
        <v>163</v>
      </c>
      <c r="C14" s="233">
        <v>45.67</v>
      </c>
      <c r="D14" s="163" t="s">
        <v>161</v>
      </c>
      <c r="E14" s="100"/>
      <c r="F14" s="100"/>
      <c r="G14" s="100"/>
      <c r="H14" s="100"/>
    </row>
    <row r="15" spans="2:12" x14ac:dyDescent="0.2">
      <c r="B15" s="234" t="s">
        <v>152</v>
      </c>
      <c r="C15" s="233">
        <v>89.61</v>
      </c>
      <c r="D15" s="163" t="s">
        <v>161</v>
      </c>
      <c r="E15" s="100"/>
      <c r="F15" s="100"/>
      <c r="G15" s="100"/>
      <c r="H15" s="100"/>
    </row>
    <row r="16" spans="2:12" x14ac:dyDescent="0.2">
      <c r="B16" s="234"/>
      <c r="C16" s="233"/>
      <c r="D16" s="163"/>
      <c r="E16" s="100"/>
      <c r="F16" s="100"/>
      <c r="G16" s="100"/>
      <c r="H16" s="100"/>
    </row>
    <row r="17" spans="2:8" x14ac:dyDescent="0.2">
      <c r="B17" s="236" t="s">
        <v>170</v>
      </c>
      <c r="C17" s="237">
        <v>59.95</v>
      </c>
      <c r="D17" s="163" t="s">
        <v>161</v>
      </c>
      <c r="E17" s="100"/>
      <c r="F17" s="100"/>
      <c r="G17" s="100"/>
      <c r="H17" s="100"/>
    </row>
    <row r="18" spans="2:8" x14ac:dyDescent="0.2">
      <c r="B18" s="236" t="s">
        <v>171</v>
      </c>
      <c r="C18" s="238">
        <v>79.8</v>
      </c>
      <c r="D18" s="163" t="s">
        <v>161</v>
      </c>
      <c r="E18" s="100"/>
      <c r="F18" s="100"/>
      <c r="G18" s="100"/>
      <c r="H18" s="100"/>
    </row>
    <row r="19" spans="2:8" x14ac:dyDescent="0.2">
      <c r="B19" s="236" t="s">
        <v>172</v>
      </c>
      <c r="C19" s="238">
        <v>109.9</v>
      </c>
      <c r="D19" s="163" t="s">
        <v>161</v>
      </c>
      <c r="E19" s="100"/>
      <c r="F19" s="100"/>
      <c r="G19" s="100"/>
      <c r="H19" s="100"/>
    </row>
    <row r="20" spans="2:8" x14ac:dyDescent="0.2">
      <c r="B20" s="236" t="s">
        <v>173</v>
      </c>
      <c r="C20" s="238">
        <v>125</v>
      </c>
      <c r="D20" s="163" t="s">
        <v>161</v>
      </c>
      <c r="E20" s="100"/>
      <c r="F20" s="100"/>
      <c r="G20" s="100"/>
      <c r="H20" s="100"/>
    </row>
    <row r="21" spans="2:8" x14ac:dyDescent="0.2">
      <c r="B21" s="239" t="s">
        <v>174</v>
      </c>
      <c r="C21" s="238">
        <v>136</v>
      </c>
      <c r="D21" s="163" t="s">
        <v>216</v>
      </c>
      <c r="H21" s="100"/>
    </row>
    <row r="22" spans="2:8" x14ac:dyDescent="0.2">
      <c r="B22" s="239" t="s">
        <v>175</v>
      </c>
      <c r="C22" s="238">
        <v>177</v>
      </c>
      <c r="D22" s="163" t="s">
        <v>216</v>
      </c>
      <c r="H22" s="100"/>
    </row>
    <row r="23" spans="2:8" x14ac:dyDescent="0.2">
      <c r="B23" s="239" t="s">
        <v>176</v>
      </c>
      <c r="C23" s="238">
        <v>233</v>
      </c>
      <c r="D23" s="163" t="s">
        <v>216</v>
      </c>
      <c r="H23" s="100"/>
    </row>
    <row r="24" spans="2:8" x14ac:dyDescent="0.2">
      <c r="B24" s="239"/>
      <c r="C24" s="238"/>
      <c r="D24" s="163"/>
    </row>
    <row r="25" spans="2:8" x14ac:dyDescent="0.2">
      <c r="B25" s="309" t="s">
        <v>188</v>
      </c>
      <c r="C25" s="311">
        <v>50.86</v>
      </c>
      <c r="D25" s="163" t="s">
        <v>161</v>
      </c>
    </row>
    <row r="26" spans="2:8" x14ac:dyDescent="0.2">
      <c r="B26" s="309" t="s">
        <v>189</v>
      </c>
      <c r="C26" s="311">
        <v>54.5</v>
      </c>
      <c r="D26" s="163" t="s">
        <v>161</v>
      </c>
    </row>
    <row r="27" spans="2:8" x14ac:dyDescent="0.2">
      <c r="B27" s="309" t="s">
        <v>190</v>
      </c>
      <c r="C27" s="311">
        <v>76.19</v>
      </c>
      <c r="D27" s="163" t="s">
        <v>161</v>
      </c>
    </row>
    <row r="28" spans="2:8" x14ac:dyDescent="0.2">
      <c r="B28" s="312"/>
      <c r="C28" s="164"/>
      <c r="D28" s="163"/>
    </row>
    <row r="29" spans="2:8" x14ac:dyDescent="0.2">
      <c r="B29" s="148"/>
      <c r="C29" s="165"/>
      <c r="D29" s="163"/>
    </row>
    <row r="30" spans="2:8" x14ac:dyDescent="0.2">
      <c r="B30" s="235" t="s">
        <v>191</v>
      </c>
      <c r="C30" s="310"/>
      <c r="D30" s="163"/>
    </row>
    <row r="31" spans="2:8" x14ac:dyDescent="0.2">
      <c r="B31" s="235" t="s">
        <v>192</v>
      </c>
      <c r="C31" s="310"/>
      <c r="D31" s="163"/>
    </row>
    <row r="32" spans="2:8" x14ac:dyDescent="0.2">
      <c r="B32" s="235" t="s">
        <v>219</v>
      </c>
      <c r="C32" s="310">
        <v>53.61</v>
      </c>
      <c r="D32" s="163"/>
    </row>
    <row r="33" spans="2:4" x14ac:dyDescent="0.2">
      <c r="B33" s="235" t="s">
        <v>153</v>
      </c>
      <c r="C33" s="310"/>
      <c r="D33" s="163"/>
    </row>
    <row r="34" spans="2:4" x14ac:dyDescent="0.2">
      <c r="B34" s="235" t="s">
        <v>187</v>
      </c>
      <c r="C34" s="310"/>
      <c r="D34" s="163"/>
    </row>
    <row r="35" spans="2:4" x14ac:dyDescent="0.2">
      <c r="B35" s="235" t="s">
        <v>217</v>
      </c>
      <c r="C35" s="310">
        <v>53.61</v>
      </c>
      <c r="D35" s="163"/>
    </row>
    <row r="36" spans="2:4" x14ac:dyDescent="0.2">
      <c r="B36" s="235" t="s">
        <v>224</v>
      </c>
      <c r="C36" s="310">
        <v>55.59</v>
      </c>
      <c r="D36" s="163"/>
    </row>
    <row r="37" spans="2:4" x14ac:dyDescent="0.2">
      <c r="B37" s="235" t="s">
        <v>227</v>
      </c>
      <c r="C37" s="310">
        <v>61.86</v>
      </c>
      <c r="D37" s="163"/>
    </row>
    <row r="38" spans="2:4" x14ac:dyDescent="0.2">
      <c r="B38" s="235" t="s">
        <v>220</v>
      </c>
      <c r="C38" s="310">
        <v>55.59</v>
      </c>
      <c r="D38" s="163"/>
    </row>
    <row r="39" spans="2:4" x14ac:dyDescent="0.2">
      <c r="B39" s="235" t="s">
        <v>221</v>
      </c>
      <c r="C39" s="310">
        <v>48.3</v>
      </c>
      <c r="D39" s="163"/>
    </row>
    <row r="40" spans="2:4" x14ac:dyDescent="0.2">
      <c r="B40" s="235" t="s">
        <v>222</v>
      </c>
      <c r="C40" s="310"/>
      <c r="D40" s="163"/>
    </row>
    <row r="41" spans="2:4" x14ac:dyDescent="0.2">
      <c r="B41" s="235" t="s">
        <v>223</v>
      </c>
      <c r="C41" s="310"/>
      <c r="D41" s="163"/>
    </row>
    <row r="42" spans="2:4" x14ac:dyDescent="0.2">
      <c r="B42" s="235" t="s">
        <v>193</v>
      </c>
      <c r="C42" s="310">
        <v>39.42</v>
      </c>
      <c r="D42" s="163"/>
    </row>
    <row r="43" spans="2:4" x14ac:dyDescent="0.2">
      <c r="B43" s="235" t="s">
        <v>194</v>
      </c>
      <c r="C43" s="310">
        <v>43.5</v>
      </c>
      <c r="D43" s="163" t="s">
        <v>218</v>
      </c>
    </row>
    <row r="44" spans="2:4" x14ac:dyDescent="0.2">
      <c r="B44" s="235" t="s">
        <v>154</v>
      </c>
      <c r="C44" s="310">
        <v>59.21</v>
      </c>
      <c r="D44" s="163"/>
    </row>
    <row r="45" spans="2:4" x14ac:dyDescent="0.2">
      <c r="B45" s="235" t="s">
        <v>195</v>
      </c>
      <c r="C45" s="310">
        <v>61.89</v>
      </c>
      <c r="D45" s="163"/>
    </row>
    <row r="46" spans="2:4" x14ac:dyDescent="0.2">
      <c r="B46" s="235" t="s">
        <v>196</v>
      </c>
      <c r="C46" s="310">
        <v>90.89</v>
      </c>
      <c r="D46" s="163" t="s">
        <v>218</v>
      </c>
    </row>
    <row r="47" spans="2:4" x14ac:dyDescent="0.2">
      <c r="B47" s="235" t="s">
        <v>197</v>
      </c>
      <c r="C47" s="310"/>
      <c r="D47" s="163" t="s">
        <v>218</v>
      </c>
    </row>
    <row r="48" spans="2:4" x14ac:dyDescent="0.2">
      <c r="B48" s="235" t="s">
        <v>198</v>
      </c>
      <c r="C48" s="310"/>
      <c r="D48" s="163" t="s">
        <v>218</v>
      </c>
    </row>
    <row r="49" spans="2:4" x14ac:dyDescent="0.2">
      <c r="B49" s="235" t="s">
        <v>199</v>
      </c>
      <c r="C49" s="310"/>
      <c r="D49" s="163" t="s">
        <v>225</v>
      </c>
    </row>
    <row r="50" spans="2:4" x14ac:dyDescent="0.2">
      <c r="B50" s="235" t="s">
        <v>200</v>
      </c>
      <c r="C50" s="310"/>
      <c r="D50" s="163" t="s">
        <v>225</v>
      </c>
    </row>
    <row r="51" spans="2:4" x14ac:dyDescent="0.2">
      <c r="B51" s="235" t="s">
        <v>228</v>
      </c>
      <c r="C51" s="310">
        <v>53.61</v>
      </c>
      <c r="D51" s="163" t="s">
        <v>226</v>
      </c>
    </row>
    <row r="52" spans="2:4" x14ac:dyDescent="0.2">
      <c r="B52" s="235" t="s">
        <v>201</v>
      </c>
      <c r="C52" s="310"/>
      <c r="D52" s="163" t="s">
        <v>226</v>
      </c>
    </row>
    <row r="53" spans="2:4" x14ac:dyDescent="0.2">
      <c r="B53" s="235" t="s">
        <v>202</v>
      </c>
      <c r="C53" s="310"/>
      <c r="D53" s="163" t="s">
        <v>161</v>
      </c>
    </row>
    <row r="54" spans="2:4" x14ac:dyDescent="0.2">
      <c r="B54" s="235" t="s">
        <v>203</v>
      </c>
      <c r="C54" s="310"/>
      <c r="D54" s="163" t="s">
        <v>161</v>
      </c>
    </row>
    <row r="55" spans="2:4" x14ac:dyDescent="0.2">
      <c r="B55" s="235" t="s">
        <v>204</v>
      </c>
      <c r="C55" s="310"/>
      <c r="D55" s="163" t="s">
        <v>161</v>
      </c>
    </row>
    <row r="56" spans="2:4" x14ac:dyDescent="0.2">
      <c r="B56" s="235" t="s">
        <v>205</v>
      </c>
      <c r="C56" s="310"/>
      <c r="D56" s="163" t="s">
        <v>161</v>
      </c>
    </row>
    <row r="57" spans="2:4" x14ac:dyDescent="0.2">
      <c r="B57" s="313" t="s">
        <v>206</v>
      </c>
      <c r="C57" s="310"/>
      <c r="D57" s="163" t="s">
        <v>161</v>
      </c>
    </row>
    <row r="58" spans="2:4" x14ac:dyDescent="0.2">
      <c r="B58" s="313" t="s">
        <v>207</v>
      </c>
      <c r="C58" s="310"/>
      <c r="D58" s="163"/>
    </row>
    <row r="59" spans="2:4" x14ac:dyDescent="0.2">
      <c r="B59" s="235" t="s">
        <v>208</v>
      </c>
      <c r="C59" s="310"/>
      <c r="D59" s="163"/>
    </row>
    <row r="60" spans="2:4" x14ac:dyDescent="0.2">
      <c r="B60" s="235" t="s">
        <v>155</v>
      </c>
      <c r="C60" s="310"/>
      <c r="D60" s="163"/>
    </row>
    <row r="61" spans="2:4" x14ac:dyDescent="0.2">
      <c r="B61" s="235" t="s">
        <v>229</v>
      </c>
      <c r="C61" s="310">
        <v>58.64</v>
      </c>
      <c r="D61" s="163"/>
    </row>
    <row r="62" spans="2:4" x14ac:dyDescent="0.2">
      <c r="B62" s="235" t="s">
        <v>209</v>
      </c>
      <c r="C62" s="310">
        <v>55.25</v>
      </c>
      <c r="D62" s="163" t="s">
        <v>161</v>
      </c>
    </row>
    <row r="63" spans="2:4" x14ac:dyDescent="0.2">
      <c r="B63" s="235" t="s">
        <v>210</v>
      </c>
      <c r="C63" s="310">
        <v>69.319999999999993</v>
      </c>
      <c r="D63" s="163"/>
    </row>
    <row r="64" spans="2:4" x14ac:dyDescent="0.2">
      <c r="B64" s="235" t="s">
        <v>156</v>
      </c>
      <c r="C64" s="310">
        <v>55.72</v>
      </c>
      <c r="D64" s="163"/>
    </row>
    <row r="65" spans="2:4" x14ac:dyDescent="0.2">
      <c r="B65" s="235"/>
      <c r="C65" s="310"/>
      <c r="D65" s="163"/>
    </row>
    <row r="66" spans="2:4" x14ac:dyDescent="0.2">
      <c r="B66" s="309" t="s">
        <v>177</v>
      </c>
      <c r="C66" s="311"/>
      <c r="D66" s="163"/>
    </row>
    <row r="67" spans="2:4" x14ac:dyDescent="0.2">
      <c r="B67" s="309" t="s">
        <v>179</v>
      </c>
      <c r="C67" s="311"/>
      <c r="D67" s="163"/>
    </row>
    <row r="68" spans="2:4" x14ac:dyDescent="0.2">
      <c r="B68" s="309" t="s">
        <v>178</v>
      </c>
      <c r="C68" s="311"/>
      <c r="D68" s="163"/>
    </row>
    <row r="69" spans="2:4" x14ac:dyDescent="0.2">
      <c r="B69" s="309" t="s">
        <v>180</v>
      </c>
      <c r="C69" s="311"/>
      <c r="D69" s="163"/>
    </row>
    <row r="70" spans="2:4" x14ac:dyDescent="0.2">
      <c r="B70" s="309" t="s">
        <v>181</v>
      </c>
      <c r="C70" s="311"/>
      <c r="D70" s="163"/>
    </row>
    <row r="71" spans="2:4" x14ac:dyDescent="0.2">
      <c r="B71" s="309" t="s">
        <v>182</v>
      </c>
      <c r="C71" s="311"/>
      <c r="D71" s="94" t="s">
        <v>161</v>
      </c>
    </row>
    <row r="72" spans="2:4" x14ac:dyDescent="0.2">
      <c r="B72" s="309" t="s">
        <v>183</v>
      </c>
      <c r="C72" s="311"/>
      <c r="D72" s="94" t="s">
        <v>161</v>
      </c>
    </row>
    <row r="73" spans="2:4" x14ac:dyDescent="0.2">
      <c r="B73" s="309" t="s">
        <v>184</v>
      </c>
      <c r="C73" s="311"/>
      <c r="D73" s="94" t="s">
        <v>161</v>
      </c>
    </row>
    <row r="74" spans="2:4" x14ac:dyDescent="0.2">
      <c r="B74" s="309" t="s">
        <v>185</v>
      </c>
      <c r="C74" s="311"/>
      <c r="D74" s="94" t="s">
        <v>161</v>
      </c>
    </row>
    <row r="75" spans="2:4" x14ac:dyDescent="0.2">
      <c r="B75" s="309" t="s">
        <v>186</v>
      </c>
      <c r="C75" s="311"/>
    </row>
    <row r="76" spans="2:4" x14ac:dyDescent="0.2">
      <c r="B76" s="47"/>
      <c r="C76" s="165"/>
      <c r="D76" s="163"/>
    </row>
    <row r="77" spans="2:4" x14ac:dyDescent="0.2">
      <c r="B77" s="47"/>
      <c r="C77" s="165"/>
      <c r="D77" s="163"/>
    </row>
    <row r="78" spans="2:4" x14ac:dyDescent="0.2">
      <c r="B78" s="47"/>
      <c r="C78" s="165"/>
      <c r="D78" s="163"/>
    </row>
    <row r="79" spans="2:4" x14ac:dyDescent="0.2">
      <c r="B79" s="47"/>
      <c r="C79" s="165"/>
      <c r="D79" s="163"/>
    </row>
    <row r="80" spans="2:4" x14ac:dyDescent="0.2">
      <c r="B80" s="47"/>
      <c r="C80" s="165"/>
      <c r="D80" s="163"/>
    </row>
    <row r="81" spans="2:4" x14ac:dyDescent="0.2">
      <c r="B81" s="47"/>
      <c r="C81" s="165"/>
      <c r="D81" s="163"/>
    </row>
    <row r="82" spans="2:4" x14ac:dyDescent="0.2">
      <c r="C82" s="100"/>
      <c r="D82" s="163"/>
    </row>
    <row r="83" spans="2:4" x14ac:dyDescent="0.2">
      <c r="B83" s="47"/>
      <c r="C83" s="165"/>
      <c r="D83" s="163"/>
    </row>
    <row r="84" spans="2:4" x14ac:dyDescent="0.2">
      <c r="B84" s="47"/>
      <c r="C84" s="165"/>
      <c r="D84" s="163"/>
    </row>
    <row r="85" spans="2:4" x14ac:dyDescent="0.2">
      <c r="B85" s="47"/>
      <c r="C85" s="165"/>
      <c r="D85" s="163"/>
    </row>
    <row r="86" spans="2:4" x14ac:dyDescent="0.2">
      <c r="B86" s="47"/>
      <c r="C86" s="165"/>
      <c r="D86" s="163"/>
    </row>
    <row r="87" spans="2:4" x14ac:dyDescent="0.2">
      <c r="B87" s="47"/>
      <c r="C87" s="165"/>
      <c r="D87" s="163"/>
    </row>
    <row r="88" spans="2:4" x14ac:dyDescent="0.2">
      <c r="B88" s="47"/>
      <c r="C88" s="165"/>
      <c r="D88" s="163"/>
    </row>
    <row r="89" spans="2:4" x14ac:dyDescent="0.2">
      <c r="B89" s="47"/>
      <c r="C89" s="165"/>
      <c r="D89" s="163"/>
    </row>
    <row r="90" spans="2:4" x14ac:dyDescent="0.2">
      <c r="B90" s="47"/>
      <c r="C90" s="165"/>
      <c r="D90" s="163"/>
    </row>
    <row r="91" spans="2:4" x14ac:dyDescent="0.2">
      <c r="B91" s="148"/>
      <c r="C91" s="165"/>
      <c r="D91" s="163"/>
    </row>
    <row r="92" spans="2:4" x14ac:dyDescent="0.2">
      <c r="B92" s="148"/>
      <c r="C92" s="165"/>
      <c r="D92" s="163"/>
    </row>
    <row r="93" spans="2:4" x14ac:dyDescent="0.2">
      <c r="B93" s="148"/>
      <c r="C93" s="165"/>
      <c r="D93" s="163"/>
    </row>
    <row r="94" spans="2:4" x14ac:dyDescent="0.2">
      <c r="D94" s="163"/>
    </row>
    <row r="95" spans="2:4" x14ac:dyDescent="0.2">
      <c r="D95" s="163"/>
    </row>
    <row r="96" spans="2:4" x14ac:dyDescent="0.2">
      <c r="D96" s="163"/>
    </row>
    <row r="97" spans="4:4" x14ac:dyDescent="0.2">
      <c r="D97" s="163"/>
    </row>
    <row r="98" spans="4:4" x14ac:dyDescent="0.2">
      <c r="D98" s="163"/>
    </row>
    <row r="99" spans="4:4" x14ac:dyDescent="0.2">
      <c r="D99" s="163"/>
    </row>
    <row r="100" spans="4:4" x14ac:dyDescent="0.2">
      <c r="D100" s="163"/>
    </row>
    <row r="101" spans="4:4" x14ac:dyDescent="0.2">
      <c r="D101" s="163"/>
    </row>
    <row r="102" spans="4:4" x14ac:dyDescent="0.2">
      <c r="D102" s="163"/>
    </row>
    <row r="103" spans="4:4" x14ac:dyDescent="0.2">
      <c r="D103" s="163"/>
    </row>
    <row r="104" spans="4:4" x14ac:dyDescent="0.2">
      <c r="D104" s="163"/>
    </row>
    <row r="105" spans="4:4" x14ac:dyDescent="0.2">
      <c r="D105" s="163"/>
    </row>
    <row r="106" spans="4:4" x14ac:dyDescent="0.2">
      <c r="D106" s="163"/>
    </row>
    <row r="107" spans="4:4" x14ac:dyDescent="0.2">
      <c r="D107" s="163"/>
    </row>
    <row r="108" spans="4:4" x14ac:dyDescent="0.2">
      <c r="D108" s="163"/>
    </row>
    <row r="109" spans="4:4" x14ac:dyDescent="0.2">
      <c r="D109" s="163"/>
    </row>
    <row r="110" spans="4:4" x14ac:dyDescent="0.2">
      <c r="D110" s="163"/>
    </row>
    <row r="111" spans="4:4" x14ac:dyDescent="0.2">
      <c r="D111" s="163"/>
    </row>
    <row r="112" spans="4:4" x14ac:dyDescent="0.2">
      <c r="D112" s="163"/>
    </row>
    <row r="113" spans="2:4" x14ac:dyDescent="0.2">
      <c r="B113" s="148"/>
      <c r="C113" s="165"/>
      <c r="D113" s="163"/>
    </row>
    <row r="114" spans="2:4" x14ac:dyDescent="0.2">
      <c r="D114" s="163"/>
    </row>
    <row r="115" spans="2:4" x14ac:dyDescent="0.2">
      <c r="D115" s="163"/>
    </row>
    <row r="116" spans="2:4" x14ac:dyDescent="0.2">
      <c r="D116" s="163"/>
    </row>
    <row r="117" spans="2:4" x14ac:dyDescent="0.2">
      <c r="D117" s="163"/>
    </row>
    <row r="118" spans="2:4" x14ac:dyDescent="0.2">
      <c r="D118" s="163"/>
    </row>
    <row r="119" spans="2:4" x14ac:dyDescent="0.2">
      <c r="D119" s="163"/>
    </row>
    <row r="120" spans="2:4" x14ac:dyDescent="0.2">
      <c r="D120" s="163"/>
    </row>
    <row r="121" spans="2:4" x14ac:dyDescent="0.2">
      <c r="D121" s="163"/>
    </row>
    <row r="122" spans="2:4" x14ac:dyDescent="0.2">
      <c r="D122" s="163"/>
    </row>
    <row r="123" spans="2:4" x14ac:dyDescent="0.2">
      <c r="D123" s="163"/>
    </row>
    <row r="124" spans="2:4" x14ac:dyDescent="0.2">
      <c r="D124" s="163"/>
    </row>
    <row r="125" spans="2:4" x14ac:dyDescent="0.2">
      <c r="D125" s="163"/>
    </row>
    <row r="126" spans="2:4" x14ac:dyDescent="0.2">
      <c r="D126" s="163"/>
    </row>
    <row r="127" spans="2:4" x14ac:dyDescent="0.2">
      <c r="B127" s="148"/>
      <c r="C127" s="165"/>
      <c r="D127" s="163"/>
    </row>
    <row r="128" spans="2:4" x14ac:dyDescent="0.2">
      <c r="B128" s="148"/>
      <c r="C128" s="165"/>
      <c r="D128" s="163"/>
    </row>
    <row r="129" spans="2:4" x14ac:dyDescent="0.2">
      <c r="B129" s="148"/>
      <c r="C129" s="165"/>
      <c r="D129" s="163"/>
    </row>
    <row r="130" spans="2:4" x14ac:dyDescent="0.2">
      <c r="B130" s="148"/>
      <c r="C130" s="165"/>
      <c r="D130" s="163"/>
    </row>
    <row r="131" spans="2:4" x14ac:dyDescent="0.2">
      <c r="D131" s="163"/>
    </row>
    <row r="132" spans="2:4" x14ac:dyDescent="0.2">
      <c r="D132" s="163"/>
    </row>
    <row r="133" spans="2:4" x14ac:dyDescent="0.2">
      <c r="D133" s="163"/>
    </row>
    <row r="134" spans="2:4" x14ac:dyDescent="0.2">
      <c r="D134" s="163"/>
    </row>
    <row r="135" spans="2:4" x14ac:dyDescent="0.2">
      <c r="D135" s="163"/>
    </row>
    <row r="136" spans="2:4" x14ac:dyDescent="0.2">
      <c r="D136" s="163"/>
    </row>
    <row r="137" spans="2:4" x14ac:dyDescent="0.2">
      <c r="D137" s="163"/>
    </row>
    <row r="138" spans="2:4" x14ac:dyDescent="0.2">
      <c r="D138" s="163"/>
    </row>
    <row r="139" spans="2:4" x14ac:dyDescent="0.2">
      <c r="D139" s="163"/>
    </row>
    <row r="140" spans="2:4" x14ac:dyDescent="0.2">
      <c r="D140" s="163"/>
    </row>
    <row r="141" spans="2:4" x14ac:dyDescent="0.2">
      <c r="B141" s="47"/>
      <c r="D141" s="163"/>
    </row>
    <row r="142" spans="2:4" x14ac:dyDescent="0.2">
      <c r="B142" s="47"/>
      <c r="D142" s="163"/>
    </row>
    <row r="143" spans="2:4" x14ac:dyDescent="0.2">
      <c r="B143" s="47"/>
      <c r="D143" s="163"/>
    </row>
    <row r="144" spans="2:4" x14ac:dyDescent="0.2">
      <c r="B144" s="47"/>
      <c r="D144" s="163"/>
    </row>
    <row r="145" spans="2:4" x14ac:dyDescent="0.2">
      <c r="B145" s="47"/>
      <c r="D145" s="163"/>
    </row>
    <row r="146" spans="2:4" x14ac:dyDescent="0.2">
      <c r="B146" s="47"/>
      <c r="D146" s="163"/>
    </row>
    <row r="147" spans="2:4" x14ac:dyDescent="0.2">
      <c r="B147" s="47"/>
      <c r="D147" s="163"/>
    </row>
    <row r="148" spans="2:4" x14ac:dyDescent="0.2">
      <c r="B148" s="47"/>
      <c r="D148" s="163"/>
    </row>
    <row r="149" spans="2:4" x14ac:dyDescent="0.2">
      <c r="B149" s="47"/>
      <c r="D149" s="163"/>
    </row>
    <row r="150" spans="2:4" x14ac:dyDescent="0.2">
      <c r="B150" s="47"/>
      <c r="D150" s="163"/>
    </row>
    <row r="151" spans="2:4" x14ac:dyDescent="0.2">
      <c r="B151" s="47"/>
      <c r="D151" s="163"/>
    </row>
    <row r="152" spans="2:4" x14ac:dyDescent="0.2">
      <c r="B152" s="47"/>
      <c r="D152" s="163"/>
    </row>
    <row r="153" spans="2:4" x14ac:dyDescent="0.2">
      <c r="B153" s="47"/>
      <c r="D153" s="163"/>
    </row>
    <row r="154" spans="2:4" x14ac:dyDescent="0.2">
      <c r="B154" s="47"/>
      <c r="D154" s="163"/>
    </row>
    <row r="155" spans="2:4" x14ac:dyDescent="0.2">
      <c r="B155" s="47"/>
      <c r="D155" s="163"/>
    </row>
    <row r="156" spans="2:4" x14ac:dyDescent="0.2">
      <c r="B156" s="47"/>
      <c r="D156" s="163"/>
    </row>
    <row r="157" spans="2:4" x14ac:dyDescent="0.2">
      <c r="B157" s="47"/>
      <c r="D157" s="163"/>
    </row>
    <row r="158" spans="2:4" x14ac:dyDescent="0.2">
      <c r="B158" s="47"/>
      <c r="D158" s="163"/>
    </row>
    <row r="159" spans="2:4" x14ac:dyDescent="0.2">
      <c r="B159" s="47"/>
      <c r="D159" s="163"/>
    </row>
    <row r="160" spans="2:4" x14ac:dyDescent="0.2">
      <c r="B160" s="47"/>
      <c r="D160" s="163"/>
    </row>
    <row r="161" spans="2:4" x14ac:dyDescent="0.2">
      <c r="B161" s="47"/>
      <c r="D161" s="163"/>
    </row>
    <row r="162" spans="2:4" x14ac:dyDescent="0.2">
      <c r="B162" s="47"/>
      <c r="D162" s="163"/>
    </row>
    <row r="163" spans="2:4" x14ac:dyDescent="0.2">
      <c r="B163" s="47"/>
      <c r="D163" s="163"/>
    </row>
    <row r="164" spans="2:4" x14ac:dyDescent="0.2">
      <c r="B164" s="47"/>
      <c r="D164" s="163"/>
    </row>
    <row r="165" spans="2:4" x14ac:dyDescent="0.2">
      <c r="B165" s="47"/>
      <c r="D165" s="163"/>
    </row>
    <row r="166" spans="2:4" x14ac:dyDescent="0.2">
      <c r="B166" s="47"/>
      <c r="D166" s="163"/>
    </row>
    <row r="167" spans="2:4" x14ac:dyDescent="0.2">
      <c r="B167" s="47"/>
      <c r="D167" s="163"/>
    </row>
    <row r="168" spans="2:4" x14ac:dyDescent="0.2">
      <c r="B168" s="47"/>
      <c r="D168" s="163"/>
    </row>
    <row r="169" spans="2:4" x14ac:dyDescent="0.2">
      <c r="B169" s="47"/>
      <c r="D169" s="163"/>
    </row>
    <row r="170" spans="2:4" x14ac:dyDescent="0.2">
      <c r="B170" s="47"/>
    </row>
    <row r="171" spans="2:4" x14ac:dyDescent="0.2">
      <c r="B171" s="47"/>
    </row>
    <row r="172" spans="2:4" x14ac:dyDescent="0.2">
      <c r="B172" s="47"/>
    </row>
    <row r="173" spans="2:4" x14ac:dyDescent="0.2">
      <c r="B173" s="47"/>
    </row>
    <row r="174" spans="2:4" x14ac:dyDescent="0.2">
      <c r="B174" s="47"/>
    </row>
    <row r="175" spans="2:4" x14ac:dyDescent="0.2">
      <c r="B175" s="47"/>
    </row>
    <row r="176" spans="2:4" x14ac:dyDescent="0.2">
      <c r="B176" s="47"/>
    </row>
    <row r="177" spans="2:2" x14ac:dyDescent="0.2">
      <c r="B177" s="47"/>
    </row>
  </sheetData>
  <sheetProtection algorithmName="SHA-512" hashValue="wzQ5AxgC/eEKXxhqZ0yc95gg6JUFAg4YUQhO4LgmesQtEtkBzl+toviK+ZKm+lWvOJnoEgWemuFgCNqlLRysOg==" saltValue="o931VXnUfFgavJEJ7QqstA==" spinCount="100000" sheet="1" objects="1" scenarios="1" selectLockedCells="1" selectUnlockedCells="1"/>
  <mergeCells count="6">
    <mergeCell ref="K3:K4"/>
    <mergeCell ref="L3:L4"/>
    <mergeCell ref="F1:G1"/>
    <mergeCell ref="B2:C2"/>
    <mergeCell ref="B1:C1"/>
    <mergeCell ref="J1:K1"/>
  </mergeCells>
  <phoneticPr fontId="2" type="noConversion"/>
  <pageMargins left="0.25" right="0.25" top="0.75" bottom="0.75" header="0.3" footer="0.3"/>
  <pageSetup paperSize="9"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R17"/>
  <sheetViews>
    <sheetView zoomScaleNormal="100" workbookViewId="0"/>
  </sheetViews>
  <sheetFormatPr defaultRowHeight="12.75" x14ac:dyDescent="0.2"/>
  <cols>
    <col min="1" max="1" width="5.7109375" style="80" customWidth="1"/>
    <col min="2" max="4" width="7.7109375" style="80" customWidth="1"/>
    <col min="5" max="5" width="37.5703125" style="80" bestFit="1" customWidth="1"/>
    <col min="6" max="6" width="6.7109375" style="80" customWidth="1"/>
    <col min="7" max="7" width="11.7109375" style="80" customWidth="1"/>
    <col min="8" max="8" width="3" style="80" bestFit="1" customWidth="1"/>
    <col min="9" max="9" width="2.7109375" style="80" bestFit="1" customWidth="1"/>
    <col min="10" max="10" width="9.140625" style="80"/>
    <col min="11" max="11" width="5.7109375" style="80" customWidth="1"/>
    <col min="12" max="12" width="15.140625" style="80" bestFit="1" customWidth="1"/>
    <col min="13" max="13" width="5.7109375" style="80" customWidth="1"/>
    <col min="14" max="14" width="20.7109375" style="80" bestFit="1" customWidth="1"/>
    <col min="15" max="15" width="5.7109375" style="80" customWidth="1"/>
    <col min="16" max="16" width="12.85546875" style="80" bestFit="1" customWidth="1"/>
    <col min="17" max="17" width="5.7109375" style="80" customWidth="1"/>
    <col min="18" max="18" width="16.7109375" style="80" customWidth="1"/>
    <col min="19" max="16384" width="9.140625" style="80"/>
  </cols>
  <sheetData>
    <row r="1" spans="1:18" x14ac:dyDescent="0.2">
      <c r="A1" s="167"/>
      <c r="B1" s="491" t="s">
        <v>82</v>
      </c>
      <c r="C1" s="491"/>
      <c r="D1" s="491"/>
      <c r="E1" s="491"/>
      <c r="G1" s="493" t="s">
        <v>87</v>
      </c>
      <c r="H1" s="493"/>
      <c r="I1" s="493"/>
      <c r="L1" s="166" t="s">
        <v>85</v>
      </c>
      <c r="N1" s="166" t="s">
        <v>84</v>
      </c>
      <c r="P1" s="166" t="s">
        <v>83</v>
      </c>
      <c r="R1" s="166" t="s">
        <v>86</v>
      </c>
    </row>
    <row r="2" spans="1:18" x14ac:dyDescent="0.2">
      <c r="B2" s="492" t="s">
        <v>215</v>
      </c>
      <c r="C2" s="492"/>
      <c r="D2" s="492"/>
      <c r="E2" s="492"/>
      <c r="G2" s="493" t="s">
        <v>144</v>
      </c>
      <c r="H2" s="493"/>
      <c r="I2" s="493"/>
      <c r="L2" s="168" t="s">
        <v>90</v>
      </c>
      <c r="N2" s="168" t="s">
        <v>89</v>
      </c>
      <c r="P2" s="168" t="s">
        <v>88</v>
      </c>
      <c r="R2" s="168" t="s">
        <v>91</v>
      </c>
    </row>
    <row r="3" spans="1:18" ht="13.5" x14ac:dyDescent="0.25">
      <c r="B3" s="152" t="s">
        <v>92</v>
      </c>
      <c r="C3" s="152" t="s">
        <v>93</v>
      </c>
      <c r="D3" s="152" t="s">
        <v>94</v>
      </c>
      <c r="E3" s="152" t="s">
        <v>95</v>
      </c>
      <c r="G3" s="131" t="s">
        <v>98</v>
      </c>
      <c r="H3" s="166" t="s">
        <v>99</v>
      </c>
      <c r="L3" s="131" t="s">
        <v>90</v>
      </c>
      <c r="N3" s="131" t="s">
        <v>96</v>
      </c>
      <c r="P3" s="131" t="s">
        <v>96</v>
      </c>
      <c r="R3" s="131" t="s">
        <v>97</v>
      </c>
    </row>
    <row r="4" spans="1:18" x14ac:dyDescent="0.2">
      <c r="B4" s="170">
        <v>0</v>
      </c>
      <c r="C4" s="170" t="s">
        <v>157</v>
      </c>
      <c r="D4" s="171"/>
      <c r="E4" s="94" t="s">
        <v>100</v>
      </c>
      <c r="G4" s="169" t="s">
        <v>101</v>
      </c>
      <c r="H4" s="169">
        <v>21</v>
      </c>
      <c r="I4" s="169" t="s">
        <v>99</v>
      </c>
      <c r="J4" s="128" t="s">
        <v>102</v>
      </c>
      <c r="L4" s="156" t="s">
        <v>47</v>
      </c>
      <c r="N4" s="156" t="s">
        <v>18</v>
      </c>
      <c r="P4" s="169" t="s">
        <v>18</v>
      </c>
      <c r="R4" s="169" t="s">
        <v>18</v>
      </c>
    </row>
    <row r="5" spans="1:18" x14ac:dyDescent="0.2">
      <c r="B5" s="170"/>
      <c r="C5" s="170"/>
      <c r="D5" s="171"/>
      <c r="E5" s="94" t="str">
        <f>D5*100&amp;"% korting op het glas bij "&amp;B5&amp;" tot "&amp;C5&amp;" m²"</f>
        <v>0% korting op het glas bij  tot  m²</v>
      </c>
      <c r="G5" s="169" t="s">
        <v>106</v>
      </c>
      <c r="H5" s="169">
        <v>6</v>
      </c>
      <c r="I5" s="169" t="s">
        <v>99</v>
      </c>
      <c r="J5" s="128" t="s">
        <v>107</v>
      </c>
      <c r="L5" s="156"/>
      <c r="N5" s="156" t="s">
        <v>104</v>
      </c>
      <c r="P5" s="169" t="s">
        <v>103</v>
      </c>
      <c r="R5" s="169" t="s">
        <v>105</v>
      </c>
    </row>
    <row r="6" spans="1:18" x14ac:dyDescent="0.2">
      <c r="B6" s="170"/>
      <c r="C6" s="170"/>
      <c r="D6" s="171"/>
      <c r="E6" s="94" t="str">
        <f>D6*100&amp;"% korting op het glas bij "&amp;B6&amp;" tot "&amp;C6&amp;" m²"</f>
        <v>0% korting op het glas bij  tot  m²</v>
      </c>
      <c r="G6" s="169"/>
      <c r="H6" s="169"/>
      <c r="I6" s="169"/>
      <c r="L6" s="169" t="s">
        <v>110</v>
      </c>
      <c r="N6" s="156" t="s">
        <v>109</v>
      </c>
      <c r="P6" s="169" t="s">
        <v>108</v>
      </c>
      <c r="R6" s="169" t="s">
        <v>111</v>
      </c>
    </row>
    <row r="7" spans="1:18" x14ac:dyDescent="0.2">
      <c r="B7" s="170"/>
      <c r="C7" s="170"/>
      <c r="D7" s="171"/>
      <c r="E7" s="94" t="str">
        <f>D7*100&amp;"% korting op het glas bij &gt; "&amp;B7&amp;"m²"</f>
        <v>0% korting op het glas bij &gt; m²</v>
      </c>
      <c r="G7" s="169"/>
      <c r="H7" s="169"/>
      <c r="I7" s="169"/>
      <c r="L7" s="169" t="s">
        <v>112</v>
      </c>
      <c r="N7" s="169"/>
      <c r="P7" s="169"/>
      <c r="R7" s="169"/>
    </row>
    <row r="8" spans="1:18" x14ac:dyDescent="0.2">
      <c r="B8" s="170"/>
      <c r="C8" s="170"/>
      <c r="D8" s="171"/>
      <c r="E8" s="94"/>
      <c r="L8" s="169" t="s">
        <v>113</v>
      </c>
    </row>
    <row r="9" spans="1:18" x14ac:dyDescent="0.2">
      <c r="B9" s="94"/>
      <c r="C9" s="94"/>
      <c r="D9" s="94"/>
      <c r="E9" s="94"/>
      <c r="L9" s="169" t="s">
        <v>114</v>
      </c>
    </row>
    <row r="10" spans="1:18" ht="13.5" x14ac:dyDescent="0.25">
      <c r="B10" s="172" t="s">
        <v>115</v>
      </c>
      <c r="C10" s="94"/>
      <c r="D10" s="94"/>
      <c r="E10" s="94"/>
      <c r="L10" s="169" t="s">
        <v>116</v>
      </c>
    </row>
    <row r="11" spans="1:18" x14ac:dyDescent="0.2">
      <c r="B11" s="316" t="s">
        <v>117</v>
      </c>
      <c r="C11" s="316"/>
      <c r="D11" s="173"/>
      <c r="E11" s="94"/>
      <c r="L11" s="169" t="s">
        <v>118</v>
      </c>
    </row>
    <row r="12" spans="1:18" x14ac:dyDescent="0.2">
      <c r="B12" s="316" t="s">
        <v>119</v>
      </c>
      <c r="C12" s="316"/>
      <c r="D12" s="174">
        <f>VLOOKUP(D11,B4:E8,3,TRUE)</f>
        <v>0</v>
      </c>
      <c r="E12" s="94"/>
      <c r="L12" s="169" t="s">
        <v>120</v>
      </c>
    </row>
    <row r="13" spans="1:18" x14ac:dyDescent="0.2">
      <c r="B13" s="316" t="s">
        <v>95</v>
      </c>
      <c r="C13" s="316"/>
      <c r="D13" s="148" t="str">
        <f>VLOOKUP(D11,B4:E8,4,TRUE)</f>
        <v>0% korting</v>
      </c>
      <c r="E13" s="94"/>
      <c r="L13" s="169" t="s">
        <v>121</v>
      </c>
    </row>
    <row r="14" spans="1:18" x14ac:dyDescent="0.2">
      <c r="L14" s="169" t="s">
        <v>122</v>
      </c>
    </row>
    <row r="15" spans="1:18" x14ac:dyDescent="0.2">
      <c r="L15" s="169" t="s">
        <v>123</v>
      </c>
    </row>
    <row r="16" spans="1:18" x14ac:dyDescent="0.2">
      <c r="L16" s="169"/>
    </row>
    <row r="17" spans="5:5" x14ac:dyDescent="0.2">
      <c r="E17" s="184"/>
    </row>
  </sheetData>
  <sheetProtection algorithmName="SHA-512" hashValue="tnD7cia5LX47g5opCz0lRrHxSNnUpCJYL45vBO73HrOa+I2u8MfaMztG9sN8VM2DdQ4FsWv81yc3vtUpoq3ZyA==" saltValue="J/a7NbVxqNZ77rdhn24EoQ==" spinCount="100000" sheet="1" objects="1" scenarios="1" selectLockedCells="1" selectUnlockedCells="1"/>
  <mergeCells count="7">
    <mergeCell ref="B12:C12"/>
    <mergeCell ref="B13:C13"/>
    <mergeCell ref="G2:I2"/>
    <mergeCell ref="G1:I1"/>
    <mergeCell ref="B1:E1"/>
    <mergeCell ref="B2:E2"/>
    <mergeCell ref="B11:C11"/>
  </mergeCells>
  <phoneticPr fontId="2" type="noConversion"/>
  <pageMargins left="0.75" right="0.75" top="1" bottom="1" header="0.5" footer="0.5"/>
  <pageSetup paperSize="9" orientation="portrait" horizontalDpi="4294967295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I29"/>
  <sheetViews>
    <sheetView workbookViewId="0"/>
  </sheetViews>
  <sheetFormatPr defaultRowHeight="12.75" x14ac:dyDescent="0.2"/>
  <cols>
    <col min="1" max="1" width="5.7109375" style="4" customWidth="1"/>
    <col min="2" max="8" width="9.7109375" style="4" customWidth="1"/>
    <col min="9" max="9" width="5.7109375" style="4" customWidth="1"/>
    <col min="10" max="16384" width="9.140625" style="4"/>
  </cols>
  <sheetData>
    <row r="1" spans="2:8" x14ac:dyDescent="0.2">
      <c r="B1" s="494" t="s">
        <v>66</v>
      </c>
      <c r="C1" s="494"/>
      <c r="D1" s="494"/>
      <c r="E1" s="494"/>
      <c r="F1" s="494"/>
      <c r="G1" s="494"/>
      <c r="H1" s="494"/>
    </row>
    <row r="2" spans="2:8" x14ac:dyDescent="0.2">
      <c r="B2" s="140"/>
      <c r="C2" s="140"/>
      <c r="D2" s="140"/>
      <c r="E2" s="140"/>
      <c r="F2" s="128"/>
      <c r="G2" s="128"/>
      <c r="H2" s="128"/>
    </row>
    <row r="3" spans="2:8" ht="13.5" x14ac:dyDescent="0.25">
      <c r="B3" s="129" t="s">
        <v>124</v>
      </c>
      <c r="C3" s="129" t="s">
        <v>125</v>
      </c>
      <c r="D3" s="129" t="s">
        <v>126</v>
      </c>
      <c r="E3" s="129" t="s">
        <v>127</v>
      </c>
      <c r="F3" s="131" t="s">
        <v>128</v>
      </c>
      <c r="G3" s="131" t="s">
        <v>129</v>
      </c>
      <c r="H3" s="131" t="s">
        <v>130</v>
      </c>
    </row>
    <row r="4" spans="2:8" ht="13.5" x14ac:dyDescent="0.25">
      <c r="B4" s="129" t="s">
        <v>15</v>
      </c>
      <c r="C4" s="129" t="s">
        <v>13</v>
      </c>
      <c r="D4" s="129" t="s">
        <v>13</v>
      </c>
      <c r="E4" s="129" t="s">
        <v>13</v>
      </c>
      <c r="F4" s="131" t="s">
        <v>16</v>
      </c>
      <c r="G4" s="131" t="s">
        <v>70</v>
      </c>
      <c r="H4" s="131" t="s">
        <v>16</v>
      </c>
    </row>
    <row r="5" spans="2:8" x14ac:dyDescent="0.2">
      <c r="B5" s="4">
        <f>Offerteblad!F16</f>
        <v>0</v>
      </c>
      <c r="C5" s="138">
        <f>Offerteblad!G16</f>
        <v>0</v>
      </c>
      <c r="D5" s="138">
        <f>Offerteblad!H16</f>
        <v>0</v>
      </c>
      <c r="E5" s="138">
        <f>B5*((C5+D5)*2)</f>
        <v>0</v>
      </c>
      <c r="F5" s="133">
        <f>Offerteblad!I16</f>
        <v>0</v>
      </c>
      <c r="G5" s="133">
        <f>IF(F5=0,0,(IF(F5&lt;0.5,0.5,F5)))</f>
        <v>0</v>
      </c>
      <c r="H5" s="133">
        <f>Offerteblad!F16*Offerteblad!I16</f>
        <v>0</v>
      </c>
    </row>
    <row r="6" spans="2:8" x14ac:dyDescent="0.2">
      <c r="B6" s="4">
        <f>Offerteblad!F17</f>
        <v>0</v>
      </c>
      <c r="C6" s="138">
        <f>Offerteblad!G17</f>
        <v>0</v>
      </c>
      <c r="D6" s="138">
        <f>Offerteblad!H17</f>
        <v>0</v>
      </c>
      <c r="E6" s="138">
        <f t="shared" ref="E6:E23" si="0">B6*((C6+D6)*2)</f>
        <v>0</v>
      </c>
      <c r="F6" s="133">
        <f>Offerteblad!I17</f>
        <v>0</v>
      </c>
      <c r="G6" s="133">
        <f t="shared" ref="G6:G23" si="1">IF(F6=0,0,(IF(F6&lt;0.5,0.5,F6)))</f>
        <v>0</v>
      </c>
      <c r="H6" s="133">
        <f>Offerteblad!F17*Offerteblad!I17</f>
        <v>0</v>
      </c>
    </row>
    <row r="7" spans="2:8" x14ac:dyDescent="0.2">
      <c r="B7" s="4">
        <f>Offerteblad!F18</f>
        <v>0</v>
      </c>
      <c r="C7" s="138">
        <f>Offerteblad!G18</f>
        <v>0</v>
      </c>
      <c r="D7" s="138">
        <f>Offerteblad!H18</f>
        <v>0</v>
      </c>
      <c r="E7" s="138">
        <f t="shared" ref="E7" si="2">B7*((C7+D7)*2)</f>
        <v>0</v>
      </c>
      <c r="F7" s="133">
        <f>Offerteblad!I18</f>
        <v>0</v>
      </c>
      <c r="G7" s="133">
        <f t="shared" si="1"/>
        <v>0</v>
      </c>
      <c r="H7" s="133">
        <f>Offerteblad!F18*Offerteblad!I18</f>
        <v>0</v>
      </c>
    </row>
    <row r="8" spans="2:8" x14ac:dyDescent="0.2">
      <c r="B8" s="4">
        <f>Offerteblad!F19</f>
        <v>0</v>
      </c>
      <c r="C8" s="138">
        <f>Offerteblad!G19</f>
        <v>0</v>
      </c>
      <c r="D8" s="138">
        <f>Offerteblad!H19</f>
        <v>0</v>
      </c>
      <c r="E8" s="138">
        <f t="shared" si="0"/>
        <v>0</v>
      </c>
      <c r="F8" s="133">
        <f>Offerteblad!I19</f>
        <v>0</v>
      </c>
      <c r="G8" s="133">
        <f t="shared" si="1"/>
        <v>0</v>
      </c>
      <c r="H8" s="133">
        <f>Offerteblad!F19*Offerteblad!I19</f>
        <v>0</v>
      </c>
    </row>
    <row r="9" spans="2:8" x14ac:dyDescent="0.2">
      <c r="B9" s="4">
        <f>Offerteblad!F20</f>
        <v>0</v>
      </c>
      <c r="C9" s="138">
        <f>Offerteblad!G20</f>
        <v>0</v>
      </c>
      <c r="D9" s="138">
        <f>Offerteblad!H20</f>
        <v>0</v>
      </c>
      <c r="E9" s="138">
        <f t="shared" si="0"/>
        <v>0</v>
      </c>
      <c r="F9" s="133">
        <f>Offerteblad!I20</f>
        <v>0</v>
      </c>
      <c r="G9" s="133">
        <f t="shared" si="1"/>
        <v>0</v>
      </c>
      <c r="H9" s="133">
        <f>Offerteblad!F20*Offerteblad!I20</f>
        <v>0</v>
      </c>
    </row>
    <row r="10" spans="2:8" x14ac:dyDescent="0.2">
      <c r="B10" s="4">
        <f>Offerteblad!F21</f>
        <v>0</v>
      </c>
      <c r="C10" s="138">
        <f>Offerteblad!G21</f>
        <v>0</v>
      </c>
      <c r="D10" s="138">
        <f>Offerteblad!H21</f>
        <v>0</v>
      </c>
      <c r="E10" s="138">
        <f t="shared" si="0"/>
        <v>0</v>
      </c>
      <c r="F10" s="133">
        <f>Offerteblad!I21</f>
        <v>0</v>
      </c>
      <c r="G10" s="133">
        <f t="shared" si="1"/>
        <v>0</v>
      </c>
      <c r="H10" s="133">
        <f>Offerteblad!F21*Offerteblad!I21</f>
        <v>0</v>
      </c>
    </row>
    <row r="11" spans="2:8" x14ac:dyDescent="0.2">
      <c r="B11" s="4">
        <f>Offerteblad!F22</f>
        <v>0</v>
      </c>
      <c r="C11" s="138">
        <f>Offerteblad!G22</f>
        <v>0</v>
      </c>
      <c r="D11" s="138">
        <f>Offerteblad!H22</f>
        <v>0</v>
      </c>
      <c r="E11" s="138">
        <f t="shared" si="0"/>
        <v>0</v>
      </c>
      <c r="F11" s="133">
        <f>Offerteblad!I22</f>
        <v>0</v>
      </c>
      <c r="G11" s="133">
        <f t="shared" si="1"/>
        <v>0</v>
      </c>
      <c r="H11" s="133">
        <f>Offerteblad!F22*Offerteblad!I22</f>
        <v>0</v>
      </c>
    </row>
    <row r="12" spans="2:8" x14ac:dyDescent="0.2">
      <c r="B12" s="4">
        <f>Offerteblad!F23</f>
        <v>0</v>
      </c>
      <c r="C12" s="138">
        <f>Offerteblad!G23</f>
        <v>0</v>
      </c>
      <c r="D12" s="138">
        <f>Offerteblad!H23</f>
        <v>0</v>
      </c>
      <c r="E12" s="138">
        <f t="shared" si="0"/>
        <v>0</v>
      </c>
      <c r="F12" s="133">
        <f>Offerteblad!I23</f>
        <v>0</v>
      </c>
      <c r="G12" s="133">
        <f t="shared" si="1"/>
        <v>0</v>
      </c>
      <c r="H12" s="133">
        <f>Offerteblad!F23*Offerteblad!I23</f>
        <v>0</v>
      </c>
    </row>
    <row r="13" spans="2:8" x14ac:dyDescent="0.2">
      <c r="B13" s="4">
        <f>Offerteblad!F24</f>
        <v>0</v>
      </c>
      <c r="C13" s="138">
        <f>Offerteblad!G24</f>
        <v>0</v>
      </c>
      <c r="D13" s="138">
        <f>Offerteblad!H24</f>
        <v>0</v>
      </c>
      <c r="E13" s="138">
        <f t="shared" si="0"/>
        <v>0</v>
      </c>
      <c r="F13" s="133">
        <f>Offerteblad!I24</f>
        <v>0</v>
      </c>
      <c r="G13" s="133">
        <f t="shared" si="1"/>
        <v>0</v>
      </c>
      <c r="H13" s="133">
        <f>Offerteblad!F24*Offerteblad!I24</f>
        <v>0</v>
      </c>
    </row>
    <row r="14" spans="2:8" x14ac:dyDescent="0.2">
      <c r="B14" s="4">
        <f>Offerteblad!F25</f>
        <v>0</v>
      </c>
      <c r="C14" s="138">
        <f>Offerteblad!G25</f>
        <v>0</v>
      </c>
      <c r="D14" s="138">
        <f>Offerteblad!H25</f>
        <v>0</v>
      </c>
      <c r="E14" s="138">
        <f t="shared" si="0"/>
        <v>0</v>
      </c>
      <c r="F14" s="133">
        <f>Offerteblad!I25</f>
        <v>0</v>
      </c>
      <c r="G14" s="133">
        <f t="shared" si="1"/>
        <v>0</v>
      </c>
      <c r="H14" s="133">
        <f>Offerteblad!F25*Offerteblad!I25</f>
        <v>0</v>
      </c>
    </row>
    <row r="15" spans="2:8" x14ac:dyDescent="0.2">
      <c r="B15" s="4">
        <f>Offerteblad!F26</f>
        <v>0</v>
      </c>
      <c r="C15" s="138">
        <f>Offerteblad!G26</f>
        <v>0</v>
      </c>
      <c r="D15" s="138">
        <f>Offerteblad!H26</f>
        <v>0</v>
      </c>
      <c r="E15" s="138">
        <f t="shared" si="0"/>
        <v>0</v>
      </c>
      <c r="F15" s="133">
        <f>Offerteblad!I26</f>
        <v>0</v>
      </c>
      <c r="G15" s="133">
        <f t="shared" si="1"/>
        <v>0</v>
      </c>
      <c r="H15" s="133">
        <f>Offerteblad!F26*Offerteblad!I26</f>
        <v>0</v>
      </c>
    </row>
    <row r="16" spans="2:8" x14ac:dyDescent="0.2">
      <c r="B16" s="4">
        <f>Offerteblad!F27</f>
        <v>0</v>
      </c>
      <c r="C16" s="138">
        <f>Offerteblad!G27</f>
        <v>0</v>
      </c>
      <c r="D16" s="138">
        <f>Offerteblad!H27</f>
        <v>0</v>
      </c>
      <c r="E16" s="138">
        <f t="shared" si="0"/>
        <v>0</v>
      </c>
      <c r="F16" s="133">
        <f>Offerteblad!I27</f>
        <v>0</v>
      </c>
      <c r="G16" s="133">
        <f t="shared" si="1"/>
        <v>0</v>
      </c>
      <c r="H16" s="133">
        <f>Offerteblad!F27*Offerteblad!I27</f>
        <v>0</v>
      </c>
    </row>
    <row r="17" spans="2:9" x14ac:dyDescent="0.2">
      <c r="B17" s="4">
        <f>Offerteblad!F28</f>
        <v>0</v>
      </c>
      <c r="C17" s="138">
        <f>Offerteblad!G28</f>
        <v>0</v>
      </c>
      <c r="D17" s="138">
        <f>Offerteblad!H28</f>
        <v>0</v>
      </c>
      <c r="E17" s="138">
        <f t="shared" si="0"/>
        <v>0</v>
      </c>
      <c r="F17" s="133">
        <f>Offerteblad!I28</f>
        <v>0</v>
      </c>
      <c r="G17" s="133">
        <f t="shared" si="1"/>
        <v>0</v>
      </c>
      <c r="H17" s="133">
        <f>Offerteblad!F28*Offerteblad!I28</f>
        <v>0</v>
      </c>
    </row>
    <row r="18" spans="2:9" x14ac:dyDescent="0.2">
      <c r="B18" s="4">
        <f>Offerteblad!F29</f>
        <v>0</v>
      </c>
      <c r="C18" s="138">
        <f>Offerteblad!G29</f>
        <v>0</v>
      </c>
      <c r="D18" s="138">
        <f>Offerteblad!H29</f>
        <v>0</v>
      </c>
      <c r="E18" s="138">
        <f t="shared" si="0"/>
        <v>0</v>
      </c>
      <c r="F18" s="133">
        <f>Offerteblad!I29</f>
        <v>0</v>
      </c>
      <c r="G18" s="133">
        <f t="shared" si="1"/>
        <v>0</v>
      </c>
      <c r="H18" s="133">
        <f>Offerteblad!F29*Offerteblad!I29</f>
        <v>0</v>
      </c>
    </row>
    <row r="19" spans="2:9" x14ac:dyDescent="0.2">
      <c r="B19" s="4">
        <f>Offerteblad!F30</f>
        <v>0</v>
      </c>
      <c r="C19" s="138">
        <f>Offerteblad!G30</f>
        <v>0</v>
      </c>
      <c r="D19" s="138">
        <f>Offerteblad!H30</f>
        <v>0</v>
      </c>
      <c r="E19" s="138">
        <f t="shared" si="0"/>
        <v>0</v>
      </c>
      <c r="F19" s="133">
        <f>Offerteblad!I30</f>
        <v>0</v>
      </c>
      <c r="G19" s="133">
        <f t="shared" si="1"/>
        <v>0</v>
      </c>
      <c r="H19" s="133">
        <f>Offerteblad!F30*Offerteblad!I30</f>
        <v>0</v>
      </c>
    </row>
    <row r="20" spans="2:9" x14ac:dyDescent="0.2">
      <c r="B20" s="4">
        <f>Offerteblad!F31</f>
        <v>0</v>
      </c>
      <c r="C20" s="138">
        <f>Offerteblad!G31</f>
        <v>0</v>
      </c>
      <c r="D20" s="138">
        <f>Offerteblad!H31</f>
        <v>0</v>
      </c>
      <c r="E20" s="138">
        <f t="shared" si="0"/>
        <v>0</v>
      </c>
      <c r="F20" s="133">
        <f>Offerteblad!I31</f>
        <v>0</v>
      </c>
      <c r="G20" s="133">
        <f t="shared" si="1"/>
        <v>0</v>
      </c>
      <c r="H20" s="133">
        <f>Offerteblad!F31*Offerteblad!I31</f>
        <v>0</v>
      </c>
    </row>
    <row r="21" spans="2:9" x14ac:dyDescent="0.2">
      <c r="B21" s="4">
        <f>Offerteblad!F32</f>
        <v>0</v>
      </c>
      <c r="C21" s="138">
        <f>Offerteblad!G32</f>
        <v>0</v>
      </c>
      <c r="D21" s="138">
        <f>Offerteblad!H32</f>
        <v>0</v>
      </c>
      <c r="E21" s="138">
        <f t="shared" si="0"/>
        <v>0</v>
      </c>
      <c r="F21" s="133">
        <f>Offerteblad!I32</f>
        <v>0</v>
      </c>
      <c r="G21" s="133">
        <f t="shared" si="1"/>
        <v>0</v>
      </c>
      <c r="H21" s="133">
        <f>Offerteblad!F32*Offerteblad!I32</f>
        <v>0</v>
      </c>
    </row>
    <row r="22" spans="2:9" x14ac:dyDescent="0.2">
      <c r="B22" s="4">
        <f>Offerteblad!F33</f>
        <v>0</v>
      </c>
      <c r="C22" s="138">
        <f>Offerteblad!G33</f>
        <v>0</v>
      </c>
      <c r="D22" s="138">
        <f>Offerteblad!H33</f>
        <v>0</v>
      </c>
      <c r="E22" s="138">
        <f t="shared" si="0"/>
        <v>0</v>
      </c>
      <c r="F22" s="133">
        <f>Offerteblad!I33</f>
        <v>0</v>
      </c>
      <c r="G22" s="133">
        <f t="shared" si="1"/>
        <v>0</v>
      </c>
      <c r="H22" s="133">
        <f>Offerteblad!F33*Offerteblad!I33</f>
        <v>0</v>
      </c>
    </row>
    <row r="23" spans="2:9" x14ac:dyDescent="0.2">
      <c r="B23" s="4">
        <f>Offerteblad!F34</f>
        <v>0</v>
      </c>
      <c r="C23" s="138">
        <f>Offerteblad!G34</f>
        <v>0</v>
      </c>
      <c r="D23" s="138">
        <f>Offerteblad!H34</f>
        <v>0</v>
      </c>
      <c r="E23" s="138">
        <f t="shared" si="0"/>
        <v>0</v>
      </c>
      <c r="F23" s="133">
        <f>Offerteblad!I34</f>
        <v>0</v>
      </c>
      <c r="G23" s="133">
        <f t="shared" si="1"/>
        <v>0</v>
      </c>
      <c r="H23" s="133">
        <f>Offerteblad!F34*Offerteblad!I34</f>
        <v>0</v>
      </c>
    </row>
    <row r="24" spans="2:9" ht="13.5" thickBot="1" x14ac:dyDescent="0.25">
      <c r="B24" s="136"/>
      <c r="C24" s="138"/>
      <c r="D24" s="138"/>
      <c r="E24" s="139"/>
      <c r="F24" s="80"/>
      <c r="G24" s="80"/>
      <c r="H24" s="132"/>
    </row>
    <row r="25" spans="2:9" ht="13.5" thickTop="1" x14ac:dyDescent="0.2">
      <c r="B25" s="137">
        <f>SUM(B5:B24)</f>
        <v>0</v>
      </c>
      <c r="C25" s="4" t="s">
        <v>15</v>
      </c>
      <c r="E25" s="138">
        <f>SUM(E5:E24)/1000</f>
        <v>0</v>
      </c>
      <c r="F25" s="80" t="s">
        <v>131</v>
      </c>
      <c r="G25" s="80"/>
      <c r="H25" s="134">
        <f>SUM(H5:H23)</f>
        <v>0</v>
      </c>
      <c r="I25" s="4" t="s">
        <v>16</v>
      </c>
    </row>
    <row r="27" spans="2:9" x14ac:dyDescent="0.2">
      <c r="B27" s="4" t="s">
        <v>132</v>
      </c>
      <c r="C27" s="149">
        <f>CEILING(E25*2/13,1)</f>
        <v>0</v>
      </c>
      <c r="D27" s="4" t="s">
        <v>133</v>
      </c>
    </row>
    <row r="28" spans="2:9" x14ac:dyDescent="0.2">
      <c r="B28" s="4" t="s">
        <v>134</v>
      </c>
      <c r="C28" s="149">
        <f>CEILING(E25*2,25)/25</f>
        <v>0</v>
      </c>
      <c r="D28" s="4" t="s">
        <v>135</v>
      </c>
    </row>
    <row r="29" spans="2:9" x14ac:dyDescent="0.2">
      <c r="B29" s="4" t="s">
        <v>136</v>
      </c>
      <c r="C29" s="149">
        <f>B25</f>
        <v>0</v>
      </c>
      <c r="D29" s="4" t="s">
        <v>137</v>
      </c>
    </row>
  </sheetData>
  <sheetProtection algorithmName="SHA-512" hashValue="JGSUdIMx6k15fB1WSn06PSrH4jfic8tPeylViXIDpF/tOlgW+tWucRo1Y8xe7Ezo2lALOGs3A/6A6tJMy9+r/w==" saltValue="pgXjYPPrPfET15ULO/+qyg==" spinCount="100000" sheet="1" objects="1" scenarios="1" selectLockedCells="1" selectUnlockedCells="1"/>
  <mergeCells count="1">
    <mergeCell ref="B1:H1"/>
  </mergeCells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20</vt:i4>
      </vt:variant>
    </vt:vector>
  </HeadingPairs>
  <TitlesOfParts>
    <vt:vector size="29" baseType="lpstr">
      <vt:lpstr>Offerteblad</vt:lpstr>
      <vt:lpstr>Offerte</vt:lpstr>
      <vt:lpstr>Opdrachtbevestiging</vt:lpstr>
      <vt:lpstr>Factuur</vt:lpstr>
      <vt:lpstr>Bestellijst glas</vt:lpstr>
      <vt:lpstr>© Copyright</vt:lpstr>
      <vt:lpstr>_Prijzenblad</vt:lpstr>
      <vt:lpstr>_Gegevensblad</vt:lpstr>
      <vt:lpstr>_Rekenblad</vt:lpstr>
      <vt:lpstr>adres_land</vt:lpstr>
      <vt:lpstr>'Bestellijst glas'!Afdrukbereik</vt:lpstr>
      <vt:lpstr>Factuur!Afdrukbereik</vt:lpstr>
      <vt:lpstr>Offerte!Afdrukbereik</vt:lpstr>
      <vt:lpstr>Offerteblad!Afdrukbereik</vt:lpstr>
      <vt:lpstr>Opdrachtbevestiging!Afdrukbereik</vt:lpstr>
      <vt:lpstr>afhaallocatie</vt:lpstr>
      <vt:lpstr>afhalen_bezorgen</vt:lpstr>
      <vt:lpstr>btw_hoog</vt:lpstr>
      <vt:lpstr>btw_laag</vt:lpstr>
      <vt:lpstr>enkelglas</vt:lpstr>
      <vt:lpstr>enkelglas_artikel</vt:lpstr>
      <vt:lpstr>enkelglas_korting</vt:lpstr>
      <vt:lpstr>enkelglas_prijs</vt:lpstr>
      <vt:lpstr>ja_nee_selectie</vt:lpstr>
      <vt:lpstr>toebehoren_band</vt:lpstr>
      <vt:lpstr>toebehoren_blokjes</vt:lpstr>
      <vt:lpstr>toebehoren_kit</vt:lpstr>
      <vt:lpstr>verzend_hoog</vt:lpstr>
      <vt:lpstr>verzend_laag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Ricardo Klopman</cp:lastModifiedBy>
  <cp:lastPrinted>2014-06-24T12:39:44Z</cp:lastPrinted>
  <dcterms:created xsi:type="dcterms:W3CDTF">2004-09-01T06:34:16Z</dcterms:created>
  <dcterms:modified xsi:type="dcterms:W3CDTF">2014-06-24T12:56:33Z</dcterms:modified>
</cp:coreProperties>
</file>