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rian\Desktop\"/>
    </mc:Choice>
  </mc:AlternateContent>
  <bookViews>
    <workbookView xWindow="0" yWindow="0" windowWidth="20490" windowHeight="7755"/>
  </bookViews>
  <sheets>
    <sheet name="Offerteblad" sheetId="1" r:id="rId1"/>
    <sheet name="Factuur" sheetId="17" state="hidden" r:id="rId2"/>
    <sheet name="blad 1" sheetId="2" state="hidden" r:id="rId3"/>
    <sheet name="blad 2" sheetId="3" state="hidden" r:id="rId4"/>
    <sheet name="blad3" sheetId="5" state="hidden" r:id="rId5"/>
    <sheet name="offerte" sheetId="15" r:id="rId6"/>
    <sheet name="Opdrachtbevestiging" sheetId="16" state="hidden" r:id="rId7"/>
    <sheet name="Copyright" sheetId="4" state="hidden" r:id="rId8"/>
    <sheet name="Bestelling glas" sheetId="13" state="hidden" r:id="rId9"/>
  </sheets>
  <externalReferences>
    <externalReference r:id="rId10"/>
  </externalReferences>
  <definedNames>
    <definedName name="_xlnm._FilterDatabase" localSheetId="2" hidden="1">'blad 1'!$A$1:$A$3</definedName>
    <definedName name="_xlnm._FilterDatabase" localSheetId="0" hidden="1">Offerteblad!$J$10:$J$48</definedName>
    <definedName name="_xlnm.Print_Area" localSheetId="8">'Bestelling glas'!$A$1:$K$40</definedName>
    <definedName name="_xlnm.Print_Area" localSheetId="1">Factuur!$A$1:$K$54</definedName>
    <definedName name="_xlnm.Print_Area" localSheetId="5">offerte!$A$1:$K$54</definedName>
    <definedName name="_xlnm.Print_Area" localSheetId="0">Offerteblad!$B$3:$K$73</definedName>
    <definedName name="_xlnm.Print_Area" localSheetId="6">Opdrachtbevestiging!$A$1:$K$54</definedName>
    <definedName name="afhalen">'blad 2'!$T$18:$T$33</definedName>
    <definedName name="Artikel">'blad 1'!$C$2:$C$7</definedName>
    <definedName name="artikellijst">'blad 1'!$C$1:$C$7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gereedschap">'blad 2'!$E$55:$E$86</definedName>
    <definedName name="glaslatten">'blad 2'!$K$2:$M$57</definedName>
    <definedName name="janeeselectie">'blad 1'!$A$1:$A$3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Offerteblad!$I$9</definedName>
    <definedName name="prijslijsoverig">'blad 2'!$E$55:$F$158</definedName>
    <definedName name="prijslijst">'blad 2'!$A$2:$B$170</definedName>
    <definedName name="Provincie">'blad 1'!$H$1:$H$14</definedName>
    <definedName name="Rooster">'blad 1'!$A$10:$A$14</definedName>
    <definedName name="roosterprijslijst">'blad 2'!$E$1:$G$34</definedName>
    <definedName name="soortglas">'blad 2'!$A$2:$A$232</definedName>
    <definedName name="soortkit">'blad 2'!$O$3:$O$12</definedName>
    <definedName name="soortrooster">'blad 2'!$E$2:$E$26</definedName>
    <definedName name="Soortsamenstelling">'blad 2'!$A$2:$A$164</definedName>
    <definedName name="spouw">'blad 1'!$A$20:$A$23</definedName>
    <definedName name="spouwbreedte">'blad 1'!$A$19:$A$23</definedName>
  </definedNames>
  <calcPr calcId="152511" concurrentCalc="0"/>
</workbook>
</file>

<file path=xl/calcChain.xml><?xml version="1.0" encoding="utf-8"?>
<calcChain xmlns="http://schemas.openxmlformats.org/spreadsheetml/2006/main">
  <c r="D3" i="17" l="1"/>
  <c r="D5" i="17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6" i="1"/>
  <c r="J27" i="1"/>
  <c r="K27" i="1"/>
  <c r="J28" i="1"/>
  <c r="K28" i="1"/>
  <c r="J29" i="1"/>
  <c r="K29" i="1"/>
  <c r="J30" i="1"/>
  <c r="K30" i="1"/>
  <c r="K31" i="1"/>
  <c r="K32" i="1"/>
  <c r="H39" i="1"/>
  <c r="B51" i="16"/>
  <c r="C50" i="16"/>
  <c r="A50" i="16"/>
  <c r="F12" i="1"/>
  <c r="F21" i="1"/>
  <c r="K35" i="1"/>
  <c r="K36" i="1"/>
  <c r="K37" i="1"/>
  <c r="K38" i="1"/>
  <c r="K39" i="1"/>
  <c r="K40" i="1"/>
  <c r="C2" i="5"/>
  <c r="I2" i="5"/>
  <c r="C11" i="5"/>
  <c r="I11" i="5"/>
  <c r="C3" i="5"/>
  <c r="I3" i="5"/>
  <c r="C4" i="5"/>
  <c r="I4" i="5"/>
  <c r="C5" i="5"/>
  <c r="I5" i="5"/>
  <c r="C6" i="5"/>
  <c r="I6" i="5"/>
  <c r="C7" i="5"/>
  <c r="I7" i="5"/>
  <c r="C8" i="5"/>
  <c r="I8" i="5"/>
  <c r="C9" i="5"/>
  <c r="I9" i="5"/>
  <c r="C10" i="5"/>
  <c r="I10" i="5"/>
  <c r="C12" i="5"/>
  <c r="I12" i="5"/>
  <c r="C13" i="5"/>
  <c r="I13" i="5"/>
  <c r="C14" i="5"/>
  <c r="I14" i="5"/>
  <c r="C15" i="5"/>
  <c r="I15" i="5"/>
  <c r="C16" i="5"/>
  <c r="I16" i="5"/>
  <c r="C17" i="5"/>
  <c r="I17" i="5"/>
  <c r="C18" i="5"/>
  <c r="I18" i="5"/>
  <c r="C19" i="5"/>
  <c r="I19" i="5"/>
  <c r="C20" i="5"/>
  <c r="I20" i="5"/>
  <c r="I23" i="5"/>
  <c r="H17" i="2"/>
  <c r="H20" i="2"/>
  <c r="K41" i="1"/>
  <c r="O12" i="1"/>
  <c r="O21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9" i="1"/>
  <c r="O30" i="1"/>
  <c r="O31" i="1"/>
  <c r="V10" i="3"/>
  <c r="K42" i="1"/>
  <c r="K44" i="1"/>
  <c r="K45" i="1"/>
  <c r="K46" i="1"/>
  <c r="J49" i="16"/>
  <c r="A49" i="16"/>
  <c r="J48" i="16"/>
  <c r="A48" i="16"/>
  <c r="J47" i="16"/>
  <c r="D47" i="16"/>
  <c r="J46" i="16"/>
  <c r="X10" i="3"/>
  <c r="H42" i="1"/>
  <c r="H46" i="16"/>
  <c r="E46" i="16"/>
  <c r="D46" i="16"/>
  <c r="J45" i="16"/>
  <c r="J44" i="16"/>
  <c r="C44" i="16"/>
  <c r="A44" i="16"/>
  <c r="J43" i="16"/>
  <c r="H38" i="1"/>
  <c r="C43" i="16"/>
  <c r="C23" i="5"/>
  <c r="F38" i="1"/>
  <c r="A43" i="16"/>
  <c r="J42" i="16"/>
  <c r="H37" i="1"/>
  <c r="C42" i="16"/>
  <c r="D2" i="5"/>
  <c r="E2" i="5"/>
  <c r="G2" i="5"/>
  <c r="D11" i="5"/>
  <c r="E11" i="5"/>
  <c r="G11" i="5"/>
  <c r="D3" i="5"/>
  <c r="E3" i="5"/>
  <c r="G3" i="5"/>
  <c r="D4" i="5"/>
  <c r="E4" i="5"/>
  <c r="G4" i="5"/>
  <c r="D5" i="5"/>
  <c r="E5" i="5"/>
  <c r="G5" i="5"/>
  <c r="D6" i="5"/>
  <c r="E6" i="5"/>
  <c r="G6" i="5"/>
  <c r="D7" i="5"/>
  <c r="E7" i="5"/>
  <c r="G7" i="5"/>
  <c r="D8" i="5"/>
  <c r="E8" i="5"/>
  <c r="G8" i="5"/>
  <c r="D9" i="5"/>
  <c r="E9" i="5"/>
  <c r="G9" i="5"/>
  <c r="D10" i="5"/>
  <c r="E10" i="5"/>
  <c r="G10" i="5"/>
  <c r="D12" i="5"/>
  <c r="E12" i="5"/>
  <c r="G12" i="5"/>
  <c r="D13" i="5"/>
  <c r="E13" i="5"/>
  <c r="G13" i="5"/>
  <c r="D14" i="5"/>
  <c r="E14" i="5"/>
  <c r="G14" i="5"/>
  <c r="D15" i="5"/>
  <c r="E15" i="5"/>
  <c r="G15" i="5"/>
  <c r="D16" i="5"/>
  <c r="E16" i="5"/>
  <c r="G16" i="5"/>
  <c r="D17" i="5"/>
  <c r="E17" i="5"/>
  <c r="G17" i="5"/>
  <c r="D18" i="5"/>
  <c r="E18" i="5"/>
  <c r="G18" i="5"/>
  <c r="D19" i="5"/>
  <c r="E19" i="5"/>
  <c r="G19" i="5"/>
  <c r="D20" i="5"/>
  <c r="E20" i="5"/>
  <c r="G20" i="5"/>
  <c r="G23" i="5"/>
  <c r="G26" i="5"/>
  <c r="F37" i="1"/>
  <c r="A42" i="16"/>
  <c r="J41" i="16"/>
  <c r="H36" i="1"/>
  <c r="C41" i="16"/>
  <c r="G25" i="5"/>
  <c r="F36" i="1"/>
  <c r="A41" i="16"/>
  <c r="J39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J37" i="16"/>
  <c r="J36" i="16"/>
  <c r="I36" i="16"/>
  <c r="H36" i="16"/>
  <c r="G36" i="16"/>
  <c r="J35" i="16"/>
  <c r="I35" i="16"/>
  <c r="H35" i="16"/>
  <c r="G35" i="16"/>
  <c r="J34" i="16"/>
  <c r="I34" i="16"/>
  <c r="H34" i="16"/>
  <c r="G34" i="16"/>
  <c r="J33" i="16"/>
  <c r="I33" i="16"/>
  <c r="H33" i="16"/>
  <c r="G33" i="16"/>
  <c r="J32" i="16"/>
  <c r="I32" i="16"/>
  <c r="H32" i="16"/>
  <c r="G32" i="16"/>
  <c r="J31" i="16"/>
  <c r="I31" i="16"/>
  <c r="H31" i="16"/>
  <c r="G31" i="16"/>
  <c r="J30" i="16"/>
  <c r="I30" i="16"/>
  <c r="H30" i="16"/>
  <c r="G30" i="16"/>
  <c r="J29" i="16"/>
  <c r="I29" i="16"/>
  <c r="H29" i="16"/>
  <c r="G29" i="16"/>
  <c r="J28" i="16"/>
  <c r="I28" i="16"/>
  <c r="H28" i="16"/>
  <c r="G28" i="16"/>
  <c r="J27" i="16"/>
  <c r="I27" i="16"/>
  <c r="H27" i="16"/>
  <c r="G27" i="16"/>
  <c r="J26" i="16"/>
  <c r="I26" i="16"/>
  <c r="H26" i="16"/>
  <c r="G26" i="16"/>
  <c r="J25" i="16"/>
  <c r="I25" i="16"/>
  <c r="H25" i="16"/>
  <c r="G25" i="16"/>
  <c r="J24" i="16"/>
  <c r="I24" i="16"/>
  <c r="H24" i="16"/>
  <c r="G24" i="16"/>
  <c r="J23" i="16"/>
  <c r="I23" i="16"/>
  <c r="H23" i="16"/>
  <c r="G23" i="16"/>
  <c r="J22" i="16"/>
  <c r="I22" i="16"/>
  <c r="H22" i="16"/>
  <c r="G22" i="16"/>
  <c r="J21" i="16"/>
  <c r="I21" i="16"/>
  <c r="H21" i="16"/>
  <c r="G21" i="16"/>
  <c r="J20" i="16"/>
  <c r="I20" i="16"/>
  <c r="H20" i="16"/>
  <c r="G20" i="16"/>
  <c r="J19" i="16"/>
  <c r="I19" i="16"/>
  <c r="H19" i="16"/>
  <c r="G19" i="16"/>
  <c r="J18" i="16"/>
  <c r="I18" i="16"/>
  <c r="H18" i="16"/>
  <c r="G18" i="16"/>
  <c r="B51" i="15"/>
  <c r="C50" i="15"/>
  <c r="A50" i="15"/>
  <c r="J49" i="15"/>
  <c r="A49" i="15"/>
  <c r="J48" i="15"/>
  <c r="A48" i="15"/>
  <c r="J47" i="15"/>
  <c r="D47" i="15"/>
  <c r="J46" i="15"/>
  <c r="H46" i="15"/>
  <c r="E46" i="15"/>
  <c r="D46" i="15"/>
  <c r="J45" i="15"/>
  <c r="J44" i="15"/>
  <c r="C44" i="15"/>
  <c r="A44" i="15"/>
  <c r="J43" i="15"/>
  <c r="C43" i="15"/>
  <c r="A43" i="15"/>
  <c r="J42" i="15"/>
  <c r="C42" i="15"/>
  <c r="A42" i="15"/>
  <c r="J41" i="15"/>
  <c r="C41" i="15"/>
  <c r="A41" i="15"/>
  <c r="J39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J37" i="15"/>
  <c r="J36" i="15"/>
  <c r="I36" i="15"/>
  <c r="H36" i="15"/>
  <c r="G36" i="15"/>
  <c r="J35" i="15"/>
  <c r="I35" i="15"/>
  <c r="H35" i="15"/>
  <c r="G35" i="15"/>
  <c r="J34" i="15"/>
  <c r="I34" i="15"/>
  <c r="H34" i="15"/>
  <c r="G34" i="15"/>
  <c r="J33" i="15"/>
  <c r="I33" i="15"/>
  <c r="H33" i="15"/>
  <c r="G33" i="15"/>
  <c r="J32" i="15"/>
  <c r="I32" i="15"/>
  <c r="H32" i="15"/>
  <c r="G32" i="15"/>
  <c r="J31" i="15"/>
  <c r="I31" i="15"/>
  <c r="H31" i="15"/>
  <c r="G31" i="15"/>
  <c r="J30" i="15"/>
  <c r="I30" i="15"/>
  <c r="H30" i="15"/>
  <c r="G30" i="15"/>
  <c r="J29" i="15"/>
  <c r="I29" i="15"/>
  <c r="H29" i="15"/>
  <c r="G29" i="15"/>
  <c r="J28" i="15"/>
  <c r="I28" i="15"/>
  <c r="H28" i="15"/>
  <c r="G28" i="15"/>
  <c r="J27" i="15"/>
  <c r="I27" i="15"/>
  <c r="H27" i="15"/>
  <c r="G27" i="15"/>
  <c r="J26" i="15"/>
  <c r="I26" i="15"/>
  <c r="H26" i="15"/>
  <c r="G26" i="15"/>
  <c r="J25" i="15"/>
  <c r="I25" i="15"/>
  <c r="H25" i="15"/>
  <c r="G25" i="15"/>
  <c r="J24" i="15"/>
  <c r="I24" i="15"/>
  <c r="H24" i="15"/>
  <c r="G24" i="15"/>
  <c r="J23" i="15"/>
  <c r="I23" i="15"/>
  <c r="H23" i="15"/>
  <c r="G23" i="15"/>
  <c r="J22" i="15"/>
  <c r="I22" i="15"/>
  <c r="H22" i="15"/>
  <c r="G22" i="15"/>
  <c r="J21" i="15"/>
  <c r="I21" i="15"/>
  <c r="H21" i="15"/>
  <c r="G21" i="15"/>
  <c r="J20" i="15"/>
  <c r="I20" i="15"/>
  <c r="H20" i="15"/>
  <c r="G20" i="15"/>
  <c r="J19" i="15"/>
  <c r="I19" i="15"/>
  <c r="H19" i="15"/>
  <c r="G19" i="15"/>
  <c r="J18" i="15"/>
  <c r="I18" i="15"/>
  <c r="H18" i="15"/>
  <c r="G18" i="15"/>
  <c r="J43" i="17"/>
  <c r="J44" i="17"/>
  <c r="J45" i="17"/>
  <c r="C44" i="17"/>
  <c r="C43" i="17"/>
  <c r="D10" i="15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G19" i="17"/>
  <c r="G18" i="17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H18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I19" i="17"/>
  <c r="I18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J37" i="17"/>
  <c r="H18" i="2"/>
  <c r="J39" i="17"/>
  <c r="J41" i="17"/>
  <c r="J42" i="17"/>
  <c r="W10" i="3"/>
  <c r="J46" i="17"/>
  <c r="J47" i="17"/>
  <c r="J48" i="17"/>
  <c r="J49" i="17"/>
  <c r="G60" i="1"/>
  <c r="G61" i="1"/>
  <c r="G62" i="1"/>
  <c r="G63" i="1"/>
  <c r="G64" i="1"/>
  <c r="G65" i="1"/>
  <c r="D4" i="13"/>
  <c r="D5" i="13"/>
  <c r="I5" i="13"/>
  <c r="I6" i="13"/>
  <c r="D7" i="13"/>
  <c r="D9" i="13"/>
  <c r="D10" i="13"/>
  <c r="D11" i="13"/>
  <c r="E11" i="13"/>
  <c r="D12" i="13"/>
  <c r="D13" i="13"/>
  <c r="A18" i="13"/>
  <c r="C18" i="13"/>
  <c r="E18" i="13"/>
  <c r="F18" i="13"/>
  <c r="A19" i="13"/>
  <c r="C19" i="13"/>
  <c r="E19" i="13"/>
  <c r="F19" i="13"/>
  <c r="A20" i="13"/>
  <c r="C20" i="13"/>
  <c r="E20" i="13"/>
  <c r="F20" i="13"/>
  <c r="A21" i="13"/>
  <c r="C21" i="13"/>
  <c r="E21" i="13"/>
  <c r="F21" i="13"/>
  <c r="A22" i="13"/>
  <c r="C22" i="13"/>
  <c r="E22" i="13"/>
  <c r="F22" i="13"/>
  <c r="A23" i="13"/>
  <c r="C23" i="13"/>
  <c r="E23" i="13"/>
  <c r="F23" i="13"/>
  <c r="A24" i="13"/>
  <c r="C24" i="13"/>
  <c r="E24" i="13"/>
  <c r="F24" i="13"/>
  <c r="A25" i="13"/>
  <c r="C25" i="13"/>
  <c r="E25" i="13"/>
  <c r="F25" i="13"/>
  <c r="A26" i="13"/>
  <c r="C26" i="13"/>
  <c r="E26" i="13"/>
  <c r="F26" i="13"/>
  <c r="A27" i="13"/>
  <c r="C27" i="13"/>
  <c r="E27" i="13"/>
  <c r="F27" i="13"/>
  <c r="A28" i="13"/>
  <c r="C28" i="13"/>
  <c r="E28" i="13"/>
  <c r="F28" i="13"/>
  <c r="A29" i="13"/>
  <c r="C29" i="13"/>
  <c r="E29" i="13"/>
  <c r="F29" i="13"/>
  <c r="A30" i="13"/>
  <c r="C30" i="13"/>
  <c r="E30" i="13"/>
  <c r="F30" i="13"/>
  <c r="A31" i="13"/>
  <c r="C31" i="13"/>
  <c r="E31" i="13"/>
  <c r="F31" i="13"/>
  <c r="A32" i="13"/>
  <c r="C32" i="13"/>
  <c r="E32" i="13"/>
  <c r="F32" i="13"/>
  <c r="A33" i="13"/>
  <c r="C33" i="13"/>
  <c r="E33" i="13"/>
  <c r="F33" i="13"/>
  <c r="A34" i="13"/>
  <c r="C34" i="13"/>
  <c r="E34" i="13"/>
  <c r="F34" i="13"/>
  <c r="A35" i="13"/>
  <c r="C35" i="13"/>
  <c r="E35" i="13"/>
  <c r="F35" i="13"/>
  <c r="A36" i="13"/>
  <c r="C36" i="13"/>
  <c r="E36" i="13"/>
  <c r="F36" i="13"/>
  <c r="D4" i="17"/>
  <c r="I5" i="17"/>
  <c r="I6" i="17"/>
  <c r="I7" i="17"/>
  <c r="I8" i="17"/>
  <c r="C9" i="17"/>
  <c r="C10" i="17"/>
  <c r="C11" i="17"/>
  <c r="D11" i="17"/>
  <c r="D46" i="17"/>
  <c r="E46" i="17"/>
  <c r="D47" i="17"/>
  <c r="A48" i="17"/>
  <c r="A49" i="17"/>
  <c r="A50" i="17"/>
  <c r="C50" i="17"/>
  <c r="B51" i="17"/>
  <c r="D3" i="16"/>
  <c r="D4" i="16"/>
  <c r="I5" i="16"/>
  <c r="I6" i="16"/>
  <c r="I7" i="16"/>
  <c r="C8" i="16"/>
  <c r="I8" i="16"/>
  <c r="C9" i="16"/>
  <c r="C10" i="16"/>
  <c r="D10" i="16"/>
  <c r="D3" i="15"/>
  <c r="D7" i="15"/>
  <c r="D8" i="15"/>
  <c r="D9" i="15"/>
  <c r="L3" i="3"/>
  <c r="L4" i="3"/>
  <c r="L5" i="3"/>
  <c r="L6" i="3"/>
  <c r="L7" i="3"/>
  <c r="L8" i="3"/>
  <c r="L9" i="3"/>
  <c r="L10" i="3"/>
  <c r="L11" i="3"/>
  <c r="L12" i="3"/>
  <c r="L13" i="3"/>
  <c r="D16" i="2"/>
  <c r="D17" i="2"/>
  <c r="A33" i="2"/>
  <c r="B58" i="1"/>
  <c r="A43" i="17"/>
  <c r="O5" i="2"/>
  <c r="O6" i="2"/>
  <c r="H21" i="2"/>
  <c r="A42" i="17"/>
  <c r="A41" i="17"/>
  <c r="H46" i="17"/>
  <c r="A44" i="17"/>
  <c r="C42" i="17"/>
  <c r="C41" i="17"/>
</calcChain>
</file>

<file path=xl/sharedStrings.xml><?xml version="1.0" encoding="utf-8"?>
<sst xmlns="http://schemas.openxmlformats.org/spreadsheetml/2006/main" count="412" uniqueCount="280">
  <si>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</si>
  <si>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</si>
  <si>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</si>
  <si>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</si>
  <si>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</si>
  <si>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</si>
  <si>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</si>
  <si>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</si>
  <si>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</si>
  <si>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</si>
  <si>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Thermoplus Astralite HR+  5 - 4</t>
  </si>
  <si>
    <t>Thermoplus Astralite HR+  6 - 4</t>
  </si>
  <si>
    <t>Thermoplus Starlite HR++ 5 - 4</t>
  </si>
  <si>
    <t>Thermoplus Starlite HR++ 6 - 4</t>
  </si>
  <si>
    <t>Thermobel standaard 5 - 4</t>
  </si>
  <si>
    <t>Thermobel standaard 6 - 4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</si>
  <si>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</si>
  <si>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</si>
  <si>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</si>
  <si>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</si>
  <si>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</si>
  <si>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</si>
  <si>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</si>
  <si>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</si>
  <si>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</si>
  <si>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Geen rooster</t>
  </si>
  <si>
    <t>Ducoton 10</t>
  </si>
  <si>
    <t>Ducoton 18</t>
  </si>
  <si>
    <t>Ducoflat 12</t>
  </si>
  <si>
    <t>Subtotaal excl. BTW</t>
  </si>
  <si>
    <t>Totaal inclusief BTW</t>
  </si>
  <si>
    <t>Gewenste leverdatum</t>
  </si>
  <si>
    <t>tot 500</t>
  </si>
  <si>
    <t>daarboven per 100mm</t>
  </si>
  <si>
    <t>Soort en Samenstelling</t>
  </si>
  <si>
    <t>Verkoopprijs maatwerk
tot 500 mm
(excl. BTW)</t>
  </si>
  <si>
    <t>Verkoopprijs maatwerk &gt; 500 mm per 100 mm
(excl. BTW)</t>
  </si>
  <si>
    <t>Deze spreadsheet is eigendom van Glasdiscount.nl en mag uitsluitend gebruikt worden door (potentiële) relaties en klanten van Glasdiscount.nl</t>
  </si>
  <si>
    <t>Verkoopprijs per m2 excl. BTW</t>
  </si>
  <si>
    <t>Prijs glas
(€)</t>
  </si>
  <si>
    <t xml:space="preserve">  &lt;selecteer&gt;</t>
  </si>
  <si>
    <t>Opp.
M2</t>
  </si>
  <si>
    <t>Prijs 
m2 (€)</t>
  </si>
  <si>
    <t>Provincie</t>
  </si>
  <si>
    <t>Voor montage van de opgegeven ruiten heeft u het volgende nodig:</t>
  </si>
  <si>
    <t>Hoogte</t>
  </si>
  <si>
    <t>Breedte</t>
  </si>
  <si>
    <t>Totaal</t>
  </si>
  <si>
    <t>Kit</t>
  </si>
  <si>
    <t>Band</t>
  </si>
  <si>
    <t>Advies beglazingsmateriaal voor Montage:</t>
  </si>
  <si>
    <t>Transportverzekering (1,5%)</t>
  </si>
  <si>
    <t>Ruimte voor eventuele toelichting:</t>
  </si>
  <si>
    <t xml:space="preserve">Breedte
(mm)
</t>
  </si>
  <si>
    <t>Hoogte
(mm)</t>
  </si>
  <si>
    <t>Totaal exclusief BTW</t>
  </si>
  <si>
    <t>Type</t>
  </si>
  <si>
    <t>prijs per m1</t>
  </si>
  <si>
    <t>Prijs per lengte 4,6 m</t>
  </si>
  <si>
    <t xml:space="preserve">Glaslat type A1 17 x 15 mm </t>
  </si>
  <si>
    <t>Glaslat type A2 17 x 19 mm</t>
  </si>
  <si>
    <t>Glaslat type E1 17 x 15 mm</t>
  </si>
  <si>
    <t>Glaslat type S1 9 x 32 mm</t>
  </si>
  <si>
    <t>Glaslat type S2 12 x 32 mm</t>
  </si>
  <si>
    <t>Glaslat type ZS2 12 x 32 mm</t>
  </si>
  <si>
    <t>Glaslat type V1 17 x 25 mm</t>
  </si>
  <si>
    <t>Glaslat type V2 21 x 25 mm</t>
  </si>
  <si>
    <t>Glaslat type N45 18 x 45 mm</t>
  </si>
  <si>
    <t>Glaslat type N50 18 x 50 mm</t>
  </si>
  <si>
    <t>Glaslat type N55 18 x 55 mm</t>
  </si>
  <si>
    <t>Glasdiscount.nl</t>
  </si>
  <si>
    <t xml:space="preserve">Naam: </t>
  </si>
  <si>
    <t>Straat en huisnummer:</t>
  </si>
  <si>
    <t>Aan:</t>
  </si>
  <si>
    <t>Datum:</t>
  </si>
  <si>
    <t>Glassoort</t>
  </si>
  <si>
    <t>mm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</si>
  <si>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</si>
  <si>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</si>
  <si>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</si>
  <si>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</si>
  <si>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</si>
  <si>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</si>
  <si>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</si>
  <si>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</si>
  <si>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</si>
  <si>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>wit</t>
  </si>
  <si>
    <t>grijs</t>
  </si>
  <si>
    <t>bruin</t>
  </si>
  <si>
    <t>zwart</t>
  </si>
  <si>
    <t>Aantal setjes beglazingsblokjes</t>
  </si>
  <si>
    <t>Zwaluw Hibry-Seal-2PS 310 ml wit</t>
  </si>
  <si>
    <t>Beglazingsmateriaal bestellen ?</t>
  </si>
  <si>
    <t>Zwaluw Hibry-Seal-2PS 12x 310 ml wit</t>
  </si>
  <si>
    <t xml:space="preserve"> &lt;selecteer&gt;</t>
  </si>
  <si>
    <t xml:space="preserve"> Bloem Easyseal prof. 12x 310 ml wit</t>
  </si>
  <si>
    <t xml:space="preserve"> Bloem Easyseal Prof 310 ml wit</t>
  </si>
  <si>
    <t>Gewenste leverdatum:</t>
  </si>
  <si>
    <t>BESTELLING</t>
  </si>
  <si>
    <t>Telefoonnummer(s):</t>
  </si>
  <si>
    <t>Stap 2: Selecteer benodigde beglazingsproducten</t>
  </si>
  <si>
    <t>( ca. 2 - 3 weken levertijd)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</si>
  <si>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</si>
  <si>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</si>
  <si>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</si>
  <si>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</si>
  <si>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</si>
  <si>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</si>
  <si>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</si>
  <si>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m1</t>
  </si>
  <si>
    <t>m2</t>
  </si>
  <si>
    <t>aantal</t>
  </si>
  <si>
    <t>kosten afwijkend adres</t>
  </si>
  <si>
    <t>kosten standaard adres</t>
  </si>
  <si>
    <t>code factuuradres</t>
  </si>
  <si>
    <t>code afwijkend afleveradres</t>
  </si>
  <si>
    <t>Kinzo Glasdrager 1 nap</t>
  </si>
  <si>
    <t>Kinzo Glasdrager 2 nappen</t>
  </si>
  <si>
    <t>Kunststof glasdrager 3 nappen</t>
  </si>
  <si>
    <t>Kunststof glasdrager 4 nappen</t>
  </si>
  <si>
    <t>Aluminium glasdrager 1 nap</t>
  </si>
  <si>
    <t>Glassnijder</t>
  </si>
  <si>
    <t xml:space="preserve"> &lt;selecteer&gt; </t>
  </si>
  <si>
    <t>Aluminium glasdrager 2 nappen</t>
  </si>
  <si>
    <t>Aantal kokers beglazingskit Easyseal prof. 310 ml wit</t>
  </si>
  <si>
    <t>Prijs</t>
  </si>
  <si>
    <t>====&gt;</t>
  </si>
  <si>
    <t>Subtotaal (excl. BTW)</t>
  </si>
  <si>
    <t xml:space="preserve">achteraf obv factuur </t>
  </si>
  <si>
    <t>Benodigde producten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</si>
  <si>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</si>
  <si>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</si>
  <si>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</si>
  <si>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</si>
  <si>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</si>
  <si>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</si>
  <si>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</si>
  <si>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</si>
  <si>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 of afhalen ?</t>
  </si>
  <si>
    <t>Bezorgen</t>
  </si>
  <si>
    <t>Afhalen</t>
  </si>
  <si>
    <t>&lt; nvt &gt;</t>
  </si>
  <si>
    <t>Almelo</t>
  </si>
  <si>
    <t>Apeldoorn</t>
  </si>
  <si>
    <t>Arnhem</t>
  </si>
  <si>
    <t>Doetinchem</t>
  </si>
  <si>
    <t>Enschede</t>
  </si>
  <si>
    <t>Hoogeveen</t>
  </si>
  <si>
    <t>Nijmegen</t>
  </si>
  <si>
    <t>Roosendaal</t>
  </si>
  <si>
    <t>Tilburg</t>
  </si>
  <si>
    <t>Zwolle</t>
  </si>
  <si>
    <t>&lt; kies locatie &gt;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</si>
  <si>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</si>
  <si>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</si>
  <si>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</si>
  <si>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Bezorgen of afhalen:</t>
  </si>
  <si>
    <t>Deze voorwaarden kunt u lezen of downloaden op onze website www.glasdiscount.nl</t>
  </si>
  <si>
    <t>Beglazingsmaterialen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</si>
  <si>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</si>
  <si>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</si>
  <si>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Aantal rollen beglazingsband 3 mm wit 20m</t>
  </si>
  <si>
    <t>Opdrachtbevestiging</t>
  </si>
  <si>
    <t>Leverdatum (o.o.v.):</t>
  </si>
  <si>
    <t>Factuur</t>
  </si>
  <si>
    <t>Factuurdatum:</t>
  </si>
  <si>
    <t>Envelop bevat factuur</t>
  </si>
  <si>
    <t>06-22507350</t>
  </si>
  <si>
    <t>glasaftrek</t>
  </si>
  <si>
    <t>gratis</t>
  </si>
  <si>
    <t>tot 10 m2</t>
  </si>
  <si>
    <t xml:space="preserve"> 10 m2 - 20 m2</t>
  </si>
  <si>
    <t>© 2004 - 2007 Glasdiscount.nl</t>
  </si>
  <si>
    <t>Op geen enkele wijze mag dit programma gekopieerd of hergebruikt worden tenzij schriftelijke toestemming is verleend door Glasdiscount.nl</t>
  </si>
  <si>
    <t>BIC: RABONL2U</t>
  </si>
  <si>
    <t>IBAN: NL20RABO 0306070197</t>
  </si>
  <si>
    <t>Buva Fitstream 11 (alu)</t>
  </si>
  <si>
    <t>Buva Fitstream 11 (niet stand. RAL)</t>
  </si>
  <si>
    <t>Buva Fitstream 11 (stand. RAL)</t>
  </si>
  <si>
    <t>Buva Fitstream 14 (alu)</t>
  </si>
  <si>
    <t>Buva Fitstream 14 (stand. RAL)</t>
  </si>
  <si>
    <t>Buva Fitstream 14 (niet stand. RAL)</t>
  </si>
  <si>
    <t>Buva Fitstream 16 (alu)</t>
  </si>
  <si>
    <t>Buva Fitstream 16 (stand. RAL)</t>
  </si>
  <si>
    <t>Buva Fitstream 16 (niet stand. RAL)</t>
  </si>
  <si>
    <t>Buva Fitstream 21 (alu)</t>
  </si>
  <si>
    <t>Buva Fitstream 21 (stand. RAL)</t>
  </si>
  <si>
    <t>Buva Fitstream 21 (niet stand. RAL)</t>
  </si>
  <si>
    <t>Buva Slidestream (alu)</t>
  </si>
  <si>
    <t>Buva Slidestream (niet stand. RAL)</t>
  </si>
  <si>
    <t>Buva Slidestream (stand. RAL)</t>
  </si>
  <si>
    <t>Stap 3: Vul onderstaande gegevens volledig in</t>
  </si>
  <si>
    <t>Voor meer informatie over onze algemene voorwaarden, 
de bestelprocedure en de 
wijze van betalen verwijzen wij u naar onze site</t>
  </si>
  <si>
    <t>Voorsterweg 20</t>
  </si>
  <si>
    <t>7371 GC Loenen Gld.</t>
  </si>
  <si>
    <t>KvK: 08062381</t>
  </si>
  <si>
    <t>Contact: M. Put</t>
  </si>
  <si>
    <t>0-7,5m2</t>
  </si>
  <si>
    <t>7,5-15m2</t>
  </si>
  <si>
    <t>15-22,5m2</t>
  </si>
  <si>
    <t>22,5-30 m2</t>
  </si>
  <si>
    <t>&gt;30m2</t>
  </si>
  <si>
    <t>5% korting bij 7,5 tot 15 m2</t>
  </si>
  <si>
    <t>10% korting bij 15 tot 22,5 m2</t>
  </si>
  <si>
    <t>15% korting bij 22,5 tot 30 m2</t>
  </si>
  <si>
    <t>20% korting bij 30 m2 of meer</t>
  </si>
  <si>
    <t>Berekening korting</t>
  </si>
  <si>
    <t>Korting</t>
  </si>
  <si>
    <t>totaal m2</t>
  </si>
  <si>
    <t xml:space="preserve"> Ducoton 18 Naturel F1 geanodiseerd </t>
  </si>
  <si>
    <t xml:space="preserve"> Ducoton 18 standaard RAL kleur </t>
  </si>
  <si>
    <t xml:space="preserve"> Ducoton 18 niet standaard RAL kleur </t>
  </si>
  <si>
    <t xml:space="preserve"> Ducoline 10/17/22 Alu</t>
  </si>
  <si>
    <t xml:space="preserve"> Ducoline 10/17/22 Stand. Ral kleur</t>
  </si>
  <si>
    <t xml:space="preserve"> Ducoline 10/17/22 niet stand. RAL </t>
  </si>
  <si>
    <t xml:space="preserve"> Ducoline 10/17/22 ZR Naturel F1 geanodiseerd </t>
  </si>
  <si>
    <t xml:space="preserve"> Ducoline 10/17/22 ZR Standaard Ral kleur</t>
  </si>
  <si>
    <t xml:space="preserve"> Ducoline 10/17/22 ZR niet standaard Ral kleur </t>
  </si>
  <si>
    <t xml:space="preserve"> Ducoton 10 Alu</t>
  </si>
  <si>
    <t xml:space="preserve"> Ducoton 10 niet standaard RAL kleur </t>
  </si>
  <si>
    <t xml:space="preserve"> Ducoton 10 standaard RAL kleur </t>
  </si>
  <si>
    <t xml:space="preserve"> Ducoton 10 ZR Alu</t>
  </si>
  <si>
    <t xml:space="preserve"> Ducoton 10 ZR niet standaard RAL kleur </t>
  </si>
  <si>
    <t xml:space="preserve"> Ducoton 10 ZR standaard RAL kleur </t>
  </si>
  <si>
    <t>In onze nieuwe webshop is een uitgebreid assortiment te vinden van beglazingsmaterialen en gereedschappen.  Zie onze site www.bouwdiscount.nl.</t>
  </si>
  <si>
    <t>B.T.W. bedrag (21%)</t>
  </si>
  <si>
    <t>Verzending en afhandeling € 18,95 per order tot € 400,00 excl.</t>
  </si>
  <si>
    <t>Prijs glas</t>
  </si>
  <si>
    <t>Subtotaal glas excl. BTW</t>
  </si>
  <si>
    <t>Offerte programma Glasdiscount.nl versie: Veiligheidsglas</t>
  </si>
  <si>
    <t xml:space="preserve">Gelaagd veiligheidsglas 33.1 </t>
  </si>
  <si>
    <t>Gelaagd veiligheidsglas 33.1 mat</t>
  </si>
  <si>
    <t xml:space="preserve">Gelaagd veiligheidsglas 33.2 </t>
  </si>
  <si>
    <t xml:space="preserve">Gelaagd veiligheidsglas 44.1 </t>
  </si>
  <si>
    <t>Gelaagd veiligheidsglas 44.1 mat</t>
  </si>
  <si>
    <t xml:space="preserve">Gelaagd veiligheidsglas 44.2 </t>
  </si>
  <si>
    <t>Gelaagd veiligheidsglas 44.2 mat</t>
  </si>
  <si>
    <t xml:space="preserve">Gelaagd veiligheidsglas 44.4 </t>
  </si>
  <si>
    <t xml:space="preserve">Gelaagd veiligheidsglas 55.1 </t>
  </si>
  <si>
    <t xml:space="preserve">Gelaagd veiligheidsglas 55.2 </t>
  </si>
  <si>
    <t>Gelaagd veiligheidsglas 55.2 mat</t>
  </si>
  <si>
    <t xml:space="preserve">Gelaagd veiligheidsglas 55.4 </t>
  </si>
  <si>
    <t xml:space="preserve">Gelaagd veiligheidsglas 66.2 </t>
  </si>
  <si>
    <t>Gelaagd veiligheidsglas 66.2 mat</t>
  </si>
  <si>
    <t xml:space="preserve">Gelaagd veiligheidsglas 66.2 stratophone </t>
  </si>
  <si>
    <t xml:space="preserve">Gelaagd veiligheidsglas 66.4 </t>
  </si>
  <si>
    <t xml:space="preserve">Gelaagd veiligheidsglas 88.2 </t>
  </si>
  <si>
    <t>Gelaagd veiligheidsglas 88.2 mat</t>
  </si>
  <si>
    <t xml:space="preserve">Gelaagd veiligheidsglas 88.4 </t>
  </si>
  <si>
    <t>Gelaagd veiligheidsglas 1010.2</t>
  </si>
  <si>
    <t>Gelaagd veiligheidsglas 1010.2 mat</t>
  </si>
  <si>
    <t>Gelaagd veiligheidsglas 1212.2</t>
  </si>
  <si>
    <t>Gelaagd veiligheidsglas 1212.2 mat</t>
  </si>
  <si>
    <t>Stel zelf uw offerte samen door onderstaand formulier in te vullen. Alleen de geel gekleurde vakken zijn invoervelden.                                                                                                                                              De overige velden zijn beveiligd; Waar &lt;selecteer&gt; staat kunt u uit een lijst selecteren. Indien u niet voldoende invulvakken heeft, kunt u een tweede formulier invullen.
Indien er nog vragen zijn, neem dan contact met ons op.</t>
  </si>
  <si>
    <t xml:space="preserve">Gehard veiligheidsglas dik 4mm </t>
  </si>
  <si>
    <t xml:space="preserve">Gehard veiligheidsglas dik 5mm </t>
  </si>
  <si>
    <t xml:space="preserve">Gehard veiligheidsglas dik 6mm </t>
  </si>
  <si>
    <t xml:space="preserve">Gehard veiligheidsglas dik 8mm </t>
  </si>
  <si>
    <t xml:space="preserve">Gehard veiligheidsglas dik 10mm </t>
  </si>
  <si>
    <t xml:space="preserve">Gehard veiligheidsglas dik 12mm </t>
  </si>
  <si>
    <t>Satijn Matelux gehard veiligheidsglas dik 4mm</t>
  </si>
  <si>
    <t>Satijn Matelux gehard veiligheidsglas dik 5mm</t>
  </si>
  <si>
    <t>Satijn Matelux gehard veiligheidsglas dik 6mm</t>
  </si>
  <si>
    <t>Satijn Matelux gehard veiligheidsglas dik 8mm</t>
  </si>
  <si>
    <t>Satijn Matelux gehard veiligheidsglas dik 10mm</t>
  </si>
  <si>
    <t xml:space="preserve">Gehard veiligheidsglas gekleurd floatglas 10 mm brons </t>
  </si>
  <si>
    <t xml:space="preserve">Gehard veiligheidsglas gekleurd floatglas 10 mm grijs </t>
  </si>
  <si>
    <t xml:space="preserve">Gehard veiligheidsglas gekleurd floatglas 10 mm groen </t>
  </si>
  <si>
    <t xml:space="preserve">Gehard gelaagd veiligheidsglas 55.2  </t>
  </si>
  <si>
    <t xml:space="preserve">Gehard gelaagd veiligheidsglas 44.2  </t>
  </si>
  <si>
    <t xml:space="preserve">Gehard gelaagd veiligheidsglas 66.2  </t>
  </si>
  <si>
    <t>Gehard gelaagd veiligheidsglas 88.2</t>
  </si>
  <si>
    <t>Gehard gelaagd veiligheidsglas 1010.4</t>
  </si>
  <si>
    <t>Gehard geslaagd veiligheidsglas 1212.4</t>
  </si>
  <si>
    <t>(u kunt de aantallen aanpassen, bezorgkosten voor beglazingsmaterialen is €  6,75)</t>
  </si>
  <si>
    <t xml:space="preserve">Offerte </t>
  </si>
  <si>
    <t>055-8434202</t>
  </si>
  <si>
    <t>Vervaldatum factuur</t>
  </si>
  <si>
    <t>Versie 2013 ©</t>
  </si>
  <si>
    <t>Dit excel-bestand is niet meer geldig! 
Aan deze prijzen kunnen geen rechten worden ontleend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</si>
</sst>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#,##0.00_-"/>
    <numFmt numFmtId="166" formatCode="&quot;€&quot;\ #,##0.00_-"/>
    <numFmt numFmtId="167" formatCode="0#########"/>
    <numFmt numFmtId="168" formatCode="&quot;€&quot;\ #,##0.00"/>
  </numFmts>
  <fonts count="5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sz val="10"/>
      <color rgb="FFFF0000"/>
      <name val="Minimum"/>
    </font>
    <font>
      <sz val="10"/>
      <name val="Minimum"/>
    </font>
    <font>
      <sz val="10"/>
      <color theme="1"/>
      <name val="Arial"/>
      <family val="2"/>
    </font>
    <font>
      <sz val="10"/>
      <color theme="1"/>
      <name val="Minimum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Minimum"/>
    </font>
    <font>
      <b/>
      <sz val="10"/>
      <color theme="1"/>
      <name val="Arial"/>
      <family val="2"/>
    </font>
    <font>
      <b/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4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1" xfId="0" applyFill="1" applyBorder="1" applyProtection="1">
      <protection locked="0"/>
    </xf>
    <xf numFmtId="0" fontId="14" fillId="2" borderId="0" xfId="0" applyFont="1" applyFill="1" applyProtection="1">
      <protection hidden="1"/>
    </xf>
    <xf numFmtId="14" fontId="0" fillId="4" borderId="1" xfId="0" applyNumberFormat="1" applyFill="1" applyBorder="1" applyAlignment="1" applyProtection="1">
      <alignment horizontal="left"/>
      <protection locked="0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left" vertical="top" wrapText="1"/>
    </xf>
    <xf numFmtId="0" fontId="0" fillId="3" borderId="2" xfId="0" applyFill="1" applyBorder="1"/>
    <xf numFmtId="0" fontId="12" fillId="3" borderId="0" xfId="0" applyFont="1" applyFill="1" applyBorder="1"/>
    <xf numFmtId="166" fontId="12" fillId="3" borderId="0" xfId="0" applyNumberFormat="1" applyFont="1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7" fillId="3" borderId="0" xfId="0" applyFont="1" applyFill="1" applyProtection="1">
      <protection hidden="1"/>
    </xf>
    <xf numFmtId="0" fontId="12" fillId="3" borderId="0" xfId="0" applyFont="1" applyFill="1" applyAlignment="1" applyProtection="1">
      <alignment horizontal="left"/>
      <protection hidden="1"/>
    </xf>
    <xf numFmtId="0" fontId="19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4" fillId="3" borderId="0" xfId="0" applyFont="1" applyFill="1" applyBorder="1" applyAlignment="1" applyProtection="1">
      <protection hidden="1"/>
    </xf>
    <xf numFmtId="0" fontId="14" fillId="3" borderId="0" xfId="0" applyFont="1" applyFill="1" applyProtection="1">
      <protection hidden="1"/>
    </xf>
    <xf numFmtId="0" fontId="15" fillId="3" borderId="0" xfId="0" applyFont="1" applyFill="1" applyBorder="1" applyProtection="1">
      <protection hidden="1"/>
    </xf>
    <xf numFmtId="0" fontId="22" fillId="3" borderId="1" xfId="0" applyFont="1" applyFill="1" applyBorder="1" applyProtection="1">
      <protection hidden="1"/>
    </xf>
    <xf numFmtId="0" fontId="21" fillId="3" borderId="0" xfId="0" applyFont="1" applyFill="1" applyProtection="1">
      <protection hidden="1"/>
    </xf>
    <xf numFmtId="0" fontId="18" fillId="3" borderId="0" xfId="1" applyFont="1" applyFill="1" applyAlignment="1" applyProtection="1">
      <protection hidden="1"/>
    </xf>
    <xf numFmtId="0" fontId="19" fillId="3" borderId="0" xfId="0" applyFont="1" applyFill="1" applyProtection="1">
      <protection hidden="1"/>
    </xf>
    <xf numFmtId="0" fontId="1" fillId="3" borderId="1" xfId="0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0" fontId="20" fillId="3" borderId="0" xfId="1" applyFont="1" applyFill="1" applyBorder="1" applyAlignment="1" applyProtection="1">
      <protection hidden="1"/>
    </xf>
    <xf numFmtId="0" fontId="26" fillId="0" borderId="0" xfId="0" applyFont="1" applyProtection="1">
      <protection hidden="1"/>
    </xf>
    <xf numFmtId="0" fontId="26" fillId="0" borderId="0" xfId="0" applyFont="1" applyProtection="1"/>
    <xf numFmtId="166" fontId="1" fillId="3" borderId="0" xfId="0" applyNumberFormat="1" applyFont="1" applyFill="1" applyProtection="1">
      <protection hidden="1"/>
    </xf>
    <xf numFmtId="0" fontId="9" fillId="3" borderId="0" xfId="0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9" fillId="3" borderId="0" xfId="0" applyNumberFormat="1" applyFont="1" applyFill="1" applyAlignment="1" applyProtection="1">
      <alignment horizontal="left"/>
      <protection hidden="1"/>
    </xf>
    <xf numFmtId="0" fontId="10" fillId="3" borderId="0" xfId="0" applyFont="1" applyFill="1" applyProtection="1">
      <protection hidden="1"/>
    </xf>
    <xf numFmtId="14" fontId="9" fillId="3" borderId="0" xfId="0" applyNumberFormat="1" applyFont="1" applyFill="1" applyAlignment="1" applyProtection="1">
      <alignment horizontal="right"/>
      <protection hidden="1"/>
    </xf>
    <xf numFmtId="0" fontId="27" fillId="3" borderId="0" xfId="0" applyFont="1" applyFill="1" applyAlignment="1">
      <alignment horizontal="left"/>
    </xf>
    <xf numFmtId="4" fontId="1" fillId="3" borderId="1" xfId="0" applyNumberFormat="1" applyFont="1" applyFill="1" applyBorder="1" applyProtection="1"/>
    <xf numFmtId="165" fontId="1" fillId="3" borderId="1" xfId="0" applyNumberFormat="1" applyFont="1" applyFill="1" applyBorder="1"/>
    <xf numFmtId="165" fontId="9" fillId="3" borderId="7" xfId="0" applyNumberFormat="1" applyFont="1" applyFill="1" applyBorder="1" applyProtection="1"/>
    <xf numFmtId="0" fontId="0" fillId="3" borderId="8" xfId="0" applyFill="1" applyBorder="1"/>
    <xf numFmtId="0" fontId="0" fillId="3" borderId="9" xfId="0" applyFill="1" applyBorder="1"/>
    <xf numFmtId="0" fontId="8" fillId="3" borderId="10" xfId="0" applyFont="1" applyFill="1" applyBorder="1" applyAlignment="1" applyProtection="1">
      <alignment horizontal="left"/>
    </xf>
    <xf numFmtId="0" fontId="12" fillId="3" borderId="1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9" fillId="3" borderId="0" xfId="0" applyFont="1" applyFill="1" applyAlignment="1" applyProtection="1">
      <alignment horizontal="right"/>
      <protection hidden="1"/>
    </xf>
    <xf numFmtId="0" fontId="25" fillId="3" borderId="0" xfId="0" applyFont="1" applyFill="1" applyProtection="1">
      <protection hidden="1"/>
    </xf>
    <xf numFmtId="14" fontId="10" fillId="3" borderId="0" xfId="0" applyNumberFormat="1" applyFont="1" applyFill="1" applyProtection="1">
      <protection hidden="1"/>
    </xf>
    <xf numFmtId="0" fontId="9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13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0" fontId="1" fillId="3" borderId="16" xfId="0" applyFont="1" applyFill="1" applyBorder="1" applyProtection="1">
      <protection hidden="1"/>
    </xf>
    <xf numFmtId="0" fontId="7" fillId="3" borderId="17" xfId="0" applyFont="1" applyFill="1" applyBorder="1" applyProtection="1">
      <protection hidden="1"/>
    </xf>
    <xf numFmtId="0" fontId="7" fillId="3" borderId="16" xfId="0" applyFont="1" applyFill="1" applyBorder="1" applyProtection="1">
      <protection hidden="1"/>
    </xf>
    <xf numFmtId="167" fontId="1" fillId="3" borderId="16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17" xfId="0" applyFont="1" applyFill="1" applyBorder="1" applyProtection="1">
      <protection hidden="1"/>
    </xf>
    <xf numFmtId="167" fontId="1" fillId="3" borderId="18" xfId="0" applyNumberFormat="1" applyFont="1" applyFill="1" applyBorder="1" applyAlignment="1" applyProtection="1">
      <alignment horizontal="right"/>
      <protection hidden="1"/>
    </xf>
    <xf numFmtId="0" fontId="7" fillId="3" borderId="19" xfId="0" applyFont="1" applyFill="1" applyBorder="1" applyProtection="1">
      <protection hidden="1"/>
    </xf>
    <xf numFmtId="0" fontId="22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9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14" fontId="1" fillId="3" borderId="0" xfId="0" applyNumberFormat="1" applyFont="1" applyFill="1" applyAlignment="1" applyProtection="1">
      <alignment horizontal="right"/>
      <protection hidden="1"/>
    </xf>
    <xf numFmtId="0" fontId="9" fillId="3" borderId="2" xfId="0" applyFont="1" applyFill="1" applyBorder="1"/>
    <xf numFmtId="0" fontId="3" fillId="3" borderId="1" xfId="0" applyFont="1" applyFill="1" applyBorder="1" applyAlignment="1" applyProtection="1"/>
    <xf numFmtId="49" fontId="3" fillId="3" borderId="1" xfId="0" applyNumberFormat="1" applyFont="1" applyFill="1" applyBorder="1" applyAlignment="1" applyProtection="1"/>
    <xf numFmtId="167" fontId="3" fillId="3" borderId="1" xfId="0" applyNumberFormat="1" applyFont="1" applyFill="1" applyBorder="1" applyAlignment="1" applyProtection="1"/>
    <xf numFmtId="0" fontId="6" fillId="3" borderId="1" xfId="0" applyFont="1" applyFill="1" applyBorder="1" applyAlignment="1" applyProtection="1">
      <alignment horizontal="left"/>
    </xf>
    <xf numFmtId="0" fontId="8" fillId="3" borderId="1" xfId="0" applyFont="1" applyFill="1" applyBorder="1" applyAlignment="1" applyProtection="1">
      <alignment horizontal="left"/>
    </xf>
    <xf numFmtId="0" fontId="0" fillId="3" borderId="0" xfId="0" applyFill="1" applyBorder="1" applyAlignment="1" applyProtection="1">
      <alignment vertical="top" wrapText="1" shrinkToFit="1"/>
      <protection locked="0"/>
    </xf>
    <xf numFmtId="0" fontId="25" fillId="3" borderId="0" xfId="0" applyFont="1" applyFill="1" applyBorder="1" applyAlignment="1">
      <alignment horizontal="left" vertical="top"/>
    </xf>
    <xf numFmtId="166" fontId="1" fillId="3" borderId="1" xfId="0" quotePrefix="1" applyNumberFormat="1" applyFont="1" applyFill="1" applyBorder="1" applyAlignment="1"/>
    <xf numFmtId="0" fontId="9" fillId="3" borderId="0" xfId="0" quotePrefix="1" applyFont="1" applyFill="1" applyBorder="1" applyAlignment="1" applyProtection="1"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166" fontId="0" fillId="3" borderId="7" xfId="0" applyNumberFormat="1" applyFill="1" applyBorder="1"/>
    <xf numFmtId="166" fontId="12" fillId="3" borderId="7" xfId="0" applyNumberFormat="1" applyFont="1" applyFill="1" applyBorder="1"/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3" xfId="0" applyFont="1" applyFill="1" applyBorder="1" applyProtection="1">
      <protection hidden="1"/>
    </xf>
    <xf numFmtId="0" fontId="1" fillId="3" borderId="18" xfId="0" applyFont="1" applyFill="1" applyBorder="1" applyAlignment="1" applyProtection="1">
      <protection hidden="1"/>
    </xf>
    <xf numFmtId="0" fontId="37" fillId="3" borderId="21" xfId="0" applyFont="1" applyFill="1" applyBorder="1" applyAlignment="1">
      <alignment horizontal="left"/>
    </xf>
    <xf numFmtId="0" fontId="37" fillId="3" borderId="0" xfId="0" applyFont="1" applyFill="1" applyBorder="1" applyAlignment="1">
      <alignment horizontal="left"/>
    </xf>
    <xf numFmtId="0" fontId="37" fillId="3" borderId="22" xfId="0" applyFont="1" applyFill="1" applyBorder="1" applyAlignment="1">
      <alignment horizontal="left"/>
    </xf>
    <xf numFmtId="0" fontId="37" fillId="3" borderId="24" xfId="0" applyFont="1" applyFill="1" applyBorder="1" applyAlignment="1">
      <alignment horizontal="left"/>
    </xf>
    <xf numFmtId="166" fontId="37" fillId="3" borderId="24" xfId="0" applyNumberFormat="1" applyFont="1" applyFill="1" applyBorder="1" applyAlignment="1">
      <alignment horizontal="left"/>
    </xf>
    <xf numFmtId="0" fontId="6" fillId="3" borderId="10" xfId="0" applyFont="1" applyFill="1" applyBorder="1" applyAlignment="1" applyProtection="1">
      <alignment horizontal="left"/>
    </xf>
    <xf numFmtId="0" fontId="26" fillId="3" borderId="0" xfId="0" applyFont="1" applyFill="1" applyBorder="1" applyAlignment="1" applyProtection="1">
      <alignment vertical="top" wrapText="1"/>
      <protection hidden="1"/>
    </xf>
    <xf numFmtId="0" fontId="10" fillId="3" borderId="25" xfId="0" applyFont="1" applyFill="1" applyBorder="1" applyAlignment="1" applyProtection="1">
      <protection hidden="1"/>
    </xf>
    <xf numFmtId="0" fontId="10" fillId="3" borderId="10" xfId="0" applyFont="1" applyFill="1" applyBorder="1" applyAlignment="1" applyProtection="1">
      <protection hidden="1"/>
    </xf>
    <xf numFmtId="0" fontId="10" fillId="3" borderId="26" xfId="0" applyFont="1" applyFill="1" applyBorder="1" applyAlignment="1" applyProtection="1">
      <protection hidden="1"/>
    </xf>
    <xf numFmtId="14" fontId="3" fillId="3" borderId="1" xfId="0" applyNumberFormat="1" applyFont="1" applyFill="1" applyBorder="1" applyAlignment="1" applyProtection="1"/>
    <xf numFmtId="0" fontId="10" fillId="3" borderId="2" xfId="0" applyFont="1" applyFill="1" applyBorder="1"/>
    <xf numFmtId="0" fontId="26" fillId="3" borderId="0" xfId="0" applyFont="1" applyFill="1" applyProtection="1"/>
    <xf numFmtId="1" fontId="9" fillId="3" borderId="0" xfId="0" applyNumberFormat="1" applyFont="1" applyFill="1" applyAlignment="1" applyProtection="1">
      <alignment horizontal="right"/>
      <protection hidden="1"/>
    </xf>
    <xf numFmtId="0" fontId="25" fillId="3" borderId="0" xfId="0" applyFont="1" applyFill="1" applyAlignment="1" applyProtection="1">
      <alignment horizontal="left"/>
      <protection hidden="1"/>
    </xf>
    <xf numFmtId="0" fontId="7" fillId="3" borderId="0" xfId="0" applyNumberFormat="1" applyFont="1" applyFill="1" applyBorder="1" applyAlignment="1" applyProtection="1">
      <protection hidden="1"/>
    </xf>
    <xf numFmtId="0" fontId="1" fillId="3" borderId="15" xfId="0" applyFont="1" applyFill="1" applyBorder="1" applyProtection="1">
      <protection hidden="1"/>
    </xf>
    <xf numFmtId="0" fontId="7" fillId="3" borderId="20" xfId="0" applyFont="1" applyFill="1" applyBorder="1" applyProtection="1">
      <protection hidden="1"/>
    </xf>
    <xf numFmtId="14" fontId="9" fillId="3" borderId="0" xfId="0" applyNumberFormat="1" applyFont="1" applyFill="1" applyAlignment="1" applyProtection="1">
      <alignment horizontal="right"/>
      <protection locked="0"/>
    </xf>
    <xf numFmtId="1" fontId="9" fillId="3" borderId="0" xfId="0" applyNumberFormat="1" applyFont="1" applyFill="1" applyAlignment="1" applyProtection="1">
      <alignment horizontal="right"/>
      <protection locked="0"/>
    </xf>
    <xf numFmtId="14" fontId="1" fillId="3" borderId="0" xfId="0" applyNumberFormat="1" applyFont="1" applyFill="1" applyProtection="1">
      <protection locked="0"/>
    </xf>
    <xf numFmtId="0" fontId="26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26" fillId="3" borderId="0" xfId="0" applyFont="1" applyFill="1" applyProtection="1">
      <protection locked="0"/>
    </xf>
    <xf numFmtId="0" fontId="29" fillId="3" borderId="27" xfId="0" applyFont="1" applyFill="1" applyBorder="1" applyAlignment="1">
      <alignment horizontal="right"/>
    </xf>
    <xf numFmtId="0" fontId="34" fillId="3" borderId="0" xfId="0" applyFont="1" applyFill="1" applyBorder="1" applyAlignment="1" applyProtection="1">
      <alignment horizontal="right" vertical="top" wrapText="1"/>
      <protection hidden="1"/>
    </xf>
    <xf numFmtId="0" fontId="34" fillId="3" borderId="0" xfId="0" applyFont="1" applyFill="1"/>
    <xf numFmtId="0" fontId="41" fillId="3" borderId="0" xfId="0" applyFont="1" applyFill="1"/>
    <xf numFmtId="14" fontId="30" fillId="3" borderId="0" xfId="0" applyNumberFormat="1" applyFont="1" applyFill="1" applyBorder="1" applyAlignment="1" applyProtection="1">
      <alignment horizontal="left"/>
      <protection locked="0"/>
    </xf>
    <xf numFmtId="0" fontId="37" fillId="0" borderId="0" xfId="0" applyFont="1" applyFill="1" applyAlignment="1">
      <alignment horizontal="left"/>
    </xf>
    <xf numFmtId="14" fontId="37" fillId="3" borderId="0" xfId="0" applyNumberFormat="1" applyFont="1" applyFill="1" applyBorder="1" applyAlignment="1" applyProtection="1">
      <alignment horizontal="left"/>
      <protection locked="0"/>
    </xf>
    <xf numFmtId="0" fontId="45" fillId="3" borderId="0" xfId="0" applyFont="1" applyFill="1" applyBorder="1" applyProtection="1">
      <protection hidden="1"/>
    </xf>
    <xf numFmtId="166" fontId="0" fillId="3" borderId="28" xfId="0" applyNumberFormat="1" applyFill="1" applyBorder="1"/>
    <xf numFmtId="166" fontId="0" fillId="3" borderId="29" xfId="0" applyNumberFormat="1" applyFill="1" applyBorder="1" applyAlignment="1">
      <alignment horizontal="right"/>
    </xf>
    <xf numFmtId="166" fontId="0" fillId="3" borderId="30" xfId="0" applyNumberFormat="1" applyFill="1" applyBorder="1"/>
    <xf numFmtId="166" fontId="0" fillId="3" borderId="31" xfId="0" applyNumberFormat="1" applyFill="1" applyBorder="1"/>
    <xf numFmtId="166" fontId="9" fillId="3" borderId="32" xfId="0" applyNumberFormat="1" applyFont="1" applyFill="1" applyBorder="1"/>
    <xf numFmtId="168" fontId="4" fillId="3" borderId="27" xfId="0" applyNumberFormat="1" applyFont="1" applyFill="1" applyBorder="1" applyAlignment="1">
      <alignment horizontal="right"/>
    </xf>
    <xf numFmtId="0" fontId="21" fillId="3" borderId="0" xfId="0" applyFont="1" applyFill="1" applyBorder="1" applyProtection="1">
      <protection hidden="1"/>
    </xf>
    <xf numFmtId="0" fontId="21" fillId="3" borderId="0" xfId="1" applyFont="1" applyFill="1" applyBorder="1" applyAlignment="1" applyProtection="1">
      <protection hidden="1"/>
    </xf>
    <xf numFmtId="0" fontId="46" fillId="3" borderId="0" xfId="0" applyFont="1" applyFill="1" applyProtection="1">
      <protection hidden="1"/>
    </xf>
    <xf numFmtId="0" fontId="45" fillId="9" borderId="0" xfId="0" applyFont="1" applyFill="1"/>
    <xf numFmtId="0" fontId="45" fillId="2" borderId="0" xfId="0" applyFont="1" applyFill="1" applyProtection="1">
      <protection hidden="1"/>
    </xf>
    <xf numFmtId="0" fontId="45" fillId="9" borderId="0" xfId="0" applyFont="1" applyFill="1" applyProtection="1">
      <protection hidden="1"/>
    </xf>
    <xf numFmtId="0" fontId="45" fillId="0" borderId="0" xfId="0" applyFont="1" applyFill="1"/>
    <xf numFmtId="0" fontId="45" fillId="2" borderId="0" xfId="0" applyFont="1" applyFill="1"/>
    <xf numFmtId="0" fontId="45" fillId="2" borderId="0" xfId="0" applyFont="1" applyFill="1" applyBorder="1" applyProtection="1">
      <protection hidden="1"/>
    </xf>
    <xf numFmtId="0" fontId="9" fillId="3" borderId="57" xfId="0" applyFont="1" applyFill="1" applyBorder="1" applyAlignment="1">
      <alignment vertical="top" wrapText="1"/>
    </xf>
    <xf numFmtId="0" fontId="48" fillId="9" borderId="0" xfId="0" applyFont="1" applyFill="1"/>
    <xf numFmtId="0" fontId="0" fillId="9" borderId="0" xfId="0" applyFill="1"/>
    <xf numFmtId="0" fontId="9" fillId="3" borderId="57" xfId="0" applyFont="1" applyFill="1" applyBorder="1" applyAlignment="1">
      <alignment vertical="top"/>
    </xf>
    <xf numFmtId="0" fontId="9" fillId="3" borderId="58" xfId="0" applyFont="1" applyFill="1" applyBorder="1" applyAlignment="1">
      <alignment vertical="top" wrapText="1"/>
    </xf>
    <xf numFmtId="0" fontId="0" fillId="4" borderId="20" xfId="0" applyFill="1" applyBorder="1" applyProtection="1">
      <protection locked="0"/>
    </xf>
    <xf numFmtId="0" fontId="44" fillId="4" borderId="26" xfId="0" applyFont="1" applyFill="1" applyBorder="1" applyProtection="1">
      <protection locked="0"/>
    </xf>
    <xf numFmtId="0" fontId="0" fillId="4" borderId="26" xfId="0" applyFill="1" applyBorder="1" applyProtection="1">
      <protection locked="0"/>
    </xf>
    <xf numFmtId="0" fontId="44" fillId="3" borderId="0" xfId="0" applyFont="1" applyFill="1" applyBorder="1" applyAlignment="1" applyProtection="1">
      <protection hidden="1"/>
    </xf>
    <xf numFmtId="0" fontId="44" fillId="9" borderId="0" xfId="0" applyFont="1" applyFill="1" applyBorder="1" applyAlignment="1">
      <alignment vertical="top" wrapText="1"/>
    </xf>
    <xf numFmtId="44" fontId="50" fillId="9" borderId="0" xfId="0" applyNumberFormat="1" applyFont="1" applyFill="1" applyBorder="1" applyAlignment="1">
      <alignment horizontal="right"/>
    </xf>
    <xf numFmtId="0" fontId="44" fillId="3" borderId="0" xfId="0" applyFont="1" applyFill="1"/>
    <xf numFmtId="0" fontId="7" fillId="5" borderId="0" xfId="0" applyFont="1" applyFill="1" applyAlignment="1">
      <alignment horizontal="left"/>
    </xf>
    <xf numFmtId="0" fontId="22" fillId="3" borderId="0" xfId="0" applyFont="1" applyFill="1" applyBorder="1" applyAlignment="1" applyProtection="1">
      <protection hidden="1"/>
    </xf>
    <xf numFmtId="0" fontId="1" fillId="3" borderId="0" xfId="0" applyFont="1" applyFill="1" applyAlignment="1" applyProtection="1">
      <alignment horizontal="center"/>
      <protection hidden="1"/>
    </xf>
    <xf numFmtId="0" fontId="44" fillId="3" borderId="1" xfId="0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22" fillId="3" borderId="1" xfId="0" applyFont="1" applyFill="1" applyBorder="1" applyAlignment="1" applyProtection="1">
      <alignment horizontal="center" wrapText="1"/>
      <protection hidden="1"/>
    </xf>
    <xf numFmtId="0" fontId="22" fillId="3" borderId="55" xfId="0" applyFont="1" applyFill="1" applyBorder="1" applyAlignment="1" applyProtection="1">
      <alignment horizontal="center"/>
      <protection hidden="1"/>
    </xf>
    <xf numFmtId="0" fontId="9" fillId="3" borderId="19" xfId="0" applyFont="1" applyFill="1" applyBorder="1" applyAlignment="1" applyProtection="1">
      <protection hidden="1"/>
    </xf>
    <xf numFmtId="0" fontId="22" fillId="3" borderId="14" xfId="0" applyFont="1" applyFill="1" applyBorder="1" applyAlignment="1" applyProtection="1">
      <protection hidden="1"/>
    </xf>
    <xf numFmtId="0" fontId="9" fillId="3" borderId="1" xfId="0" applyFont="1" applyFill="1" applyBorder="1" applyProtection="1">
      <protection hidden="1"/>
    </xf>
    <xf numFmtId="0" fontId="44" fillId="3" borderId="3" xfId="0" applyFont="1" applyFill="1" applyBorder="1" applyAlignment="1" applyProtection="1">
      <alignment horizontal="center"/>
      <protection hidden="1"/>
    </xf>
    <xf numFmtId="44" fontId="1" fillId="3" borderId="1" xfId="2" applyFont="1" applyFill="1" applyBorder="1" applyProtection="1">
      <protection hidden="1"/>
    </xf>
    <xf numFmtId="0" fontId="22" fillId="3" borderId="1" xfId="0" applyFont="1" applyFill="1" applyBorder="1" applyAlignment="1" applyProtection="1">
      <protection hidden="1"/>
    </xf>
    <xf numFmtId="0" fontId="21" fillId="3" borderId="1" xfId="0" applyFont="1" applyFill="1" applyBorder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protection hidden="1"/>
    </xf>
    <xf numFmtId="0" fontId="1" fillId="3" borderId="0" xfId="0" applyFont="1" applyFill="1" applyBorder="1" applyAlignment="1" applyProtection="1">
      <protection hidden="1"/>
    </xf>
    <xf numFmtId="44" fontId="49" fillId="9" borderId="0" xfId="2" applyFont="1" applyFill="1" applyBorder="1" applyAlignment="1">
      <alignment horizontal="right"/>
    </xf>
    <xf numFmtId="0" fontId="48" fillId="9" borderId="0" xfId="0" applyFont="1" applyFill="1" applyProtection="1">
      <protection hidden="1"/>
    </xf>
    <xf numFmtId="0" fontId="48" fillId="3" borderId="0" xfId="0" applyFont="1" applyFill="1"/>
    <xf numFmtId="0" fontId="51" fillId="9" borderId="0" xfId="0" applyFont="1" applyFill="1" applyBorder="1" applyAlignment="1">
      <alignment vertical="top" wrapText="1"/>
    </xf>
    <xf numFmtId="44" fontId="52" fillId="9" borderId="0" xfId="2" applyFont="1" applyFill="1" applyBorder="1" applyAlignment="1">
      <alignment horizontal="right"/>
    </xf>
    <xf numFmtId="44" fontId="51" fillId="3" borderId="0" xfId="2" applyFont="1" applyFill="1" applyBorder="1" applyProtection="1">
      <protection hidden="1"/>
    </xf>
    <xf numFmtId="0" fontId="53" fillId="9" borderId="0" xfId="0" applyFont="1" applyFill="1"/>
    <xf numFmtId="0" fontId="48" fillId="9" borderId="0" xfId="0" applyFont="1" applyFill="1" applyAlignment="1">
      <alignment horizontal="right"/>
    </xf>
    <xf numFmtId="2" fontId="48" fillId="9" borderId="0" xfId="0" applyNumberFormat="1" applyFont="1" applyFill="1"/>
    <xf numFmtId="0" fontId="48" fillId="9" borderId="0" xfId="0" applyNumberFormat="1" applyFont="1" applyFill="1"/>
    <xf numFmtId="0" fontId="54" fillId="3" borderId="0" xfId="0" applyFont="1" applyFill="1" applyBorder="1" applyProtection="1">
      <protection hidden="1"/>
    </xf>
    <xf numFmtId="0" fontId="48" fillId="3" borderId="0" xfId="0" applyFont="1" applyFill="1" applyBorder="1" applyProtection="1">
      <protection hidden="1"/>
    </xf>
    <xf numFmtId="0" fontId="54" fillId="3" borderId="0" xfId="0" applyFont="1" applyFill="1" applyBorder="1" applyAlignment="1" applyProtection="1">
      <alignment horizontal="center" vertical="top" wrapText="1"/>
      <protection hidden="1"/>
    </xf>
    <xf numFmtId="0" fontId="48" fillId="3" borderId="0" xfId="0" applyFont="1" applyFill="1" applyBorder="1" applyAlignment="1" applyProtection="1">
      <alignment vertical="top" wrapText="1"/>
      <protection hidden="1"/>
    </xf>
    <xf numFmtId="0" fontId="48" fillId="3" borderId="0" xfId="0" applyFont="1" applyFill="1" applyBorder="1" applyAlignment="1" applyProtection="1">
      <protection hidden="1"/>
    </xf>
    <xf numFmtId="166" fontId="48" fillId="3" borderId="0" xfId="0" applyNumberFormat="1" applyFont="1" applyFill="1" applyBorder="1" applyAlignment="1" applyProtection="1">
      <protection hidden="1"/>
    </xf>
    <xf numFmtId="168" fontId="48" fillId="3" borderId="0" xfId="0" applyNumberFormat="1" applyFont="1" applyFill="1" applyBorder="1" applyProtection="1">
      <protection hidden="1"/>
    </xf>
    <xf numFmtId="0" fontId="48" fillId="3" borderId="0" xfId="0" applyFont="1" applyFill="1" applyBorder="1" applyAlignment="1" applyProtection="1">
      <alignment horizontal="left"/>
      <protection hidden="1"/>
    </xf>
    <xf numFmtId="166" fontId="48" fillId="3" borderId="0" xfId="0" applyNumberFormat="1" applyFont="1" applyFill="1" applyBorder="1" applyAlignment="1"/>
    <xf numFmtId="0" fontId="55" fillId="9" borderId="0" xfId="0" applyFont="1" applyFill="1" applyBorder="1"/>
    <xf numFmtId="44" fontId="55" fillId="9" borderId="0" xfId="2" applyFont="1" applyFill="1" applyBorder="1" applyAlignment="1">
      <alignment horizontal="right"/>
    </xf>
    <xf numFmtId="0" fontId="55" fillId="9" borderId="0" xfId="0" applyFont="1" applyFill="1" applyBorder="1" applyProtection="1">
      <protection hidden="1"/>
    </xf>
    <xf numFmtId="0" fontId="55" fillId="9" borderId="0" xfId="0" applyFont="1" applyFill="1" applyBorder="1" applyAlignment="1" applyProtection="1">
      <alignment horizontal="left"/>
      <protection hidden="1"/>
    </xf>
    <xf numFmtId="0" fontId="48" fillId="0" borderId="0" xfId="0" applyFont="1" applyBorder="1"/>
    <xf numFmtId="8" fontId="48" fillId="0" borderId="0" xfId="0" applyNumberFormat="1" applyFont="1" applyBorder="1" applyAlignment="1">
      <alignment horizontal="right"/>
    </xf>
    <xf numFmtId="166" fontId="48" fillId="3" borderId="0" xfId="0" applyNumberFormat="1" applyFont="1" applyFill="1" applyBorder="1" applyProtection="1">
      <protection hidden="1"/>
    </xf>
    <xf numFmtId="0" fontId="48" fillId="3" borderId="0" xfId="0" applyFont="1" applyFill="1" applyBorder="1" applyAlignment="1"/>
    <xf numFmtId="9" fontId="48" fillId="3" borderId="0" xfId="0" applyNumberFormat="1" applyFont="1" applyFill="1" applyBorder="1" applyProtection="1">
      <protection hidden="1"/>
    </xf>
    <xf numFmtId="0" fontId="48" fillId="3" borderId="0" xfId="0" quotePrefix="1" applyFont="1" applyFill="1" applyBorder="1" applyProtection="1">
      <protection hidden="1"/>
    </xf>
    <xf numFmtId="0" fontId="48" fillId="3" borderId="0" xfId="0" applyFont="1" applyFill="1" applyBorder="1"/>
    <xf numFmtId="164" fontId="48" fillId="3" borderId="0" xfId="0" applyNumberFormat="1" applyFont="1" applyFill="1" applyBorder="1" applyAlignment="1"/>
    <xf numFmtId="44" fontId="48" fillId="3" borderId="0" xfId="2" applyFont="1" applyFill="1" applyBorder="1" applyProtection="1">
      <protection hidden="1"/>
    </xf>
    <xf numFmtId="0" fontId="48" fillId="9" borderId="0" xfId="0" applyFont="1" applyFill="1" applyBorder="1" applyAlignment="1">
      <alignment vertical="top" wrapText="1"/>
    </xf>
    <xf numFmtId="44" fontId="55" fillId="9" borderId="0" xfId="0" applyNumberFormat="1" applyFont="1" applyFill="1" applyBorder="1" applyAlignment="1">
      <alignment horizontal="right"/>
    </xf>
    <xf numFmtId="0" fontId="48" fillId="9" borderId="0" xfId="1" applyFont="1" applyFill="1" applyBorder="1" applyAlignment="1" applyProtection="1">
      <alignment vertical="top" wrapText="1"/>
    </xf>
    <xf numFmtId="0" fontId="48" fillId="3" borderId="0" xfId="0" applyFont="1" applyFill="1" applyBorder="1" applyAlignment="1">
      <alignment vertical="top" wrapText="1"/>
    </xf>
    <xf numFmtId="44" fontId="48" fillId="0" borderId="0" xfId="2" applyNumberFormat="1" applyFont="1"/>
    <xf numFmtId="44" fontId="48" fillId="0" borderId="0" xfId="2" applyNumberFormat="1" applyFont="1" applyAlignment="1">
      <alignment horizontal="right"/>
    </xf>
    <xf numFmtId="0" fontId="48" fillId="3" borderId="0" xfId="0" applyFont="1" applyFill="1" applyBorder="1" applyAlignment="1">
      <alignment horizontal="left"/>
    </xf>
    <xf numFmtId="44" fontId="48" fillId="0" borderId="0" xfId="0" applyNumberFormat="1" applyFont="1"/>
    <xf numFmtId="166" fontId="48" fillId="3" borderId="0" xfId="0" applyNumberFormat="1" applyFont="1" applyFill="1" applyBorder="1"/>
    <xf numFmtId="0" fontId="48" fillId="3" borderId="0" xfId="0" applyFont="1" applyFill="1" applyAlignment="1">
      <alignment horizontal="right"/>
    </xf>
    <xf numFmtId="0" fontId="48" fillId="3" borderId="1" xfId="0" applyFont="1" applyFill="1" applyBorder="1"/>
    <xf numFmtId="44" fontId="50" fillId="9" borderId="0" xfId="2" applyFont="1" applyFill="1" applyBorder="1" applyAlignment="1">
      <alignment horizontal="right"/>
    </xf>
    <xf numFmtId="44" fontId="51" fillId="9" borderId="0" xfId="2" applyFont="1" applyFill="1" applyBorder="1" applyProtection="1">
      <protection hidden="1"/>
    </xf>
    <xf numFmtId="0" fontId="51" fillId="9" borderId="0" xfId="0" applyFont="1" applyFill="1" applyBorder="1" applyProtection="1">
      <protection hidden="1"/>
    </xf>
    <xf numFmtId="166" fontId="0" fillId="3" borderId="59" xfId="0" applyNumberFormat="1" applyFill="1" applyBorder="1"/>
    <xf numFmtId="0" fontId="35" fillId="3" borderId="23" xfId="0" applyFont="1" applyFill="1" applyBorder="1" applyAlignment="1">
      <alignment horizontal="left"/>
    </xf>
    <xf numFmtId="166" fontId="1" fillId="3" borderId="15" xfId="0" quotePrefix="1" applyNumberFormat="1" applyFont="1" applyFill="1" applyBorder="1" applyAlignment="1"/>
    <xf numFmtId="0" fontId="4" fillId="4" borderId="3" xfId="0" applyFont="1" applyFill="1" applyBorder="1" applyAlignment="1" applyProtection="1">
      <alignment horizontal="center"/>
      <protection locked="0"/>
    </xf>
    <xf numFmtId="0" fontId="0" fillId="9" borderId="25" xfId="0" applyFill="1" applyBorder="1"/>
    <xf numFmtId="0" fontId="0" fillId="9" borderId="10" xfId="0" applyFill="1" applyBorder="1"/>
    <xf numFmtId="0" fontId="0" fillId="9" borderId="26" xfId="0" applyFill="1" applyBorder="1"/>
    <xf numFmtId="166" fontId="29" fillId="3" borderId="31" xfId="0" applyNumberFormat="1" applyFont="1" applyFill="1" applyBorder="1" applyAlignment="1">
      <alignment horizontal="right"/>
    </xf>
    <xf numFmtId="0" fontId="25" fillId="3" borderId="55" xfId="0" applyFont="1" applyFill="1" applyBorder="1"/>
    <xf numFmtId="166" fontId="37" fillId="3" borderId="58" xfId="0" applyNumberFormat="1" applyFont="1" applyFill="1" applyBorder="1" applyAlignment="1">
      <alignment horizontal="left"/>
    </xf>
    <xf numFmtId="14" fontId="46" fillId="4" borderId="1" xfId="0" applyNumberFormat="1" applyFont="1" applyFill="1" applyBorder="1" applyAlignment="1" applyProtection="1">
      <alignment horizontal="left"/>
      <protection locked="0"/>
    </xf>
    <xf numFmtId="0" fontId="22" fillId="3" borderId="0" xfId="0" applyFont="1" applyFill="1" applyBorder="1" applyProtection="1">
      <protection hidden="1"/>
    </xf>
    <xf numFmtId="0" fontId="28" fillId="3" borderId="0" xfId="0" applyFont="1" applyFill="1" applyBorder="1" applyProtection="1">
      <protection hidden="1"/>
    </xf>
    <xf numFmtId="0" fontId="12" fillId="3" borderId="0" xfId="0" applyFont="1" applyFill="1" applyProtection="1">
      <protection hidden="1"/>
    </xf>
    <xf numFmtId="14" fontId="9" fillId="3" borderId="1" xfId="0" applyNumberFormat="1" applyFont="1" applyFill="1" applyBorder="1" applyProtection="1">
      <protection hidden="1"/>
    </xf>
    <xf numFmtId="0" fontId="26" fillId="3" borderId="20" xfId="0" applyFont="1" applyFill="1" applyBorder="1" applyAlignment="1" applyProtection="1">
      <alignment vertical="top" wrapText="1"/>
      <protection hidden="1"/>
    </xf>
    <xf numFmtId="0" fontId="1" fillId="9" borderId="0" xfId="0" applyFont="1" applyFill="1" applyBorder="1" applyProtection="1">
      <protection hidden="1"/>
    </xf>
    <xf numFmtId="0" fontId="48" fillId="9" borderId="0" xfId="0" applyFont="1" applyFill="1" applyBorder="1" applyProtection="1"/>
    <xf numFmtId="0" fontId="48" fillId="9" borderId="0" xfId="0" applyFont="1" applyFill="1" applyBorder="1" applyAlignment="1" applyProtection="1"/>
    <xf numFmtId="0" fontId="1" fillId="9" borderId="0" xfId="0" applyFont="1" applyFill="1" applyBorder="1" applyAlignment="1" applyProtection="1"/>
    <xf numFmtId="0" fontId="7" fillId="9" borderId="0" xfId="0" applyFont="1" applyFill="1" applyBorder="1" applyProtection="1">
      <protection hidden="1"/>
    </xf>
    <xf numFmtId="0" fontId="22" fillId="9" borderId="0" xfId="0" applyFont="1" applyFill="1" applyBorder="1" applyProtection="1"/>
    <xf numFmtId="0" fontId="22" fillId="9" borderId="0" xfId="0" applyFont="1" applyFill="1" applyBorder="1" applyAlignment="1" applyProtection="1">
      <alignment horizontal="right" wrapText="1"/>
    </xf>
    <xf numFmtId="0" fontId="21" fillId="9" borderId="0" xfId="0" applyFont="1" applyFill="1" applyBorder="1" applyProtection="1"/>
    <xf numFmtId="0" fontId="1" fillId="9" borderId="0" xfId="0" applyFont="1" applyFill="1" applyBorder="1" applyProtection="1"/>
    <xf numFmtId="166" fontId="1" fillId="9" borderId="0" xfId="0" applyNumberFormat="1" applyFont="1" applyFill="1" applyBorder="1" applyProtection="1"/>
    <xf numFmtId="0" fontId="21" fillId="9" borderId="0" xfId="0" applyFont="1" applyFill="1" applyBorder="1" applyProtection="1">
      <protection hidden="1"/>
    </xf>
    <xf numFmtId="0" fontId="20" fillId="9" borderId="0" xfId="1" applyFont="1" applyFill="1" applyBorder="1" applyAlignment="1" applyProtection="1">
      <protection hidden="1"/>
    </xf>
    <xf numFmtId="166" fontId="1" fillId="9" borderId="0" xfId="0" applyNumberFormat="1" applyFont="1" applyFill="1" applyBorder="1" applyProtection="1">
      <protection hidden="1"/>
    </xf>
    <xf numFmtId="0" fontId="21" fillId="3" borderId="37" xfId="0" applyFont="1" applyFill="1" applyBorder="1" applyAlignment="1" applyProtection="1">
      <alignment horizontal="center"/>
      <protection hidden="1"/>
    </xf>
    <xf numFmtId="0" fontId="7" fillId="3" borderId="17" xfId="0" applyNumberFormat="1" applyFont="1" applyFill="1" applyBorder="1" applyAlignment="1" applyProtection="1">
      <protection hidden="1"/>
    </xf>
    <xf numFmtId="14" fontId="9" fillId="3" borderId="0" xfId="0" applyNumberFormat="1" applyFont="1" applyFill="1" applyAlignment="1" applyProtection="1">
      <alignment horizontal="right"/>
    </xf>
    <xf numFmtId="0" fontId="0" fillId="3" borderId="25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49" fontId="0" fillId="4" borderId="1" xfId="0" applyNumberFormat="1" applyFill="1" applyBorder="1" applyAlignment="1" applyProtection="1">
      <alignment horizontal="left"/>
      <protection locked="0"/>
    </xf>
    <xf numFmtId="49" fontId="0" fillId="4" borderId="25" xfId="0" applyNumberFormat="1" applyFill="1" applyBorder="1" applyAlignment="1" applyProtection="1">
      <alignment horizontal="left"/>
      <protection locked="0"/>
    </xf>
    <xf numFmtId="0" fontId="43" fillId="3" borderId="21" xfId="0" applyFont="1" applyFill="1" applyBorder="1" applyAlignment="1">
      <alignment horizontal="center" vertical="top" wrapText="1"/>
    </xf>
    <xf numFmtId="0" fontId="41" fillId="0" borderId="0" xfId="0" applyFont="1"/>
    <xf numFmtId="0" fontId="41" fillId="0" borderId="0" xfId="0" applyFont="1" applyBorder="1"/>
    <xf numFmtId="0" fontId="41" fillId="0" borderId="21" xfId="0" applyFont="1" applyBorder="1"/>
    <xf numFmtId="0" fontId="41" fillId="0" borderId="22" xfId="0" applyFont="1" applyBorder="1"/>
    <xf numFmtId="0" fontId="12" fillId="3" borderId="62" xfId="0" applyFont="1" applyFill="1" applyBorder="1" applyAlignment="1">
      <alignment horizontal="right"/>
    </xf>
    <xf numFmtId="0" fontId="12" fillId="3" borderId="63" xfId="0" applyFont="1" applyFill="1" applyBorder="1" applyAlignment="1">
      <alignment horizontal="right"/>
    </xf>
    <xf numFmtId="0" fontId="12" fillId="3" borderId="64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3" borderId="50" xfId="0" applyFont="1" applyFill="1" applyBorder="1" applyAlignment="1">
      <alignment horizontal="right"/>
    </xf>
    <xf numFmtId="0" fontId="3" fillId="3" borderId="51" xfId="0" applyFont="1" applyFill="1" applyBorder="1" applyAlignment="1">
      <alignment horizontal="right"/>
    </xf>
    <xf numFmtId="0" fontId="10" fillId="3" borderId="33" xfId="0" applyFont="1" applyFill="1" applyBorder="1" applyAlignment="1">
      <alignment horizontal="right"/>
    </xf>
    <xf numFmtId="0" fontId="10" fillId="3" borderId="34" xfId="0" applyFont="1" applyFill="1" applyBorder="1" applyAlignment="1">
      <alignment horizontal="right"/>
    </xf>
    <xf numFmtId="0" fontId="10" fillId="3" borderId="35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left" vertical="top" wrapText="1"/>
    </xf>
    <xf numFmtId="0" fontId="10" fillId="3" borderId="27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0" fillId="3" borderId="36" xfId="0" applyFont="1" applyFill="1" applyBorder="1" applyAlignment="1">
      <alignment horizontal="right"/>
    </xf>
    <xf numFmtId="0" fontId="1" fillId="3" borderId="61" xfId="0" applyFont="1" applyFill="1" applyBorder="1" applyAlignment="1">
      <alignment horizontal="right"/>
    </xf>
    <xf numFmtId="0" fontId="10" fillId="3" borderId="37" xfId="0" applyFont="1" applyFill="1" applyBorder="1" applyAlignment="1">
      <alignment horizontal="right"/>
    </xf>
    <xf numFmtId="0" fontId="10" fillId="3" borderId="38" xfId="0" applyFont="1" applyFill="1" applyBorder="1" applyAlignment="1">
      <alignment horizontal="right"/>
    </xf>
    <xf numFmtId="0" fontId="32" fillId="6" borderId="23" xfId="0" applyFont="1" applyFill="1" applyBorder="1" applyAlignment="1">
      <alignment horizontal="left" vertical="top" wrapText="1"/>
    </xf>
    <xf numFmtId="0" fontId="32" fillId="6" borderId="0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right"/>
    </xf>
    <xf numFmtId="0" fontId="10" fillId="3" borderId="10" xfId="0" applyFont="1" applyFill="1" applyBorder="1" applyAlignment="1">
      <alignment horizontal="right"/>
    </xf>
    <xf numFmtId="0" fontId="10" fillId="3" borderId="60" xfId="0" applyFont="1" applyFill="1" applyBorder="1" applyAlignment="1">
      <alignment horizontal="right"/>
    </xf>
    <xf numFmtId="0" fontId="34" fillId="3" borderId="13" xfId="0" applyFont="1" applyFill="1" applyBorder="1" applyAlignment="1">
      <alignment horizontal="center"/>
    </xf>
    <xf numFmtId="0" fontId="34" fillId="3" borderId="14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14" fontId="10" fillId="4" borderId="25" xfId="0" applyNumberFormat="1" applyFont="1" applyFill="1" applyBorder="1" applyAlignment="1" applyProtection="1">
      <alignment horizontal="center"/>
      <protection locked="0"/>
    </xf>
    <xf numFmtId="14" fontId="0" fillId="4" borderId="10" xfId="0" applyNumberFormat="1" applyFill="1" applyBorder="1" applyAlignment="1" applyProtection="1">
      <alignment horizontal="center"/>
      <protection locked="0"/>
    </xf>
    <xf numFmtId="14" fontId="0" fillId="4" borderId="26" xfId="0" applyNumberFormat="1" applyFill="1" applyBorder="1" applyAlignment="1" applyProtection="1">
      <alignment horizontal="center"/>
      <protection locked="0"/>
    </xf>
    <xf numFmtId="0" fontId="12" fillId="3" borderId="41" xfId="0" applyFont="1" applyFill="1" applyBorder="1" applyAlignment="1">
      <alignment horizontal="right"/>
    </xf>
    <xf numFmtId="0" fontId="12" fillId="3" borderId="39" xfId="0" applyFont="1" applyFill="1" applyBorder="1" applyAlignment="1">
      <alignment horizontal="right"/>
    </xf>
    <xf numFmtId="0" fontId="12" fillId="3" borderId="42" xfId="0" applyFont="1" applyFill="1" applyBorder="1" applyAlignment="1">
      <alignment horizontal="right"/>
    </xf>
    <xf numFmtId="0" fontId="9" fillId="3" borderId="41" xfId="0" applyFont="1" applyFill="1" applyBorder="1" applyAlignment="1">
      <alignment horizontal="right"/>
    </xf>
    <xf numFmtId="0" fontId="9" fillId="3" borderId="39" xfId="0" applyFont="1" applyFill="1" applyBorder="1" applyAlignment="1">
      <alignment horizontal="right"/>
    </xf>
    <xf numFmtId="0" fontId="9" fillId="3" borderId="42" xfId="0" applyFont="1" applyFill="1" applyBorder="1" applyAlignment="1">
      <alignment horizontal="right"/>
    </xf>
    <xf numFmtId="0" fontId="56" fillId="7" borderId="21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43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7" fontId="0" fillId="4" borderId="25" xfId="0" applyNumberFormat="1" applyFill="1" applyBorder="1" applyAlignment="1" applyProtection="1">
      <alignment horizontal="left"/>
      <protection locked="0"/>
    </xf>
    <xf numFmtId="167" fontId="0" fillId="4" borderId="10" xfId="0" applyNumberFormat="1" applyFill="1" applyBorder="1" applyAlignment="1" applyProtection="1">
      <alignment horizontal="left"/>
      <protection locked="0"/>
    </xf>
    <xf numFmtId="0" fontId="10" fillId="4" borderId="16" xfId="0" applyFont="1" applyFill="1" applyBorder="1" applyAlignment="1" applyProtection="1">
      <alignment horizontal="left" vertical="top" wrapText="1" shrinkToFit="1"/>
      <protection locked="0"/>
    </xf>
    <xf numFmtId="0" fontId="10" fillId="4" borderId="0" xfId="0" applyFont="1" applyFill="1" applyBorder="1" applyAlignment="1" applyProtection="1">
      <alignment horizontal="left" vertical="top" wrapText="1" shrinkToFit="1"/>
      <protection locked="0"/>
    </xf>
    <xf numFmtId="0" fontId="10" fillId="4" borderId="14" xfId="0" applyFont="1" applyFill="1" applyBorder="1" applyAlignment="1" applyProtection="1">
      <alignment horizontal="left" vertical="top" wrapText="1" shrinkToFit="1"/>
      <protection locked="0"/>
    </xf>
    <xf numFmtId="0" fontId="10" fillId="4" borderId="15" xfId="0" applyFont="1" applyFill="1" applyBorder="1" applyAlignment="1" applyProtection="1">
      <alignment horizontal="left" vertical="top" wrapText="1" shrinkToFit="1"/>
      <protection locked="0"/>
    </xf>
    <xf numFmtId="0" fontId="10" fillId="4" borderId="17" xfId="0" applyFont="1" applyFill="1" applyBorder="1" applyAlignment="1" applyProtection="1">
      <alignment horizontal="left" vertical="top" wrapText="1" shrinkToFit="1"/>
      <protection locked="0"/>
    </xf>
    <xf numFmtId="0" fontId="10" fillId="4" borderId="18" xfId="0" applyFont="1" applyFill="1" applyBorder="1" applyAlignment="1" applyProtection="1">
      <alignment horizontal="left" vertical="top" wrapText="1" shrinkToFit="1"/>
      <protection locked="0"/>
    </xf>
    <xf numFmtId="0" fontId="10" fillId="4" borderId="19" xfId="0" applyFont="1" applyFill="1" applyBorder="1" applyAlignment="1" applyProtection="1">
      <alignment horizontal="left" vertical="top" wrapText="1" shrinkToFit="1"/>
      <protection locked="0"/>
    </xf>
    <xf numFmtId="0" fontId="10" fillId="4" borderId="20" xfId="0" applyFont="1" applyFill="1" applyBorder="1" applyAlignment="1" applyProtection="1">
      <alignment horizontal="left" vertical="top" wrapText="1" shrinkToFit="1"/>
      <protection locked="0"/>
    </xf>
    <xf numFmtId="14" fontId="0" fillId="4" borderId="25" xfId="0" applyNumberFormat="1" applyFill="1" applyBorder="1" applyAlignment="1" applyProtection="1">
      <alignment horizontal="left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14" fontId="0" fillId="4" borderId="26" xfId="0" applyNumberFormat="1" applyFill="1" applyBorder="1" applyAlignment="1" applyProtection="1">
      <alignment horizontal="left"/>
      <protection locked="0"/>
    </xf>
    <xf numFmtId="0" fontId="38" fillId="3" borderId="2" xfId="0" applyFont="1" applyFill="1" applyBorder="1" applyAlignment="1">
      <alignment vertical="top" wrapText="1"/>
    </xf>
    <xf numFmtId="0" fontId="38" fillId="3" borderId="10" xfId="0" applyFont="1" applyFill="1" applyBorder="1" applyAlignment="1">
      <alignment vertical="top" wrapText="1"/>
    </xf>
    <xf numFmtId="49" fontId="5" fillId="4" borderId="25" xfId="1" applyNumberFormat="1" applyFill="1" applyBorder="1" applyAlignment="1" applyProtection="1">
      <alignment horizontal="left"/>
      <protection locked="0"/>
    </xf>
    <xf numFmtId="49" fontId="5" fillId="4" borderId="10" xfId="1" applyNumberFormat="1" applyFill="1" applyBorder="1" applyAlignment="1" applyProtection="1">
      <alignment horizontal="left"/>
      <protection locked="0"/>
    </xf>
    <xf numFmtId="49" fontId="5" fillId="4" borderId="26" xfId="1" applyNumberFormat="1" applyFill="1" applyBorder="1" applyAlignment="1" applyProtection="1">
      <alignment horizontal="left"/>
      <protection locked="0"/>
    </xf>
    <xf numFmtId="0" fontId="35" fillId="3" borderId="41" xfId="0" applyFont="1" applyFill="1" applyBorder="1" applyAlignment="1">
      <alignment horizontal="left" vertical="center" wrapText="1"/>
    </xf>
    <xf numFmtId="0" fontId="35" fillId="3" borderId="39" xfId="0" applyFont="1" applyFill="1" applyBorder="1" applyAlignment="1">
      <alignment horizontal="left" vertical="center" wrapText="1"/>
    </xf>
    <xf numFmtId="0" fontId="35" fillId="3" borderId="40" xfId="0" applyFont="1" applyFill="1" applyBorder="1" applyAlignment="1">
      <alignment horizontal="left" vertical="center" wrapText="1"/>
    </xf>
    <xf numFmtId="0" fontId="27" fillId="3" borderId="56" xfId="0" applyFont="1" applyFill="1" applyBorder="1" applyAlignment="1">
      <alignment horizontal="right"/>
    </xf>
    <xf numFmtId="0" fontId="27" fillId="3" borderId="6" xfId="0" applyFont="1" applyFill="1" applyBorder="1" applyAlignment="1">
      <alignment horizontal="right"/>
    </xf>
    <xf numFmtId="0" fontId="27" fillId="3" borderId="7" xfId="0" applyFont="1" applyFill="1" applyBorder="1" applyAlignment="1">
      <alignment horizontal="right"/>
    </xf>
    <xf numFmtId="0" fontId="12" fillId="3" borderId="33" xfId="0" applyFont="1" applyFill="1" applyBorder="1" applyAlignment="1">
      <alignment horizontal="right"/>
    </xf>
    <xf numFmtId="0" fontId="12" fillId="3" borderId="34" xfId="0" applyFont="1" applyFill="1" applyBorder="1" applyAlignment="1">
      <alignment horizontal="right"/>
    </xf>
    <xf numFmtId="0" fontId="12" fillId="3" borderId="35" xfId="0" applyFont="1" applyFill="1" applyBorder="1" applyAlignment="1">
      <alignment horizontal="right"/>
    </xf>
    <xf numFmtId="0" fontId="12" fillId="3" borderId="45" xfId="0" applyFont="1" applyFill="1" applyBorder="1" applyAlignment="1">
      <alignment horizontal="right"/>
    </xf>
    <xf numFmtId="0" fontId="12" fillId="3" borderId="3" xfId="0" applyFont="1" applyFill="1" applyBorder="1" applyAlignment="1">
      <alignment horizontal="right"/>
    </xf>
    <xf numFmtId="0" fontId="12" fillId="3" borderId="46" xfId="0" applyFont="1" applyFill="1" applyBorder="1" applyAlignment="1">
      <alignment horizontal="right"/>
    </xf>
    <xf numFmtId="166" fontId="12" fillId="3" borderId="5" xfId="0" applyNumberFormat="1" applyFont="1" applyFill="1" applyBorder="1" applyAlignment="1">
      <alignment horizontal="right"/>
    </xf>
    <xf numFmtId="166" fontId="12" fillId="3" borderId="57" xfId="0" applyNumberFormat="1" applyFont="1" applyFill="1" applyBorder="1" applyAlignment="1">
      <alignment horizontal="right"/>
    </xf>
    <xf numFmtId="0" fontId="9" fillId="3" borderId="41" xfId="0" applyFont="1" applyFill="1" applyBorder="1" applyAlignment="1" applyProtection="1">
      <alignment horizontal="center" wrapText="1"/>
    </xf>
    <xf numFmtId="0" fontId="9" fillId="3" borderId="39" xfId="0" applyFont="1" applyFill="1" applyBorder="1" applyAlignment="1" applyProtection="1">
      <alignment horizontal="center" wrapText="1"/>
    </xf>
    <xf numFmtId="0" fontId="9" fillId="3" borderId="42" xfId="0" applyFont="1" applyFill="1" applyBorder="1" applyAlignment="1" applyProtection="1">
      <alignment horizontal="center" wrapText="1"/>
    </xf>
    <xf numFmtId="0" fontId="32" fillId="6" borderId="39" xfId="0" applyFont="1" applyFill="1" applyBorder="1" applyAlignment="1">
      <alignment horizontal="left" vertical="top" wrapText="1"/>
    </xf>
    <xf numFmtId="0" fontId="32" fillId="6" borderId="40" xfId="0" applyFont="1" applyFill="1" applyBorder="1" applyAlignment="1">
      <alignment horizontal="left" vertical="top" wrapText="1"/>
    </xf>
    <xf numFmtId="0" fontId="40" fillId="3" borderId="24" xfId="0" applyFont="1" applyFill="1" applyBorder="1" applyAlignment="1">
      <alignment horizontal="left" wrapText="1"/>
    </xf>
    <xf numFmtId="0" fontId="0" fillId="9" borderId="11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0" fillId="9" borderId="21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0" fillId="9" borderId="22" xfId="0" applyFill="1" applyBorder="1" applyAlignment="1">
      <alignment horizontal="center" wrapText="1"/>
    </xf>
    <xf numFmtId="0" fontId="0" fillId="9" borderId="23" xfId="0" applyFill="1" applyBorder="1" applyAlignment="1">
      <alignment horizontal="center" wrapText="1"/>
    </xf>
    <xf numFmtId="0" fontId="0" fillId="9" borderId="24" xfId="0" applyFill="1" applyBorder="1" applyAlignment="1">
      <alignment horizontal="center" wrapText="1"/>
    </xf>
    <xf numFmtId="0" fontId="0" fillId="9" borderId="58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32" fillId="8" borderId="21" xfId="0" applyFont="1" applyFill="1" applyBorder="1" applyAlignment="1">
      <alignment horizontal="left" vertical="top" wrapText="1"/>
    </xf>
    <xf numFmtId="0" fontId="32" fillId="8" borderId="0" xfId="0" applyFont="1" applyFill="1" applyBorder="1" applyAlignment="1">
      <alignment horizontal="left" vertical="top" wrapText="1"/>
    </xf>
    <xf numFmtId="0" fontId="0" fillId="4" borderId="25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49" fontId="0" fillId="4" borderId="10" xfId="0" applyNumberFormat="1" applyFill="1" applyBorder="1" applyAlignment="1" applyProtection="1">
      <alignment horizontal="left"/>
      <protection locked="0"/>
    </xf>
    <xf numFmtId="0" fontId="25" fillId="3" borderId="52" xfId="0" applyFont="1" applyFill="1" applyBorder="1" applyAlignment="1">
      <alignment horizontal="left"/>
    </xf>
    <xf numFmtId="0" fontId="25" fillId="3" borderId="53" xfId="0" applyFont="1" applyFill="1" applyBorder="1" applyAlignment="1">
      <alignment horizontal="left"/>
    </xf>
    <xf numFmtId="0" fontId="9" fillId="3" borderId="47" xfId="0" applyFont="1" applyFill="1" applyBorder="1" applyAlignment="1">
      <alignment horizontal="right"/>
    </xf>
    <xf numFmtId="0" fontId="9" fillId="3" borderId="48" xfId="0" applyFont="1" applyFill="1" applyBorder="1" applyAlignment="1">
      <alignment horizontal="right"/>
    </xf>
    <xf numFmtId="0" fontId="9" fillId="3" borderId="49" xfId="0" applyFont="1" applyFill="1" applyBorder="1" applyAlignment="1">
      <alignment horizontal="right"/>
    </xf>
    <xf numFmtId="0" fontId="9" fillId="3" borderId="41" xfId="0" applyFont="1" applyFill="1" applyBorder="1" applyAlignment="1">
      <alignment horizontal="center" wrapText="1"/>
    </xf>
    <xf numFmtId="0" fontId="9" fillId="3" borderId="40" xfId="0" applyFont="1" applyFill="1" applyBorder="1" applyAlignment="1">
      <alignment horizontal="center" wrapText="1"/>
    </xf>
    <xf numFmtId="166" fontId="24" fillId="4" borderId="25" xfId="0" applyNumberFormat="1" applyFont="1" applyFill="1" applyBorder="1" applyAlignment="1" applyProtection="1">
      <protection hidden="1"/>
    </xf>
    <xf numFmtId="166" fontId="24" fillId="4" borderId="26" xfId="0" applyNumberFormat="1" applyFont="1" applyFill="1" applyBorder="1" applyAlignment="1" applyProtection="1"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42" fillId="3" borderId="0" xfId="0" applyFont="1" applyFill="1" applyBorder="1" applyAlignment="1" applyProtection="1">
      <alignment horizontal="left"/>
      <protection hidden="1"/>
    </xf>
    <xf numFmtId="166" fontId="45" fillId="0" borderId="25" xfId="0" applyNumberFormat="1" applyFont="1" applyFill="1" applyBorder="1" applyAlignment="1" applyProtection="1">
      <protection hidden="1"/>
    </xf>
    <xf numFmtId="166" fontId="45" fillId="0" borderId="26" xfId="0" applyNumberFormat="1" applyFont="1" applyFill="1" applyBorder="1" applyAlignment="1" applyProtection="1">
      <protection hidden="1"/>
    </xf>
    <xf numFmtId="166" fontId="24" fillId="0" borderId="25" xfId="0" applyNumberFormat="1" applyFont="1" applyFill="1" applyBorder="1" applyAlignment="1" applyProtection="1">
      <protection hidden="1"/>
    </xf>
    <xf numFmtId="166" fontId="24" fillId="0" borderId="26" xfId="0" applyNumberFormat="1" applyFont="1" applyFill="1" applyBorder="1" applyAlignment="1" applyProtection="1">
      <protection hidden="1"/>
    </xf>
    <xf numFmtId="166" fontId="23" fillId="3" borderId="25" xfId="0" applyNumberFormat="1" applyFont="1" applyFill="1" applyBorder="1" applyAlignment="1" applyProtection="1">
      <protection hidden="1"/>
    </xf>
    <xf numFmtId="166" fontId="23" fillId="3" borderId="26" xfId="0" applyNumberFormat="1" applyFont="1" applyFill="1" applyBorder="1" applyAlignment="1" applyProtection="1">
      <protection hidden="1"/>
    </xf>
    <xf numFmtId="166" fontId="10" fillId="0" borderId="54" xfId="0" applyNumberFormat="1" applyFont="1" applyFill="1" applyBorder="1" applyAlignment="1" applyProtection="1">
      <protection hidden="1"/>
    </xf>
    <xf numFmtId="166" fontId="10" fillId="0" borderId="53" xfId="0" applyNumberFormat="1" applyFont="1" applyFill="1" applyBorder="1" applyAlignment="1" applyProtection="1">
      <protection hidden="1"/>
    </xf>
    <xf numFmtId="166" fontId="10" fillId="0" borderId="25" xfId="0" applyNumberFormat="1" applyFont="1" applyFill="1" applyBorder="1" applyAlignment="1" applyProtection="1">
      <protection hidden="1"/>
    </xf>
    <xf numFmtId="166" fontId="10" fillId="0" borderId="26" xfId="0" applyNumberFormat="1" applyFont="1" applyFill="1" applyBorder="1" applyAlignment="1" applyProtection="1">
      <protection hidden="1"/>
    </xf>
    <xf numFmtId="166" fontId="33" fillId="3" borderId="41" xfId="0" applyNumberFormat="1" applyFont="1" applyFill="1" applyBorder="1" applyAlignment="1" applyProtection="1">
      <alignment horizontal="right"/>
      <protection hidden="1"/>
    </xf>
    <xf numFmtId="166" fontId="33" fillId="3" borderId="40" xfId="0" applyNumberFormat="1" applyFont="1" applyFill="1" applyBorder="1" applyAlignment="1" applyProtection="1">
      <alignment horizontal="right"/>
      <protection hidden="1"/>
    </xf>
    <xf numFmtId="0" fontId="33" fillId="3" borderId="56" xfId="0" applyFont="1" applyFill="1" applyBorder="1" applyAlignment="1" applyProtection="1">
      <alignment horizontal="right"/>
      <protection hidden="1"/>
    </xf>
    <xf numFmtId="0" fontId="33" fillId="3" borderId="6" xfId="0" applyFont="1" applyFill="1" applyBorder="1" applyAlignment="1" applyProtection="1">
      <alignment horizontal="right"/>
      <protection hidden="1"/>
    </xf>
    <xf numFmtId="0" fontId="33" fillId="3" borderId="65" xfId="0" applyFont="1" applyFill="1" applyBorder="1" applyAlignment="1" applyProtection="1">
      <alignment horizontal="right"/>
      <protection hidden="1"/>
    </xf>
    <xf numFmtId="0" fontId="33" fillId="3" borderId="7" xfId="0" applyFont="1" applyFill="1" applyBorder="1" applyAlignment="1" applyProtection="1">
      <alignment horizontal="right"/>
      <protection hidden="1"/>
    </xf>
    <xf numFmtId="0" fontId="10" fillId="3" borderId="1" xfId="0" applyFont="1" applyFill="1" applyBorder="1" applyAlignment="1" applyProtection="1">
      <alignment horizontal="center"/>
      <protection hidden="1"/>
    </xf>
    <xf numFmtId="0" fontId="23" fillId="3" borderId="10" xfId="0" applyFont="1" applyFill="1" applyBorder="1" applyAlignment="1" applyProtection="1">
      <alignment horizontal="right"/>
      <protection hidden="1"/>
    </xf>
    <xf numFmtId="0" fontId="23" fillId="3" borderId="26" xfId="0" applyFont="1" applyFill="1" applyBorder="1" applyAlignment="1" applyProtection="1">
      <alignment horizontal="right"/>
      <protection hidden="1"/>
    </xf>
    <xf numFmtId="14" fontId="1" fillId="3" borderId="16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0" fontId="1" fillId="3" borderId="1" xfId="0" applyFont="1" applyFill="1" applyBorder="1" applyAlignment="1" applyProtection="1">
      <alignment horizontal="left"/>
      <protection hidden="1"/>
    </xf>
    <xf numFmtId="14" fontId="1" fillId="3" borderId="13" xfId="0" applyNumberFormat="1" applyFont="1" applyFill="1" applyBorder="1" applyAlignment="1" applyProtection="1">
      <alignment horizontal="left"/>
      <protection hidden="1"/>
    </xf>
    <xf numFmtId="14" fontId="1" fillId="3" borderId="14" xfId="0" applyNumberFormat="1" applyFont="1" applyFill="1" applyBorder="1" applyAlignment="1" applyProtection="1">
      <alignment horizontal="left"/>
      <protection hidden="1"/>
    </xf>
    <xf numFmtId="0" fontId="24" fillId="0" borderId="1" xfId="0" applyFont="1" applyFill="1" applyBorder="1" applyAlignment="1" applyProtection="1">
      <alignment horizontal="right"/>
      <protection hidden="1"/>
    </xf>
    <xf numFmtId="0" fontId="10" fillId="3" borderId="25" xfId="0" applyFont="1" applyFill="1" applyBorder="1" applyAlignment="1" applyProtection="1">
      <alignment horizontal="left"/>
      <protection hidden="1"/>
    </xf>
    <xf numFmtId="0" fontId="10" fillId="3" borderId="10" xfId="0" applyFont="1" applyFill="1" applyBorder="1" applyAlignment="1" applyProtection="1">
      <alignment horizontal="left"/>
      <protection hidden="1"/>
    </xf>
    <xf numFmtId="0" fontId="10" fillId="3" borderId="26" xfId="0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44" fillId="3" borderId="1" xfId="0" applyFont="1" applyFill="1" applyBorder="1" applyAlignment="1" applyProtection="1">
      <alignment horizontal="center" wrapText="1"/>
      <protection hidden="1"/>
    </xf>
    <xf numFmtId="0" fontId="10" fillId="0" borderId="54" xfId="0" applyFont="1" applyFill="1" applyBorder="1" applyAlignment="1" applyProtection="1">
      <alignment horizontal="right"/>
      <protection hidden="1"/>
    </xf>
    <xf numFmtId="0" fontId="10" fillId="0" borderId="52" xfId="0" applyFont="1" applyFill="1" applyBorder="1" applyAlignment="1" applyProtection="1">
      <alignment horizontal="right"/>
      <protection hidden="1"/>
    </xf>
    <xf numFmtId="0" fontId="10" fillId="0" borderId="53" xfId="0" applyFont="1" applyFill="1" applyBorder="1" applyAlignment="1" applyProtection="1">
      <alignment horizontal="right"/>
      <protection hidden="1"/>
    </xf>
    <xf numFmtId="0" fontId="10" fillId="0" borderId="25" xfId="0" applyFont="1" applyFill="1" applyBorder="1" applyAlignment="1" applyProtection="1">
      <alignment horizontal="right"/>
      <protection hidden="1"/>
    </xf>
    <xf numFmtId="0" fontId="10" fillId="0" borderId="10" xfId="0" applyFont="1" applyFill="1" applyBorder="1" applyAlignment="1" applyProtection="1">
      <alignment horizontal="right"/>
      <protection hidden="1"/>
    </xf>
    <xf numFmtId="0" fontId="10" fillId="0" borderId="26" xfId="0" applyFont="1" applyFill="1" applyBorder="1" applyAlignment="1" applyProtection="1">
      <alignment horizontal="right"/>
      <protection hidden="1"/>
    </xf>
    <xf numFmtId="0" fontId="9" fillId="3" borderId="0" xfId="0" applyFont="1" applyFill="1" applyBorder="1" applyAlignment="1" applyProtection="1">
      <alignment horizontal="center"/>
      <protection hidden="1"/>
    </xf>
    <xf numFmtId="14" fontId="9" fillId="3" borderId="1" xfId="0" applyNumberFormat="1" applyFont="1" applyFill="1" applyBorder="1" applyAlignment="1" applyProtection="1">
      <alignment horizontal="center"/>
      <protection hidden="1"/>
    </xf>
    <xf numFmtId="14" fontId="9" fillId="3" borderId="3" xfId="0" applyNumberFormat="1" applyFont="1" applyFill="1" applyBorder="1" applyAlignment="1" applyProtection="1">
      <alignment horizontal="center"/>
      <protection hidden="1"/>
    </xf>
    <xf numFmtId="0" fontId="39" fillId="3" borderId="0" xfId="0" applyFont="1" applyFill="1" applyBorder="1" applyAlignment="1" applyProtection="1">
      <alignment horizontal="left" vertical="top" wrapText="1"/>
      <protection locked="0"/>
    </xf>
    <xf numFmtId="0" fontId="9" fillId="0" borderId="25" xfId="0" applyFont="1" applyFill="1" applyBorder="1" applyAlignment="1" applyProtection="1">
      <alignment horizontal="left"/>
      <protection hidden="1"/>
    </xf>
    <xf numFmtId="0" fontId="9" fillId="0" borderId="10" xfId="0" applyFont="1" applyFill="1" applyBorder="1" applyAlignment="1" applyProtection="1">
      <alignment horizontal="left"/>
      <protection hidden="1"/>
    </xf>
    <xf numFmtId="0" fontId="9" fillId="0" borderId="26" xfId="0" applyFont="1" applyFill="1" applyBorder="1" applyAlignment="1" applyProtection="1">
      <alignment horizontal="left"/>
      <protection hidden="1"/>
    </xf>
    <xf numFmtId="166" fontId="10" fillId="0" borderId="25" xfId="0" applyNumberFormat="1" applyFont="1" applyFill="1" applyBorder="1" applyAlignment="1" applyProtection="1">
      <alignment horizontal="center"/>
      <protection hidden="1"/>
    </xf>
    <xf numFmtId="166" fontId="10" fillId="0" borderId="26" xfId="0" applyNumberFormat="1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right"/>
      <protection hidden="1"/>
    </xf>
    <xf numFmtId="0" fontId="1" fillId="3" borderId="10" xfId="0" applyFont="1" applyFill="1" applyBorder="1" applyAlignment="1" applyProtection="1">
      <alignment horizontal="right"/>
      <protection hidden="1"/>
    </xf>
    <xf numFmtId="0" fontId="1" fillId="3" borderId="26" xfId="0" applyFont="1" applyFill="1" applyBorder="1" applyAlignment="1" applyProtection="1">
      <alignment horizontal="right"/>
      <protection hidden="1"/>
    </xf>
    <xf numFmtId="0" fontId="9" fillId="3" borderId="1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19" xfId="0" applyFont="1" applyFill="1" applyBorder="1" applyAlignment="1" applyProtection="1">
      <alignment horizontal="left"/>
      <protection hidden="1"/>
    </xf>
    <xf numFmtId="0" fontId="34" fillId="3" borderId="0" xfId="0" applyFont="1" applyFill="1" applyBorder="1" applyAlignment="1" applyProtection="1">
      <alignment horizontal="left" vertical="top" wrapText="1"/>
      <protection hidden="1"/>
    </xf>
    <xf numFmtId="0" fontId="24" fillId="4" borderId="26" xfId="0" applyFont="1" applyFill="1" applyBorder="1" applyAlignment="1" applyProtection="1">
      <alignment horizontal="center"/>
      <protection hidden="1"/>
    </xf>
    <xf numFmtId="0" fontId="24" fillId="4" borderId="1" xfId="0" applyFont="1" applyFill="1" applyBorder="1" applyAlignment="1" applyProtection="1">
      <alignment horizontal="center"/>
      <protection hidden="1"/>
    </xf>
    <xf numFmtId="0" fontId="47" fillId="3" borderId="55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left"/>
      <protection hidden="1"/>
    </xf>
    <xf numFmtId="0" fontId="1" fillId="9" borderId="0" xfId="0" applyFont="1" applyFill="1" applyBorder="1" applyAlignment="1" applyProtection="1">
      <alignment horizontal="right"/>
    </xf>
    <xf numFmtId="0" fontId="2" fillId="9" borderId="0" xfId="0" applyFont="1" applyFill="1" applyBorder="1" applyAlignment="1" applyProtection="1">
      <alignment horizontal="left"/>
    </xf>
    <xf numFmtId="0" fontId="56" fillId="9" borderId="0" xfId="0" applyFont="1" applyFill="1" applyBorder="1" applyAlignment="1" applyProtection="1">
      <alignment horizontal="center"/>
    </xf>
    <xf numFmtId="0" fontId="1" fillId="9" borderId="0" xfId="0" applyFont="1" applyFill="1" applyBorder="1" applyAlignment="1" applyProtection="1">
      <alignment horizontal="center"/>
    </xf>
    <xf numFmtId="0" fontId="22" fillId="9" borderId="0" xfId="0" applyFont="1" applyFill="1" applyBorder="1" applyAlignment="1" applyProtection="1">
      <alignment horizontal="center"/>
    </xf>
    <xf numFmtId="0" fontId="39" fillId="3" borderId="0" xfId="0" applyFont="1" applyFill="1" applyBorder="1" applyAlignment="1" applyProtection="1">
      <alignment horizontal="left" vertical="top" wrapText="1"/>
      <protection hidden="1"/>
    </xf>
    <xf numFmtId="0" fontId="2" fillId="3" borderId="1" xfId="0" applyFont="1" applyFill="1" applyBorder="1" applyAlignment="1" applyProtection="1">
      <alignment horizontal="left"/>
      <protection hidden="1"/>
    </xf>
    <xf numFmtId="166" fontId="13" fillId="3" borderId="0" xfId="0" applyNumberFormat="1" applyFont="1" applyFill="1" applyBorder="1" applyAlignment="1" applyProtection="1">
      <alignment horizontal="right"/>
      <protection hidden="1"/>
    </xf>
    <xf numFmtId="0" fontId="13" fillId="3" borderId="0" xfId="0" applyFont="1" applyFill="1" applyBorder="1" applyAlignment="1" applyProtection="1">
      <alignment horizontal="right"/>
      <protection hidden="1"/>
    </xf>
    <xf numFmtId="0" fontId="9" fillId="3" borderId="0" xfId="0" applyFont="1" applyFill="1" applyBorder="1" applyAlignment="1" applyProtection="1">
      <alignment horizontal="right"/>
      <protection hidden="1"/>
    </xf>
    <xf numFmtId="0" fontId="1" fillId="3" borderId="1" xfId="0" applyFont="1" applyFill="1" applyBorder="1" applyAlignment="1" applyProtection="1">
      <alignment horizontal="right"/>
      <protection hidden="1"/>
    </xf>
    <xf numFmtId="0" fontId="22" fillId="3" borderId="1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57" fillId="3" borderId="0" xfId="0" applyFont="1" applyFill="1" applyBorder="1" applyAlignment="1">
      <alignment horizontal="right" wrapText="1"/>
    </xf>
    <xf numFmtId="0" fontId="57" fillId="3" borderId="24" xfId="0" applyFont="1" applyFill="1" applyBorder="1" applyAlignment="1">
      <alignment horizontal="right" wrapText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55033</xdr:colOff>
      <xdr:row>5</xdr:row>
      <xdr:rowOff>66675</xdr:rowOff>
    </xdr:to>
    <xdr:pic>
      <xdr:nvPicPr>
        <xdr:cNvPr id="1366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484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152399</xdr:colOff>
      <xdr:row>10</xdr:row>
      <xdr:rowOff>323850</xdr:rowOff>
    </xdr:from>
    <xdr:to>
      <xdr:col>3</xdr:col>
      <xdr:colOff>397932</xdr:colOff>
      <xdr:row>28</xdr:row>
      <xdr:rowOff>9524</xdr:rowOff>
    </xdr:to>
    <xdr:pic>
      <xdr:nvPicPr>
        <xdr:cNvPr id="4" name="Afbeelding 3" descr="gelaagd_glas_5_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399" y="1914525"/>
          <a:ext cx="2886075" cy="283844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65</xdr:row>
          <xdr:rowOff>85725</xdr:rowOff>
        </xdr:from>
        <xdr:to>
          <xdr:col>3</xdr:col>
          <xdr:colOff>504825</xdr:colOff>
          <xdr:row>71</xdr:row>
          <xdr:rowOff>104775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nl-NL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BESTELLEN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485775</xdr:colOff>
      <xdr:row>3</xdr:row>
      <xdr:rowOff>104775</xdr:rowOff>
    </xdr:to>
    <xdr:pic>
      <xdr:nvPicPr>
        <xdr:cNvPr id="1550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219075</xdr:colOff>
      <xdr:row>3</xdr:row>
      <xdr:rowOff>104775</xdr:rowOff>
    </xdr:to>
    <xdr:pic>
      <xdr:nvPicPr>
        <xdr:cNvPr id="1140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295275</xdr:colOff>
      <xdr:row>3</xdr:row>
      <xdr:rowOff>104775</xdr:rowOff>
    </xdr:to>
    <xdr:pic>
      <xdr:nvPicPr>
        <xdr:cNvPr id="1447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485775</xdr:colOff>
      <xdr:row>3</xdr:row>
      <xdr:rowOff>104775</xdr:rowOff>
    </xdr:to>
    <xdr:pic>
      <xdr:nvPicPr>
        <xdr:cNvPr id="935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rian/Downloads/Enkelglas%20Kla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teblad"/>
      <sheetName val="Offerte"/>
      <sheetName val="Factuur"/>
      <sheetName val="Orderbevestiging"/>
      <sheetName val="Bestelling"/>
      <sheetName val="Copyright"/>
      <sheetName val="blad 1"/>
      <sheetName val="blad 2"/>
      <sheetName val="blad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 xml:space="preserve">  &lt;selecteer&gt;</v>
          </cell>
          <cell r="B2">
            <v>0</v>
          </cell>
          <cell r="D2">
            <v>0</v>
          </cell>
        </row>
        <row r="3">
          <cell r="A3" t="str">
            <v>Blank floatglas 3 mm</v>
          </cell>
          <cell r="B3">
            <v>22.5</v>
          </cell>
          <cell r="D3">
            <v>0.5</v>
          </cell>
        </row>
        <row r="4">
          <cell r="A4" t="str">
            <v>Blank floatglas 4 mm</v>
          </cell>
          <cell r="B4">
            <v>27.5</v>
          </cell>
          <cell r="D4">
            <v>0.5</v>
          </cell>
        </row>
        <row r="5">
          <cell r="A5" t="str">
            <v>Blank floatglas 5 mm</v>
          </cell>
          <cell r="B5">
            <v>34</v>
          </cell>
          <cell r="D5">
            <v>0.5</v>
          </cell>
        </row>
        <row r="6">
          <cell r="A6" t="str">
            <v>Blank floatglas 6 mm</v>
          </cell>
          <cell r="B6">
            <v>41.5</v>
          </cell>
          <cell r="D6">
            <v>0.5</v>
          </cell>
        </row>
        <row r="7">
          <cell r="A7" t="str">
            <v>Blank floatglas 8 mm</v>
          </cell>
          <cell r="B7">
            <v>54.8</v>
          </cell>
          <cell r="D7">
            <v>0.5</v>
          </cell>
        </row>
        <row r="8">
          <cell r="A8" t="str">
            <v>Blank floatglas 10 mm</v>
          </cell>
          <cell r="B8">
            <v>64.5</v>
          </cell>
          <cell r="D8">
            <v>0.5</v>
          </cell>
        </row>
        <row r="9">
          <cell r="A9" t="str">
            <v>Draadglas Blank Gehard (O) 6 mm</v>
          </cell>
          <cell r="B9">
            <v>36.5</v>
          </cell>
          <cell r="D9">
            <v>0.5</v>
          </cell>
        </row>
        <row r="10">
          <cell r="A10" t="str">
            <v>Draadglas Blank Brute (S) 6 mm</v>
          </cell>
          <cell r="B10">
            <v>36.5</v>
          </cell>
          <cell r="D10">
            <v>0.5</v>
          </cell>
        </row>
        <row r="11">
          <cell r="A11" t="str">
            <v>Draadglas Spiegeldraadglas 6 mm</v>
          </cell>
          <cell r="B11">
            <v>97.9</v>
          </cell>
          <cell r="D11">
            <v>0.5</v>
          </cell>
        </row>
        <row r="12">
          <cell r="A12" t="str">
            <v>Figuurglas Aero blank 4 mm</v>
          </cell>
          <cell r="B12">
            <v>63.3</v>
          </cell>
          <cell r="D12">
            <v>0.5</v>
          </cell>
        </row>
        <row r="13">
          <cell r="A13" t="str">
            <v>Figuurglas Aero brons 4 mm</v>
          </cell>
          <cell r="B13">
            <v>80.900000000000006</v>
          </cell>
          <cell r="D13">
            <v>0.5</v>
          </cell>
        </row>
        <row r="14">
          <cell r="A14" t="str">
            <v>Figuurglas Aero mat/blank 4 mm</v>
          </cell>
          <cell r="B14">
            <v>82.9</v>
          </cell>
          <cell r="D14">
            <v>0.5</v>
          </cell>
        </row>
        <row r="15">
          <cell r="A15" t="str">
            <v>Figuurglas Bamboo 5 mm</v>
          </cell>
          <cell r="B15">
            <v>61.8</v>
          </cell>
          <cell r="D15">
            <v>0.5</v>
          </cell>
        </row>
        <row r="16">
          <cell r="A16" t="str">
            <v>Figuurglas Bamboo brons 5 mm</v>
          </cell>
          <cell r="B16">
            <v>81.400000000000006</v>
          </cell>
          <cell r="D16">
            <v>0.5</v>
          </cell>
        </row>
        <row r="17">
          <cell r="A17" t="str">
            <v>Figuurglas Brute-glas 5 mm</v>
          </cell>
          <cell r="B17">
            <v>30.4</v>
          </cell>
          <cell r="D17">
            <v>0.5</v>
          </cell>
        </row>
        <row r="18">
          <cell r="A18" t="str">
            <v>Figuurglas Cathedraal blank 4 mm</v>
          </cell>
          <cell r="B18">
            <v>27.8</v>
          </cell>
          <cell r="D18">
            <v>0.5</v>
          </cell>
        </row>
        <row r="19">
          <cell r="A19" t="str">
            <v>Figuurglas Cathedraal brons 4 mm</v>
          </cell>
          <cell r="B19">
            <v>110.5</v>
          </cell>
          <cell r="D19">
            <v>0.5</v>
          </cell>
        </row>
        <row r="20">
          <cell r="A20" t="str">
            <v>Figuurglas Cathedraal fijn 4 mm</v>
          </cell>
          <cell r="B20">
            <v>27.8</v>
          </cell>
          <cell r="D20">
            <v>0.5</v>
          </cell>
        </row>
        <row r="21">
          <cell r="A21" t="str">
            <v>Figuurglas Cathedraal geel 4 mm</v>
          </cell>
          <cell r="B21">
            <v>57.2</v>
          </cell>
          <cell r="D21">
            <v>0.5</v>
          </cell>
        </row>
        <row r="22">
          <cell r="A22" t="str">
            <v>Figuurglas Cathedraal groen</v>
          </cell>
          <cell r="B22">
            <v>85.2</v>
          </cell>
          <cell r="D22">
            <v>0.5</v>
          </cell>
        </row>
        <row r="23">
          <cell r="A23" t="str">
            <v>Figuurglas Chincilla blank 4 mm</v>
          </cell>
          <cell r="B23">
            <v>40.4</v>
          </cell>
          <cell r="D23">
            <v>0.5</v>
          </cell>
        </row>
        <row r="24">
          <cell r="A24" t="str">
            <v>Figuurglas Chincilla brons 4 mm</v>
          </cell>
          <cell r="B24">
            <v>78.8</v>
          </cell>
          <cell r="D24">
            <v>0.5</v>
          </cell>
        </row>
        <row r="25">
          <cell r="A25" t="str">
            <v>Figuurglas Confetti 4 mm</v>
          </cell>
          <cell r="B25">
            <v>43.3</v>
          </cell>
          <cell r="D25">
            <v>0.5</v>
          </cell>
        </row>
        <row r="26">
          <cell r="A26" t="str">
            <v>Figuurglas Cotswold blank</v>
          </cell>
          <cell r="B26">
            <v>47.1</v>
          </cell>
          <cell r="D26">
            <v>0.5</v>
          </cell>
        </row>
        <row r="27">
          <cell r="A27" t="str">
            <v>Figuurglas Crepi 4 mm</v>
          </cell>
          <cell r="B27">
            <v>27.8</v>
          </cell>
          <cell r="D27">
            <v>0.5</v>
          </cell>
        </row>
        <row r="28">
          <cell r="A28" t="str">
            <v>Figuurglas Crepi 8 mm</v>
          </cell>
          <cell r="B28">
            <v>84.2</v>
          </cell>
          <cell r="D28">
            <v>0.5</v>
          </cell>
        </row>
        <row r="29">
          <cell r="A29" t="str">
            <v>Figuurglas Delta blank 4 mm</v>
          </cell>
          <cell r="B29">
            <v>40.4</v>
          </cell>
          <cell r="D29">
            <v>0.5</v>
          </cell>
        </row>
        <row r="30">
          <cell r="A30" t="str">
            <v>Figuurglas Delta brons 4 mm</v>
          </cell>
          <cell r="B30">
            <v>80.900000000000006</v>
          </cell>
          <cell r="D30">
            <v>0.5</v>
          </cell>
        </row>
        <row r="31">
          <cell r="A31" t="str">
            <v>Figuurglas Delta mat &amp; blank 4 mm</v>
          </cell>
          <cell r="B31">
            <v>70</v>
          </cell>
          <cell r="D31">
            <v>0.5</v>
          </cell>
        </row>
        <row r="32">
          <cell r="A32" t="str">
            <v>Figuurglas Farao blank 4 mm</v>
          </cell>
          <cell r="B32">
            <v>40.4</v>
          </cell>
          <cell r="D32">
            <v>0.5</v>
          </cell>
        </row>
        <row r="33">
          <cell r="A33" t="str">
            <v>Figuurglas Farao blank 8 mm</v>
          </cell>
          <cell r="B33">
            <v>80.599999999999994</v>
          </cell>
          <cell r="D33">
            <v>0.5</v>
          </cell>
        </row>
        <row r="34">
          <cell r="A34" t="str">
            <v>Figuurglas Farao brons 4 mm</v>
          </cell>
          <cell r="B34">
            <v>80.900000000000006</v>
          </cell>
          <cell r="D34">
            <v>0.5</v>
          </cell>
        </row>
        <row r="35">
          <cell r="A35" t="str">
            <v>Figuurglas Farao mat/blank 4 mm</v>
          </cell>
          <cell r="B35">
            <v>93</v>
          </cell>
          <cell r="D35">
            <v>0.5</v>
          </cell>
        </row>
        <row r="36">
          <cell r="A36" t="str">
            <v>Figuurglas Flutes (Canallé) blank 4 mm</v>
          </cell>
          <cell r="B36">
            <v>40.4</v>
          </cell>
          <cell r="D36">
            <v>0.5</v>
          </cell>
        </row>
        <row r="37">
          <cell r="A37" t="str">
            <v>Figuurglas Flutes (Canallé) mat &amp; blank 4 mm</v>
          </cell>
          <cell r="B37">
            <v>72.900000000000006</v>
          </cell>
          <cell r="D37">
            <v>0.5</v>
          </cell>
        </row>
        <row r="38">
          <cell r="A38" t="str">
            <v>Figuurglas Geblokt square (wafelglas) 5mm</v>
          </cell>
          <cell r="B38">
            <v>52</v>
          </cell>
          <cell r="D38">
            <v>0.5</v>
          </cell>
        </row>
        <row r="39">
          <cell r="A39" t="str">
            <v>Figuurglas Gegoten antiek blank 4 mm</v>
          </cell>
          <cell r="B39">
            <v>40.4</v>
          </cell>
          <cell r="D39">
            <v>0.5</v>
          </cell>
        </row>
        <row r="40">
          <cell r="A40" t="str">
            <v>Figuurglas Gegoten antiek brons 4 mm</v>
          </cell>
          <cell r="B40">
            <v>63.1</v>
          </cell>
          <cell r="D40">
            <v>0.5</v>
          </cell>
        </row>
        <row r="41">
          <cell r="A41" t="str">
            <v>Figuurglas Gegoten antiek geel 4 mm</v>
          </cell>
          <cell r="B41">
            <v>53.6</v>
          </cell>
          <cell r="D41">
            <v>0.5</v>
          </cell>
        </row>
        <row r="42">
          <cell r="A42" t="str">
            <v>Figuurglas Gegoten antiek grijs 4 mm</v>
          </cell>
          <cell r="B42">
            <v>91.9</v>
          </cell>
          <cell r="D42">
            <v>0.5</v>
          </cell>
        </row>
        <row r="43">
          <cell r="A43" t="str">
            <v>Figuurglas Gegoten antiek violet 4 mm</v>
          </cell>
          <cell r="B43">
            <v>123.3</v>
          </cell>
          <cell r="D43">
            <v>0.5</v>
          </cell>
        </row>
        <row r="44">
          <cell r="A44" t="str">
            <v>Figuurglas Gehamerd fijn (marine) 4 mm</v>
          </cell>
          <cell r="B44">
            <v>21.6</v>
          </cell>
          <cell r="D44">
            <v>0.5</v>
          </cell>
        </row>
        <row r="45">
          <cell r="A45" t="str">
            <v>Figuurglas Gehamerd grof (atlantic) 4 mm</v>
          </cell>
          <cell r="B45">
            <v>21.6</v>
          </cell>
          <cell r="D45">
            <v>0.5</v>
          </cell>
        </row>
        <row r="46">
          <cell r="A46" t="str">
            <v>Figuurglas Gothic 4 mm</v>
          </cell>
          <cell r="B46">
            <v>47.4</v>
          </cell>
          <cell r="D46">
            <v>0.5</v>
          </cell>
        </row>
        <row r="47">
          <cell r="A47" t="str">
            <v>Figuurglas Gothic brons 4 mm</v>
          </cell>
          <cell r="B47">
            <v>95.8</v>
          </cell>
          <cell r="D47">
            <v>0.5</v>
          </cell>
        </row>
        <row r="48">
          <cell r="A48" t="str">
            <v>Figuurglas Gothic geel 4 mm</v>
          </cell>
          <cell r="B48">
            <v>95.8</v>
          </cell>
          <cell r="D48">
            <v>0.5</v>
          </cell>
        </row>
        <row r="49">
          <cell r="A49" t="str">
            <v>Figuurglas Mastercarré blank 4 mm</v>
          </cell>
          <cell r="B49">
            <v>64.900000000000006</v>
          </cell>
          <cell r="D49">
            <v>0.5</v>
          </cell>
        </row>
        <row r="50">
          <cell r="A50" t="str">
            <v>Figuurglas Masterligne blank 4 mm</v>
          </cell>
          <cell r="B50">
            <v>93.2</v>
          </cell>
          <cell r="D50">
            <v>0.5</v>
          </cell>
        </row>
        <row r="51">
          <cell r="A51" t="str">
            <v>Figuurglas Masterpoint blank 4 mm</v>
          </cell>
          <cell r="B51">
            <v>93.2</v>
          </cell>
          <cell r="D51">
            <v>0.5</v>
          </cell>
        </row>
        <row r="52">
          <cell r="A52" t="str">
            <v xml:space="preserve">Figuurglas Matelux/satijn 4 mm </v>
          </cell>
          <cell r="B52">
            <v>64.900000000000006</v>
          </cell>
          <cell r="D52">
            <v>0.5</v>
          </cell>
        </row>
        <row r="53">
          <cell r="A53" t="str">
            <v xml:space="preserve">Figuurglas Matelux/satijn 6 mm </v>
          </cell>
          <cell r="B53">
            <v>75.400000000000006</v>
          </cell>
          <cell r="D53">
            <v>0.5</v>
          </cell>
        </row>
        <row r="54">
          <cell r="A54" t="str">
            <v>Figuurglas Matelux/satijn 8 mm</v>
          </cell>
          <cell r="B54">
            <v>89.1</v>
          </cell>
          <cell r="D54">
            <v>0.5</v>
          </cell>
        </row>
        <row r="55">
          <cell r="A55" t="str">
            <v>Figuurglas Matobel 2 zijdig ontspiegeld glas 2 mm</v>
          </cell>
          <cell r="B55">
            <v>27.6</v>
          </cell>
          <cell r="D55">
            <v>0.5</v>
          </cell>
        </row>
        <row r="56">
          <cell r="A56" t="str">
            <v>Figuurglas Niagara 5 mm</v>
          </cell>
          <cell r="B56">
            <v>45.8</v>
          </cell>
          <cell r="D56">
            <v>0.5</v>
          </cell>
        </row>
        <row r="57">
          <cell r="A57" t="str">
            <v>Figuurglas Niagara brons 5 mm</v>
          </cell>
          <cell r="B57">
            <v>61</v>
          </cell>
          <cell r="D57">
            <v>0.5</v>
          </cell>
        </row>
        <row r="58">
          <cell r="A58" t="str">
            <v>Figuurglas Niagara geel 5 mm</v>
          </cell>
          <cell r="B58">
            <v>61</v>
          </cell>
          <cell r="D58">
            <v>0.5</v>
          </cell>
        </row>
        <row r="59">
          <cell r="A59" t="str">
            <v>Figuurglas Niagara mat &amp; blank 5 mm</v>
          </cell>
          <cell r="B59">
            <v>97.1</v>
          </cell>
          <cell r="D59">
            <v>0.5</v>
          </cell>
        </row>
        <row r="60">
          <cell r="A60" t="str">
            <v>Figuurglas Quatrix 4 mm</v>
          </cell>
          <cell r="B60">
            <v>62.3</v>
          </cell>
          <cell r="D60">
            <v>0.5</v>
          </cell>
        </row>
        <row r="61">
          <cell r="A61" t="str">
            <v>Figuurglas Quatrix mat 4 mm</v>
          </cell>
          <cell r="B61">
            <v>93</v>
          </cell>
          <cell r="D61">
            <v>0.5</v>
          </cell>
        </row>
        <row r="62">
          <cell r="A62" t="str">
            <v>Figuurglas Satinbel 4 mm</v>
          </cell>
          <cell r="B62">
            <v>40.200000000000003</v>
          </cell>
          <cell r="D62">
            <v>0.5</v>
          </cell>
        </row>
        <row r="63">
          <cell r="A63" t="str">
            <v>Figuurglas Screen/Nylon 4 mm</v>
          </cell>
          <cell r="B63">
            <v>27.8</v>
          </cell>
          <cell r="D63">
            <v>0.5</v>
          </cell>
        </row>
        <row r="64">
          <cell r="A64" t="str">
            <v>Figuurglas Silvit blank 4 mm</v>
          </cell>
          <cell r="B64">
            <v>47.1</v>
          </cell>
          <cell r="D64">
            <v>0.5</v>
          </cell>
        </row>
        <row r="65">
          <cell r="A65" t="str">
            <v>Figuurglas Silvit brons 4 mm</v>
          </cell>
          <cell r="B65">
            <v>47.9</v>
          </cell>
          <cell r="D65">
            <v>0.5</v>
          </cell>
        </row>
        <row r="66">
          <cell r="A66" t="str">
            <v>Figuurglas Spotlite blank 4 mm</v>
          </cell>
          <cell r="B66">
            <v>44.3</v>
          </cell>
          <cell r="D66">
            <v>0.5</v>
          </cell>
        </row>
        <row r="67">
          <cell r="A67" t="str">
            <v>Figuurglas Travertino blank 4 mm</v>
          </cell>
          <cell r="B67">
            <v>63.3</v>
          </cell>
          <cell r="D67">
            <v>0.5</v>
          </cell>
        </row>
        <row r="68">
          <cell r="A68" t="str">
            <v>Figuurglas Vlechtmat Twist 4 mm</v>
          </cell>
          <cell r="B68">
            <v>48.9</v>
          </cell>
          <cell r="D68">
            <v>0.5</v>
          </cell>
        </row>
        <row r="69">
          <cell r="A69" t="str">
            <v>Figuurglas Waterdrup (Jan Hagel) 4 mm</v>
          </cell>
          <cell r="B69">
            <v>34.799999999999997</v>
          </cell>
          <cell r="D69">
            <v>0.5</v>
          </cell>
        </row>
        <row r="70">
          <cell r="A70" t="str">
            <v>Extra helder enkel glas optiwhite 4mm</v>
          </cell>
          <cell r="B70">
            <v>35</v>
          </cell>
          <cell r="D70">
            <v>0.5</v>
          </cell>
        </row>
        <row r="71">
          <cell r="A71" t="str">
            <v>Extra helder enkel glas optiwhite 6mm</v>
          </cell>
          <cell r="B71">
            <v>49.95</v>
          </cell>
          <cell r="D71">
            <v>0.5</v>
          </cell>
        </row>
        <row r="72">
          <cell r="A72" t="str">
            <v>Extra helder enkel glas optiwhite 8mm</v>
          </cell>
          <cell r="B72">
            <v>69.95</v>
          </cell>
          <cell r="D72">
            <v>0.5</v>
          </cell>
        </row>
        <row r="73">
          <cell r="A73" t="str">
            <v>Extra helder enkel glas optiwhite gehard 6mm</v>
          </cell>
          <cell r="B73">
            <v>136</v>
          </cell>
          <cell r="D73">
            <v>0.5</v>
          </cell>
        </row>
        <row r="74">
          <cell r="A74" t="str">
            <v>Extra helder enkel glas optiwhite gehard 8mm</v>
          </cell>
          <cell r="B74">
            <v>177</v>
          </cell>
          <cell r="D74">
            <v>0.5</v>
          </cell>
        </row>
        <row r="75">
          <cell r="A75" t="str">
            <v>Extra helder enkel glas optiwhite gehard 10mm</v>
          </cell>
          <cell r="B75">
            <v>233</v>
          </cell>
          <cell r="D75">
            <v>0.5</v>
          </cell>
        </row>
        <row r="76">
          <cell r="A76" t="str">
            <v>Extra helder enkel glas optiwhite gehard 12mm</v>
          </cell>
          <cell r="B76">
            <v>294</v>
          </cell>
          <cell r="D76">
            <v>0.5</v>
          </cell>
        </row>
        <row r="77">
          <cell r="A77" t="str">
            <v>Extra helder enkel glas optiwhite gehard 15mm</v>
          </cell>
          <cell r="B77">
            <v>595</v>
          </cell>
          <cell r="D77">
            <v>0.5</v>
          </cell>
        </row>
        <row r="78">
          <cell r="A78" t="str">
            <v>Extra helder enkel glas optiwhite 10mm</v>
          </cell>
          <cell r="B78">
            <v>88.92</v>
          </cell>
          <cell r="D78">
            <v>0.5</v>
          </cell>
        </row>
        <row r="79">
          <cell r="A79" t="str">
            <v>Extra helder enkel glas optiwhite 12mm</v>
          </cell>
          <cell r="B79">
            <v>122.45</v>
          </cell>
          <cell r="D79">
            <v>0.5</v>
          </cell>
        </row>
        <row r="80">
          <cell r="A80" t="str">
            <v>Extra helder enkel glas optiwhite 15mm</v>
          </cell>
          <cell r="B80">
            <v>237.67</v>
          </cell>
          <cell r="D80">
            <v>0.5</v>
          </cell>
        </row>
        <row r="81">
          <cell r="A81" t="str">
            <v>Spiegel Antiek Mirold Morena 4 mm</v>
          </cell>
          <cell r="B81">
            <v>79.3</v>
          </cell>
          <cell r="D81">
            <v>0.5</v>
          </cell>
        </row>
        <row r="82">
          <cell r="A82" t="str">
            <v>Standaard spiegel blank 3 mm</v>
          </cell>
          <cell r="B82">
            <v>41.7</v>
          </cell>
          <cell r="D82">
            <v>0.5</v>
          </cell>
        </row>
        <row r="83">
          <cell r="A83" t="str">
            <v>Standaard spiegel blank 4 mm</v>
          </cell>
          <cell r="B83">
            <v>47.4</v>
          </cell>
          <cell r="D83">
            <v>0.5</v>
          </cell>
        </row>
        <row r="84">
          <cell r="A84" t="str">
            <v>Standaard spiegel blank 5 mm</v>
          </cell>
          <cell r="B84">
            <v>56.1</v>
          </cell>
          <cell r="D84">
            <v>0.5</v>
          </cell>
        </row>
        <row r="85">
          <cell r="A85" t="str">
            <v>Standaard spiegel blank 6 mm</v>
          </cell>
          <cell r="B85">
            <v>62.8</v>
          </cell>
          <cell r="D85">
            <v>0.5</v>
          </cell>
        </row>
        <row r="86">
          <cell r="A86" t="str">
            <v>Standaard spiegel blank 8 mm</v>
          </cell>
          <cell r="B86">
            <v>87</v>
          </cell>
          <cell r="D86">
            <v>0.5</v>
          </cell>
        </row>
        <row r="87">
          <cell r="A87" t="str">
            <v>Standaard spiegel brons 4 mm</v>
          </cell>
          <cell r="B87">
            <v>65.7</v>
          </cell>
          <cell r="D87">
            <v>0.5</v>
          </cell>
        </row>
        <row r="88">
          <cell r="A88" t="str">
            <v>Standaard spiegel brons 6 mm</v>
          </cell>
          <cell r="B88">
            <v>97.9</v>
          </cell>
          <cell r="D88">
            <v>0.5</v>
          </cell>
        </row>
        <row r="89">
          <cell r="A89" t="str">
            <v>Standaard spiegel grijs 4mm</v>
          </cell>
          <cell r="B89">
            <v>65.7</v>
          </cell>
          <cell r="D89">
            <v>0.5</v>
          </cell>
        </row>
        <row r="90">
          <cell r="A90" t="str">
            <v>Standaard spiegel grijs 6 mm</v>
          </cell>
          <cell r="B90">
            <v>97.9</v>
          </cell>
          <cell r="D90">
            <v>0.5</v>
          </cell>
        </row>
        <row r="91">
          <cell r="A91" t="str">
            <v>Standaard spiegel groen 6mm</v>
          </cell>
          <cell r="B91">
            <v>97.9</v>
          </cell>
          <cell r="D91">
            <v>0.5</v>
          </cell>
        </row>
        <row r="92">
          <cell r="A92" t="str">
            <v>Veiligheidsspiegel blank 4 mm</v>
          </cell>
          <cell r="B92">
            <v>66.400000000000006</v>
          </cell>
          <cell r="D92">
            <v>0.5</v>
          </cell>
        </row>
        <row r="93">
          <cell r="A93" t="str">
            <v>Veiligheidsspiegel blank 6 mm</v>
          </cell>
          <cell r="B93">
            <v>76.7</v>
          </cell>
          <cell r="D93">
            <v>0.5</v>
          </cell>
        </row>
        <row r="94">
          <cell r="A94" t="str">
            <v>Gekleurd floatglas 4 mm brons</v>
          </cell>
          <cell r="B94">
            <v>46.4</v>
          </cell>
          <cell r="D94">
            <v>0.5</v>
          </cell>
        </row>
        <row r="95">
          <cell r="A95" t="str">
            <v>Gekleurd floatglas 4 mm groen</v>
          </cell>
          <cell r="B95">
            <v>46.4</v>
          </cell>
          <cell r="D95">
            <v>0.5</v>
          </cell>
        </row>
        <row r="96">
          <cell r="A96" t="str">
            <v>Gekleurd floatglas 4 mm grijs</v>
          </cell>
          <cell r="B96">
            <v>46.4</v>
          </cell>
          <cell r="D96">
            <v>0.5</v>
          </cell>
        </row>
        <row r="97">
          <cell r="A97" t="str">
            <v>Gekleurd floatglas 5 mm brons</v>
          </cell>
          <cell r="B97">
            <v>57.7</v>
          </cell>
          <cell r="D97">
            <v>0.5</v>
          </cell>
        </row>
        <row r="98">
          <cell r="A98" t="str">
            <v>Gekleurd floatglas 5 mm groen</v>
          </cell>
          <cell r="B98">
            <v>57.7</v>
          </cell>
          <cell r="D98">
            <v>0.5</v>
          </cell>
        </row>
        <row r="99">
          <cell r="A99" t="str">
            <v>Gekleurd floatglas 5 mm grijs</v>
          </cell>
          <cell r="B99">
            <v>57.7</v>
          </cell>
          <cell r="D99">
            <v>0.5</v>
          </cell>
        </row>
        <row r="100">
          <cell r="A100" t="str">
            <v>Gekleurd floatglas 6 mm brons</v>
          </cell>
          <cell r="B100">
            <v>69</v>
          </cell>
          <cell r="D100">
            <v>0.5</v>
          </cell>
        </row>
        <row r="101">
          <cell r="A101" t="str">
            <v>Gekleurd floatglas 6 mm groen</v>
          </cell>
          <cell r="B101">
            <v>69</v>
          </cell>
          <cell r="D101">
            <v>0.5</v>
          </cell>
        </row>
        <row r="102">
          <cell r="A102" t="str">
            <v>Gekleurd floatglas 6 mm grijs</v>
          </cell>
          <cell r="B102">
            <v>69</v>
          </cell>
          <cell r="D102">
            <v>0.5</v>
          </cell>
        </row>
        <row r="103">
          <cell r="A103" t="str">
            <v>Gekleurd floatglas 8 mm brons</v>
          </cell>
          <cell r="B103">
            <v>91.7</v>
          </cell>
          <cell r="D103">
            <v>0.5</v>
          </cell>
        </row>
        <row r="104">
          <cell r="A104" t="str">
            <v>Gekleurd floatglas 8 mm groen</v>
          </cell>
          <cell r="B104">
            <v>91.7</v>
          </cell>
          <cell r="D104">
            <v>0.5</v>
          </cell>
        </row>
        <row r="105">
          <cell r="A105" t="str">
            <v>Gekleurd floatglas 8 mm grijs</v>
          </cell>
          <cell r="B105">
            <v>91.7</v>
          </cell>
          <cell r="D105">
            <v>0.5</v>
          </cell>
        </row>
        <row r="106">
          <cell r="A106" t="str">
            <v>Gekleurd floatglas 10 mm brons</v>
          </cell>
          <cell r="B106">
            <v>112.3</v>
          </cell>
          <cell r="D106">
            <v>0.5</v>
          </cell>
        </row>
        <row r="107">
          <cell r="A107" t="str">
            <v>Gekleurd floatglas 10 mm groen</v>
          </cell>
          <cell r="B107">
            <v>112.3</v>
          </cell>
          <cell r="D107">
            <v>0.5</v>
          </cell>
        </row>
        <row r="108">
          <cell r="A108" t="str">
            <v>Gekleurd floatglas 10 mm grijs</v>
          </cell>
          <cell r="B108">
            <v>112.3</v>
          </cell>
          <cell r="D108">
            <v>0.5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glasdiscount.n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>
    <pageSetUpPr fitToPage="1"/>
  </sheetPr>
  <dimension ref="A1:FH76"/>
  <sheetViews>
    <sheetView tabSelected="1" topLeftCell="B1" zoomScaleNormal="100" workbookViewId="0">
      <selection activeCell="E12" sqref="E12"/>
    </sheetView>
  </sheetViews>
  <sheetFormatPr defaultColWidth="11.42578125" defaultRowHeight="12.75"/>
  <cols>
    <col min="1" max="1" width="1.140625" style="1" hidden="1" customWidth="1"/>
    <col min="2" max="2" width="28.42578125" style="1" customWidth="1"/>
    <col min="3" max="3" width="11.140625" style="1" customWidth="1"/>
    <col min="4" max="4" width="8.85546875" style="1" customWidth="1"/>
    <col min="5" max="5" width="31.5703125" style="1" customWidth="1"/>
    <col min="6" max="6" width="12.85546875" style="1" customWidth="1"/>
    <col min="7" max="7" width="9.28515625" style="1" customWidth="1"/>
    <col min="8" max="8" width="23.85546875" style="1" customWidth="1"/>
    <col min="9" max="9" width="13" style="1" customWidth="1"/>
    <col min="10" max="10" width="15.42578125" style="1" customWidth="1"/>
    <col min="11" max="11" width="14" style="1" customWidth="1"/>
    <col min="12" max="12" width="45.42578125" style="129" customWidth="1"/>
    <col min="13" max="13" width="42.85546875" style="129" hidden="1" customWidth="1"/>
    <col min="14" max="14" width="0.28515625" style="129" hidden="1" customWidth="1"/>
    <col min="15" max="15" width="0.28515625" style="129" customWidth="1"/>
    <col min="16" max="16" width="13.28515625" style="130" customWidth="1"/>
    <col min="17" max="19" width="11.42578125" style="128" customWidth="1"/>
    <col min="20" max="20" width="12.28515625" style="128" customWidth="1"/>
    <col min="21" max="45" width="11.42578125" style="128" customWidth="1"/>
    <col min="46" max="87" width="11.42578125" style="132" customWidth="1"/>
    <col min="88" max="16384" width="11.42578125" style="1"/>
  </cols>
  <sheetData>
    <row r="1" spans="1:87" s="2" customFormat="1">
      <c r="F1" s="339"/>
      <c r="G1" s="339"/>
      <c r="H1" s="339"/>
      <c r="I1" s="12"/>
      <c r="J1" s="12"/>
      <c r="K1" s="12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</row>
    <row r="2" spans="1:87" s="2" customFormat="1" ht="5.25" customHeight="1">
      <c r="F2" s="339"/>
      <c r="G2" s="339"/>
      <c r="H2" s="339"/>
      <c r="I2" s="12"/>
      <c r="J2" s="12"/>
      <c r="K2" s="12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</row>
    <row r="3" spans="1:87" ht="24" customHeight="1">
      <c r="B3" s="2"/>
      <c r="C3" s="2"/>
      <c r="D3" s="2"/>
      <c r="E3" s="2"/>
      <c r="F3" s="339"/>
      <c r="G3" s="339"/>
      <c r="H3" s="339"/>
      <c r="I3" s="12"/>
      <c r="J3" s="145" t="s">
        <v>85</v>
      </c>
      <c r="K3" s="146"/>
      <c r="L3" s="130"/>
      <c r="M3" s="130"/>
      <c r="N3" s="130"/>
      <c r="O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</row>
    <row r="4" spans="1:87" ht="3.75" customHeight="1">
      <c r="A4" s="40" t="s">
        <v>131</v>
      </c>
      <c r="B4" s="2"/>
      <c r="C4" s="2"/>
      <c r="D4" s="2"/>
      <c r="E4" s="2"/>
      <c r="F4" s="339"/>
      <c r="G4" s="339"/>
      <c r="H4" s="339"/>
      <c r="I4" s="12"/>
      <c r="J4" s="136"/>
      <c r="K4" s="136"/>
      <c r="L4" s="130"/>
      <c r="M4" s="130"/>
      <c r="N4" s="130"/>
      <c r="O4" s="130"/>
    </row>
    <row r="5" spans="1:87" ht="16.5" customHeight="1">
      <c r="B5" s="2"/>
      <c r="C5" s="2"/>
      <c r="D5" s="2"/>
      <c r="E5" s="2"/>
      <c r="F5" s="339"/>
      <c r="G5" s="339"/>
      <c r="H5" s="339"/>
      <c r="I5" s="12"/>
      <c r="J5" s="12"/>
      <c r="K5" s="83" t="s">
        <v>278</v>
      </c>
      <c r="L5" s="130"/>
      <c r="M5" s="130"/>
      <c r="N5" s="130"/>
      <c r="O5" s="130"/>
    </row>
    <row r="6" spans="1:87" ht="21" customHeight="1">
      <c r="B6" s="2"/>
      <c r="C6" s="2"/>
      <c r="D6" s="2"/>
      <c r="E6" s="2"/>
      <c r="F6" s="339"/>
      <c r="G6" s="339"/>
      <c r="H6" s="339"/>
      <c r="I6" s="429" t="s">
        <v>279</v>
      </c>
      <c r="J6" s="429"/>
      <c r="K6" s="429"/>
      <c r="L6" s="130"/>
      <c r="M6" s="130"/>
      <c r="N6" s="130"/>
      <c r="O6" s="130"/>
    </row>
    <row r="7" spans="1:87" ht="6" hidden="1" customHeight="1">
      <c r="B7" s="3"/>
      <c r="C7" s="3"/>
      <c r="D7" s="3"/>
      <c r="E7" s="3"/>
      <c r="F7" s="339"/>
      <c r="G7" s="339"/>
      <c r="H7" s="339"/>
      <c r="I7" s="429"/>
      <c r="J7" s="429"/>
      <c r="K7" s="429"/>
      <c r="L7" s="130"/>
      <c r="M7" s="130"/>
      <c r="N7" s="130"/>
      <c r="O7" s="130"/>
    </row>
    <row r="8" spans="1:87" ht="2.25" hidden="1" customHeight="1">
      <c r="B8" s="2"/>
      <c r="C8" s="2"/>
      <c r="D8" s="2"/>
      <c r="E8" s="2"/>
      <c r="F8" s="339"/>
      <c r="G8" s="339"/>
      <c r="H8" s="339"/>
      <c r="I8" s="429"/>
      <c r="J8" s="429"/>
      <c r="K8" s="429"/>
      <c r="L8" s="130"/>
      <c r="M8" s="130"/>
      <c r="N8" s="130"/>
      <c r="O8" s="130"/>
    </row>
    <row r="9" spans="1:87" ht="16.5" customHeight="1" thickBot="1">
      <c r="B9" s="329" t="s">
        <v>229</v>
      </c>
      <c r="C9" s="329"/>
      <c r="D9" s="329"/>
      <c r="E9" s="329"/>
      <c r="F9" s="340"/>
      <c r="G9" s="340"/>
      <c r="H9" s="340"/>
      <c r="I9" s="430"/>
      <c r="J9" s="430"/>
      <c r="K9" s="430"/>
      <c r="L9" s="130"/>
      <c r="M9" s="130"/>
      <c r="N9" s="130"/>
      <c r="O9" s="130"/>
      <c r="P9" s="163"/>
      <c r="Q9" s="135"/>
      <c r="R9" s="135"/>
      <c r="S9" s="135"/>
      <c r="T9" s="135"/>
      <c r="U9" s="135"/>
      <c r="V9" s="135"/>
      <c r="W9" s="135"/>
    </row>
    <row r="10" spans="1:87" ht="45" customHeight="1" thickBot="1">
      <c r="B10" s="310" t="s">
        <v>253</v>
      </c>
      <c r="C10" s="311"/>
      <c r="D10" s="311"/>
      <c r="E10" s="311"/>
      <c r="F10" s="311"/>
      <c r="G10" s="311"/>
      <c r="H10" s="311"/>
      <c r="I10" s="311"/>
      <c r="J10" s="311"/>
      <c r="K10" s="312"/>
      <c r="L10" s="130"/>
      <c r="M10" s="130"/>
      <c r="N10" s="130"/>
      <c r="O10" s="130"/>
      <c r="P10" s="163"/>
      <c r="Q10" s="135"/>
      <c r="R10" s="135"/>
      <c r="S10" s="135"/>
      <c r="T10" s="135"/>
      <c r="U10" s="135"/>
      <c r="V10" s="135"/>
      <c r="W10" s="135"/>
    </row>
    <row r="11" spans="1:87" ht="31.5" customHeight="1" thickBot="1">
      <c r="B11" s="330"/>
      <c r="C11" s="331"/>
      <c r="D11" s="332"/>
      <c r="E11" s="138" t="s">
        <v>75</v>
      </c>
      <c r="F11" s="134" t="s">
        <v>42</v>
      </c>
      <c r="G11" s="137" t="s">
        <v>9</v>
      </c>
      <c r="H11" s="134" t="s">
        <v>53</v>
      </c>
      <c r="I11" s="134" t="s">
        <v>54</v>
      </c>
      <c r="J11" s="134" t="s">
        <v>41</v>
      </c>
      <c r="K11" s="134" t="s">
        <v>39</v>
      </c>
      <c r="L11" s="130"/>
      <c r="M11" s="130"/>
      <c r="N11" s="130"/>
      <c r="O11" s="130" t="s">
        <v>208</v>
      </c>
      <c r="P11" s="205"/>
      <c r="R11" s="135"/>
      <c r="S11" s="135"/>
      <c r="T11" s="135"/>
      <c r="U11" s="135"/>
      <c r="V11" s="135"/>
      <c r="W11" s="135"/>
      <c r="X11" s="136"/>
      <c r="Y11" s="136"/>
      <c r="Z11" s="136"/>
    </row>
    <row r="12" spans="1:87">
      <c r="B12" s="333"/>
      <c r="C12" s="334"/>
      <c r="D12" s="335"/>
      <c r="E12" s="139" t="s">
        <v>40</v>
      </c>
      <c r="F12" s="41">
        <f>VLOOKUP(E12,[0]!prijslijst,2,FALSE)</f>
        <v>0</v>
      </c>
      <c r="G12" s="4">
        <v>0</v>
      </c>
      <c r="H12" s="4">
        <v>0</v>
      </c>
      <c r="I12" s="4">
        <v>0</v>
      </c>
      <c r="J12" s="30">
        <f t="shared" ref="J12:J18" si="0">(H12*I12)/1000000</f>
        <v>0</v>
      </c>
      <c r="K12" s="42">
        <f t="shared" ref="K12:K30" si="1">IF(J12=0,0,(IF(J12&lt;0.5,0.5*F12*G12,J12*F12*G12)))</f>
        <v>0</v>
      </c>
      <c r="L12" s="130" t="str">
        <f>IF(J12&gt;5,"Raam &gt; 5 m2: svp contact",IF(J12&lt;M12,CONCATENATE("minimale prijs is ",M12,"m2 per ruit"),""))</f>
        <v/>
      </c>
      <c r="M12" s="130">
        <f>VLOOKUP(E12,'[1]blad 2'!$A$2:$D$156,4,TRUE)</f>
        <v>0</v>
      </c>
      <c r="N12" s="130"/>
      <c r="O12" s="130">
        <f t="shared" ref="O12:O30" si="2">J12*G12</f>
        <v>0</v>
      </c>
      <c r="P12" s="162"/>
      <c r="R12" s="135"/>
      <c r="S12" s="135"/>
      <c r="T12" s="135"/>
      <c r="U12" s="135"/>
      <c r="V12" s="135"/>
      <c r="W12" s="135"/>
      <c r="X12" s="136"/>
      <c r="Y12" s="136"/>
      <c r="Z12" s="136"/>
    </row>
    <row r="13" spans="1:87">
      <c r="B13" s="333"/>
      <c r="C13" s="334"/>
      <c r="D13" s="335"/>
      <c r="E13" s="140" t="s">
        <v>40</v>
      </c>
      <c r="F13" s="41">
        <f>VLOOKUP(E13,[0]!prijslijst,2,FALSE)</f>
        <v>0</v>
      </c>
      <c r="G13" s="4">
        <v>0</v>
      </c>
      <c r="H13" s="4">
        <v>0</v>
      </c>
      <c r="I13" s="4">
        <v>0</v>
      </c>
      <c r="J13" s="30">
        <f t="shared" si="0"/>
        <v>0</v>
      </c>
      <c r="K13" s="42">
        <f t="shared" si="1"/>
        <v>0</v>
      </c>
      <c r="L13" s="130" t="str">
        <f t="shared" ref="L13:L30" si="3">IF(J13&gt;5,"Raam &gt; 5 m2: svp contact",IF(J13&lt;M13,CONCATENATE("minimale prijs is ",M13,"m2 per ruit"),""))</f>
        <v/>
      </c>
      <c r="M13" s="130">
        <f>VLOOKUP(E13,'[1]blad 2'!$A$2:$D$156,4,TRUE)</f>
        <v>0</v>
      </c>
      <c r="N13" s="130"/>
      <c r="O13" s="130">
        <f t="shared" si="2"/>
        <v>0</v>
      </c>
      <c r="P13" s="162"/>
      <c r="R13" s="135"/>
      <c r="S13" s="135"/>
      <c r="T13" s="135"/>
      <c r="U13" s="135"/>
      <c r="V13" s="135"/>
      <c r="W13" s="135"/>
      <c r="X13" s="136"/>
      <c r="Y13" s="136"/>
      <c r="Z13" s="136"/>
    </row>
    <row r="14" spans="1:87">
      <c r="B14" s="333"/>
      <c r="C14" s="334"/>
      <c r="D14" s="335"/>
      <c r="E14" s="141" t="s">
        <v>40</v>
      </c>
      <c r="F14" s="41">
        <f>VLOOKUP(E14,[0]!prijslijst,2,FALSE)</f>
        <v>0</v>
      </c>
      <c r="G14" s="4">
        <v>0</v>
      </c>
      <c r="H14" s="4">
        <v>0</v>
      </c>
      <c r="I14" s="4">
        <v>0</v>
      </c>
      <c r="J14" s="30">
        <f t="shared" si="0"/>
        <v>0</v>
      </c>
      <c r="K14" s="42">
        <f t="shared" si="1"/>
        <v>0</v>
      </c>
      <c r="L14" s="130" t="str">
        <f t="shared" si="3"/>
        <v/>
      </c>
      <c r="M14" s="130">
        <f>VLOOKUP(E14,'[1]blad 2'!$A$2:$D$156,4,TRUE)</f>
        <v>0</v>
      </c>
      <c r="N14" s="130"/>
      <c r="O14" s="130">
        <f t="shared" si="2"/>
        <v>0</v>
      </c>
      <c r="P14" s="162"/>
      <c r="R14" s="135"/>
      <c r="S14" s="135"/>
      <c r="T14" s="135"/>
      <c r="U14" s="135"/>
      <c r="V14" s="135"/>
      <c r="W14" s="135"/>
      <c r="X14" s="136"/>
      <c r="Y14" s="136"/>
      <c r="Z14" s="136"/>
    </row>
    <row r="15" spans="1:87">
      <c r="B15" s="333"/>
      <c r="C15" s="334"/>
      <c r="D15" s="335"/>
      <c r="E15" s="141" t="s">
        <v>40</v>
      </c>
      <c r="F15" s="41">
        <f>VLOOKUP(E15,[0]!prijslijst,2,FALSE)</f>
        <v>0</v>
      </c>
      <c r="G15" s="4">
        <v>0</v>
      </c>
      <c r="H15" s="4">
        <v>0</v>
      </c>
      <c r="I15" s="4">
        <v>0</v>
      </c>
      <c r="J15" s="30">
        <f t="shared" si="0"/>
        <v>0</v>
      </c>
      <c r="K15" s="42">
        <f t="shared" si="1"/>
        <v>0</v>
      </c>
      <c r="L15" s="130" t="str">
        <f t="shared" si="3"/>
        <v/>
      </c>
      <c r="M15" s="130">
        <f>VLOOKUP(E15,'[1]blad 2'!$A$2:$D$156,4,TRUE)</f>
        <v>0</v>
      </c>
      <c r="N15" s="130"/>
      <c r="O15" s="130">
        <f t="shared" si="2"/>
        <v>0</v>
      </c>
      <c r="P15" s="162"/>
      <c r="R15" s="135"/>
      <c r="S15" s="135"/>
      <c r="T15" s="135"/>
      <c r="U15" s="135"/>
      <c r="V15" s="135"/>
      <c r="W15" s="135"/>
      <c r="X15" s="136"/>
      <c r="Y15" s="136"/>
      <c r="Z15" s="136"/>
    </row>
    <row r="16" spans="1:87">
      <c r="B16" s="333"/>
      <c r="C16" s="334"/>
      <c r="D16" s="335"/>
      <c r="E16" s="141" t="s">
        <v>40</v>
      </c>
      <c r="F16" s="41">
        <f>VLOOKUP(E16,[0]!prijslijst,2,FALSE)</f>
        <v>0</v>
      </c>
      <c r="G16" s="4">
        <v>0</v>
      </c>
      <c r="H16" s="4">
        <v>0</v>
      </c>
      <c r="I16" s="4">
        <v>0</v>
      </c>
      <c r="J16" s="30">
        <f t="shared" si="0"/>
        <v>0</v>
      </c>
      <c r="K16" s="42">
        <f t="shared" si="1"/>
        <v>0</v>
      </c>
      <c r="L16" s="130" t="str">
        <f t="shared" si="3"/>
        <v/>
      </c>
      <c r="M16" s="130">
        <f>VLOOKUP(E16,'[1]blad 2'!$A$2:$D$156,4,TRUE)</f>
        <v>0</v>
      </c>
      <c r="N16" s="130"/>
      <c r="O16" s="130">
        <f t="shared" si="2"/>
        <v>0</v>
      </c>
      <c r="P16" s="162"/>
      <c r="R16" s="135"/>
      <c r="S16" s="135"/>
      <c r="T16" s="135"/>
      <c r="U16" s="135"/>
      <c r="V16" s="135"/>
      <c r="W16" s="135"/>
      <c r="X16" s="136"/>
      <c r="Y16" s="136"/>
      <c r="Z16" s="136"/>
    </row>
    <row r="17" spans="2:26">
      <c r="B17" s="333"/>
      <c r="C17" s="334"/>
      <c r="D17" s="335"/>
      <c r="E17" s="141" t="s">
        <v>40</v>
      </c>
      <c r="F17" s="41">
        <f>VLOOKUP(E17,[0]!prijslijst,2,FALSE)</f>
        <v>0</v>
      </c>
      <c r="G17" s="4">
        <v>0</v>
      </c>
      <c r="H17" s="4">
        <v>0</v>
      </c>
      <c r="I17" s="4">
        <v>0</v>
      </c>
      <c r="J17" s="30">
        <f t="shared" si="0"/>
        <v>0</v>
      </c>
      <c r="K17" s="42">
        <f t="shared" si="1"/>
        <v>0</v>
      </c>
      <c r="L17" s="130" t="str">
        <f t="shared" si="3"/>
        <v/>
      </c>
      <c r="M17" s="130">
        <f>VLOOKUP(E17,'[1]blad 2'!$A$2:$D$156,4,TRUE)</f>
        <v>0</v>
      </c>
      <c r="N17" s="130"/>
      <c r="O17" s="130">
        <f t="shared" si="2"/>
        <v>0</v>
      </c>
      <c r="P17" s="162"/>
      <c r="R17" s="135"/>
      <c r="S17" s="135"/>
      <c r="T17" s="135"/>
      <c r="U17" s="135"/>
      <c r="V17" s="135"/>
      <c r="W17" s="135"/>
      <c r="X17" s="136"/>
      <c r="Y17" s="136"/>
      <c r="Z17" s="136"/>
    </row>
    <row r="18" spans="2:26">
      <c r="B18" s="333"/>
      <c r="C18" s="334"/>
      <c r="D18" s="335"/>
      <c r="E18" s="141" t="s">
        <v>40</v>
      </c>
      <c r="F18" s="41">
        <f>VLOOKUP(E18,[0]!prijslijst,2,FALSE)</f>
        <v>0</v>
      </c>
      <c r="G18" s="4">
        <v>0</v>
      </c>
      <c r="H18" s="4">
        <v>0</v>
      </c>
      <c r="I18" s="4">
        <v>0</v>
      </c>
      <c r="J18" s="30">
        <f t="shared" si="0"/>
        <v>0</v>
      </c>
      <c r="K18" s="42">
        <f t="shared" si="1"/>
        <v>0</v>
      </c>
      <c r="L18" s="130" t="str">
        <f t="shared" si="3"/>
        <v/>
      </c>
      <c r="M18" s="130">
        <f>VLOOKUP(E18,'[1]blad 2'!$A$2:$D$156,4,TRUE)</f>
        <v>0</v>
      </c>
      <c r="N18" s="130"/>
      <c r="O18" s="130">
        <f t="shared" si="2"/>
        <v>0</v>
      </c>
      <c r="P18" s="162"/>
      <c r="R18" s="135"/>
      <c r="S18" s="135"/>
      <c r="T18" s="135"/>
      <c r="U18" s="135"/>
      <c r="V18" s="135"/>
      <c r="W18" s="135"/>
      <c r="X18" s="136"/>
      <c r="Y18" s="136"/>
      <c r="Z18" s="136"/>
    </row>
    <row r="19" spans="2:26">
      <c r="B19" s="333"/>
      <c r="C19" s="334"/>
      <c r="D19" s="335"/>
      <c r="E19" s="141" t="s">
        <v>40</v>
      </c>
      <c r="F19" s="41">
        <f>VLOOKUP(E19,[0]!prijslijst,2,FALSE)</f>
        <v>0</v>
      </c>
      <c r="G19" s="4">
        <v>0</v>
      </c>
      <c r="H19" s="4">
        <v>0</v>
      </c>
      <c r="I19" s="4">
        <v>0</v>
      </c>
      <c r="J19" s="30">
        <v>0</v>
      </c>
      <c r="K19" s="42">
        <f t="shared" si="1"/>
        <v>0</v>
      </c>
      <c r="L19" s="130" t="str">
        <f t="shared" si="3"/>
        <v/>
      </c>
      <c r="M19" s="130">
        <f>VLOOKUP(E19,'[1]blad 2'!$A$2:$D$156,4,TRUE)</f>
        <v>0</v>
      </c>
      <c r="N19" s="130"/>
      <c r="O19" s="130">
        <f t="shared" si="2"/>
        <v>0</v>
      </c>
      <c r="P19" s="162"/>
      <c r="R19" s="135"/>
      <c r="S19" s="135"/>
      <c r="T19" s="135"/>
      <c r="U19" s="135"/>
      <c r="V19" s="135"/>
      <c r="W19" s="135"/>
      <c r="X19" s="136"/>
      <c r="Y19" s="136"/>
      <c r="Z19" s="136"/>
    </row>
    <row r="20" spans="2:26">
      <c r="B20" s="333"/>
      <c r="C20" s="334"/>
      <c r="D20" s="335"/>
      <c r="E20" s="141" t="s">
        <v>40</v>
      </c>
      <c r="F20" s="41">
        <f>VLOOKUP(E20,[0]!prijslijst,2,FALSE)</f>
        <v>0</v>
      </c>
      <c r="G20" s="4">
        <v>0</v>
      </c>
      <c r="H20" s="4">
        <v>0</v>
      </c>
      <c r="I20" s="4">
        <v>0</v>
      </c>
      <c r="J20" s="30">
        <f t="shared" ref="J20:J25" si="4">(H20*I20)/1000000</f>
        <v>0</v>
      </c>
      <c r="K20" s="42">
        <f t="shared" si="1"/>
        <v>0</v>
      </c>
      <c r="L20" s="130" t="str">
        <f t="shared" si="3"/>
        <v/>
      </c>
      <c r="M20" s="130">
        <f>VLOOKUP(E20,'[1]blad 2'!$A$2:$D$156,4,TRUE)</f>
        <v>0</v>
      </c>
      <c r="N20" s="130"/>
      <c r="O20" s="130">
        <f t="shared" si="2"/>
        <v>0</v>
      </c>
      <c r="P20" s="162"/>
      <c r="R20" s="135"/>
      <c r="S20" s="135"/>
      <c r="T20" s="135"/>
      <c r="U20" s="135"/>
      <c r="V20" s="135"/>
      <c r="W20" s="135"/>
      <c r="X20" s="136"/>
      <c r="Y20" s="136"/>
      <c r="Z20" s="136"/>
    </row>
    <row r="21" spans="2:26">
      <c r="B21" s="333"/>
      <c r="C21" s="334"/>
      <c r="D21" s="335"/>
      <c r="E21" s="141" t="s">
        <v>40</v>
      </c>
      <c r="F21" s="41">
        <f>VLOOKUP(E21,[0]!prijslijst,2,FALSE)</f>
        <v>0</v>
      </c>
      <c r="G21" s="4">
        <v>0</v>
      </c>
      <c r="H21" s="4">
        <v>0</v>
      </c>
      <c r="I21" s="4">
        <v>0</v>
      </c>
      <c r="J21" s="30">
        <f t="shared" si="4"/>
        <v>0</v>
      </c>
      <c r="K21" s="42">
        <f t="shared" si="1"/>
        <v>0</v>
      </c>
      <c r="L21" s="130" t="str">
        <f t="shared" si="3"/>
        <v/>
      </c>
      <c r="M21" s="130">
        <f>VLOOKUP(E21,'[1]blad 2'!$A$2:$D$156,4,TRUE)</f>
        <v>0</v>
      </c>
      <c r="N21" s="130"/>
      <c r="O21" s="130">
        <f t="shared" si="2"/>
        <v>0</v>
      </c>
      <c r="P21" s="162"/>
      <c r="R21" s="135"/>
      <c r="S21" s="135"/>
      <c r="T21" s="135"/>
      <c r="U21" s="135"/>
      <c r="V21" s="135"/>
      <c r="W21" s="135"/>
      <c r="X21" s="136"/>
      <c r="Y21" s="136"/>
      <c r="Z21" s="136"/>
    </row>
    <row r="22" spans="2:26">
      <c r="B22" s="333"/>
      <c r="C22" s="334"/>
      <c r="D22" s="335"/>
      <c r="E22" s="141" t="s">
        <v>40</v>
      </c>
      <c r="F22" s="41">
        <f>VLOOKUP(E22,[0]!prijslijst,2,FALSE)</f>
        <v>0</v>
      </c>
      <c r="G22" s="4">
        <v>0</v>
      </c>
      <c r="H22" s="4">
        <v>0</v>
      </c>
      <c r="I22" s="4">
        <v>0</v>
      </c>
      <c r="J22" s="30">
        <f t="shared" si="4"/>
        <v>0</v>
      </c>
      <c r="K22" s="42">
        <f t="shared" si="1"/>
        <v>0</v>
      </c>
      <c r="L22" s="130" t="str">
        <f t="shared" si="3"/>
        <v/>
      </c>
      <c r="M22" s="130">
        <f>VLOOKUP(E22,'[1]blad 2'!$A$2:$D$156,4,TRUE)</f>
        <v>0</v>
      </c>
      <c r="N22" s="130"/>
      <c r="O22" s="130">
        <f t="shared" si="2"/>
        <v>0</v>
      </c>
      <c r="P22" s="162"/>
      <c r="R22" s="135"/>
      <c r="S22" s="135"/>
      <c r="T22" s="135"/>
      <c r="U22" s="135"/>
      <c r="V22" s="135"/>
      <c r="W22" s="135"/>
      <c r="X22" s="136"/>
      <c r="Y22" s="136"/>
      <c r="Z22" s="136"/>
    </row>
    <row r="23" spans="2:26">
      <c r="B23" s="333"/>
      <c r="C23" s="334"/>
      <c r="D23" s="335"/>
      <c r="E23" s="141" t="s">
        <v>40</v>
      </c>
      <c r="F23" s="41">
        <f>VLOOKUP(E23,[0]!prijslijst,2,FALSE)</f>
        <v>0</v>
      </c>
      <c r="G23" s="4">
        <v>0</v>
      </c>
      <c r="H23" s="4">
        <v>0</v>
      </c>
      <c r="I23" s="4">
        <v>0</v>
      </c>
      <c r="J23" s="30">
        <f t="shared" si="4"/>
        <v>0</v>
      </c>
      <c r="K23" s="42">
        <f t="shared" si="1"/>
        <v>0</v>
      </c>
      <c r="L23" s="130" t="str">
        <f t="shared" si="3"/>
        <v/>
      </c>
      <c r="M23" s="130">
        <f>VLOOKUP(E23,'[1]blad 2'!$A$2:$D$156,4,TRUE)</f>
        <v>0</v>
      </c>
      <c r="N23" s="130"/>
      <c r="O23" s="130">
        <f t="shared" si="2"/>
        <v>0</v>
      </c>
      <c r="P23" s="162"/>
      <c r="R23" s="135"/>
      <c r="S23" s="135"/>
      <c r="T23" s="135"/>
      <c r="U23" s="135"/>
      <c r="V23" s="135"/>
      <c r="W23" s="135"/>
      <c r="X23" s="136"/>
      <c r="Y23" s="136"/>
      <c r="Z23" s="136"/>
    </row>
    <row r="24" spans="2:26">
      <c r="B24" s="333"/>
      <c r="C24" s="334"/>
      <c r="D24" s="335"/>
      <c r="E24" s="141" t="s">
        <v>40</v>
      </c>
      <c r="F24" s="41">
        <f>VLOOKUP(E24,[0]!prijslijst,2,FALSE)</f>
        <v>0</v>
      </c>
      <c r="G24" s="4">
        <v>0</v>
      </c>
      <c r="H24" s="4">
        <v>0</v>
      </c>
      <c r="I24" s="4">
        <v>0</v>
      </c>
      <c r="J24" s="30">
        <f t="shared" si="4"/>
        <v>0</v>
      </c>
      <c r="K24" s="42">
        <f t="shared" si="1"/>
        <v>0</v>
      </c>
      <c r="L24" s="130" t="str">
        <f t="shared" si="3"/>
        <v/>
      </c>
      <c r="M24" s="130">
        <f>VLOOKUP(E24,'[1]blad 2'!$A$2:$D$156,4,TRUE)</f>
        <v>0</v>
      </c>
      <c r="N24" s="130"/>
      <c r="O24" s="130">
        <f t="shared" si="2"/>
        <v>0</v>
      </c>
      <c r="P24" s="162"/>
      <c r="R24" s="135"/>
      <c r="S24" s="135"/>
      <c r="T24" s="135"/>
      <c r="U24" s="135"/>
      <c r="V24" s="135"/>
      <c r="W24" s="135"/>
      <c r="X24" s="136"/>
      <c r="Y24" s="136"/>
      <c r="Z24" s="136"/>
    </row>
    <row r="25" spans="2:26">
      <c r="B25" s="333"/>
      <c r="C25" s="334"/>
      <c r="D25" s="335"/>
      <c r="E25" s="141" t="s">
        <v>40</v>
      </c>
      <c r="F25" s="41">
        <f>VLOOKUP(E25,[0]!prijslijst,2,FALSE)</f>
        <v>0</v>
      </c>
      <c r="G25" s="4">
        <v>0</v>
      </c>
      <c r="H25" s="4">
        <v>0</v>
      </c>
      <c r="I25" s="4">
        <v>0</v>
      </c>
      <c r="J25" s="30">
        <f t="shared" si="4"/>
        <v>0</v>
      </c>
      <c r="K25" s="42">
        <f t="shared" si="1"/>
        <v>0</v>
      </c>
      <c r="L25" s="130" t="str">
        <f t="shared" si="3"/>
        <v/>
      </c>
      <c r="M25" s="130">
        <f>VLOOKUP(E25,'[1]blad 2'!$A$2:$D$156,4,TRUE)</f>
        <v>0</v>
      </c>
      <c r="N25" s="130"/>
      <c r="O25" s="130">
        <f t="shared" si="2"/>
        <v>0</v>
      </c>
      <c r="P25" s="162"/>
      <c r="R25" s="135"/>
      <c r="S25" s="135"/>
      <c r="T25" s="135"/>
      <c r="U25" s="135"/>
      <c r="V25" s="135"/>
      <c r="W25" s="135"/>
      <c r="X25" s="136"/>
      <c r="Y25" s="136"/>
      <c r="Z25" s="136"/>
    </row>
    <row r="26" spans="2:26">
      <c r="B26" s="333"/>
      <c r="C26" s="334"/>
      <c r="D26" s="335"/>
      <c r="E26" s="141" t="s">
        <v>40</v>
      </c>
      <c r="F26" s="41">
        <f>VLOOKUP(E26,[0]!prijslijst,2,FALSE)</f>
        <v>0</v>
      </c>
      <c r="G26" s="4">
        <v>0</v>
      </c>
      <c r="H26" s="4">
        <v>0</v>
      </c>
      <c r="I26" s="4">
        <v>0</v>
      </c>
      <c r="J26" s="30">
        <v>0</v>
      </c>
      <c r="K26" s="42">
        <f t="shared" si="1"/>
        <v>0</v>
      </c>
      <c r="L26" s="130" t="str">
        <f t="shared" si="3"/>
        <v/>
      </c>
      <c r="M26" s="130">
        <f>VLOOKUP(E26,'[1]blad 2'!$A$2:$D$156,4,TRUE)</f>
        <v>0</v>
      </c>
      <c r="N26" s="130"/>
      <c r="O26" s="130">
        <f t="shared" si="2"/>
        <v>0</v>
      </c>
      <c r="P26" s="162"/>
      <c r="R26" s="135"/>
      <c r="S26" s="135"/>
      <c r="T26" s="135"/>
      <c r="U26" s="135"/>
      <c r="V26" s="135"/>
      <c r="W26" s="135"/>
      <c r="X26" s="136"/>
      <c r="Y26" s="136"/>
      <c r="Z26" s="136"/>
    </row>
    <row r="27" spans="2:26">
      <c r="B27" s="333"/>
      <c r="C27" s="334"/>
      <c r="D27" s="335"/>
      <c r="E27" s="141" t="s">
        <v>40</v>
      </c>
      <c r="F27" s="41">
        <f>VLOOKUP(E27,[0]!prijslijst,2,FALSE)</f>
        <v>0</v>
      </c>
      <c r="G27" s="4">
        <v>0</v>
      </c>
      <c r="H27" s="4">
        <v>0</v>
      </c>
      <c r="I27" s="4">
        <v>0</v>
      </c>
      <c r="J27" s="30">
        <f>(H27*I27)/1000000</f>
        <v>0</v>
      </c>
      <c r="K27" s="42">
        <f t="shared" si="1"/>
        <v>0</v>
      </c>
      <c r="L27" s="130" t="str">
        <f t="shared" si="3"/>
        <v/>
      </c>
      <c r="M27" s="130">
        <f>VLOOKUP(E27,'[1]blad 2'!$A$2:$D$156,4,TRUE)</f>
        <v>0</v>
      </c>
      <c r="N27" s="130"/>
      <c r="O27" s="130">
        <f t="shared" si="2"/>
        <v>0</v>
      </c>
      <c r="P27" s="162"/>
      <c r="R27" s="135"/>
      <c r="S27" s="135"/>
      <c r="T27" s="135"/>
      <c r="U27" s="135"/>
      <c r="V27" s="135"/>
      <c r="W27" s="135"/>
      <c r="X27" s="136"/>
      <c r="Y27" s="136"/>
      <c r="Z27" s="136"/>
    </row>
    <row r="28" spans="2:26">
      <c r="B28" s="333"/>
      <c r="C28" s="334"/>
      <c r="D28" s="335"/>
      <c r="E28" s="141" t="s">
        <v>40</v>
      </c>
      <c r="F28" s="41">
        <f>VLOOKUP(E28,[0]!prijslijst,2,FALSE)</f>
        <v>0</v>
      </c>
      <c r="G28" s="4">
        <v>0</v>
      </c>
      <c r="H28" s="4">
        <v>0</v>
      </c>
      <c r="I28" s="4">
        <v>0</v>
      </c>
      <c r="J28" s="30">
        <f>(H28*I28)/1000000</f>
        <v>0</v>
      </c>
      <c r="K28" s="42">
        <f t="shared" si="1"/>
        <v>0</v>
      </c>
      <c r="L28" s="130" t="str">
        <f t="shared" si="3"/>
        <v/>
      </c>
      <c r="M28" s="130">
        <f>VLOOKUP(E28,'[1]blad 2'!$A$2:$D$156,4,TRUE)</f>
        <v>0</v>
      </c>
      <c r="N28" s="130"/>
      <c r="O28" s="130">
        <f t="shared" si="2"/>
        <v>0</v>
      </c>
      <c r="P28" s="162"/>
      <c r="R28" s="135"/>
      <c r="S28" s="135"/>
      <c r="T28" s="135"/>
      <c r="U28" s="135"/>
      <c r="V28" s="135"/>
      <c r="W28" s="135"/>
      <c r="X28" s="136"/>
      <c r="Y28" s="136"/>
      <c r="Z28" s="136"/>
    </row>
    <row r="29" spans="2:26">
      <c r="B29" s="333"/>
      <c r="C29" s="334"/>
      <c r="D29" s="335"/>
      <c r="E29" s="141" t="s">
        <v>40</v>
      </c>
      <c r="F29" s="41">
        <f>VLOOKUP(E29,[0]!prijslijst,2,FALSE)</f>
        <v>0</v>
      </c>
      <c r="G29" s="4">
        <v>0</v>
      </c>
      <c r="H29" s="4">
        <v>0</v>
      </c>
      <c r="I29" s="4">
        <v>0</v>
      </c>
      <c r="J29" s="30">
        <f>(H29*I29)/1000000</f>
        <v>0</v>
      </c>
      <c r="K29" s="42">
        <f t="shared" si="1"/>
        <v>0</v>
      </c>
      <c r="L29" s="130" t="str">
        <f t="shared" si="3"/>
        <v/>
      </c>
      <c r="M29" s="130">
        <f>VLOOKUP(E29,'[1]blad 2'!$A$2:$D$156,4,TRUE)</f>
        <v>0</v>
      </c>
      <c r="N29" s="130"/>
      <c r="O29" s="130">
        <f t="shared" si="2"/>
        <v>0</v>
      </c>
      <c r="P29" s="162"/>
      <c r="S29" s="135"/>
      <c r="T29" s="136"/>
      <c r="U29" s="136"/>
      <c r="V29" s="136"/>
      <c r="W29" s="136"/>
      <c r="X29" s="136"/>
      <c r="Y29" s="136"/>
      <c r="Z29" s="136"/>
    </row>
    <row r="30" spans="2:26" ht="13.5" thickBot="1">
      <c r="B30" s="336"/>
      <c r="C30" s="337"/>
      <c r="D30" s="338"/>
      <c r="E30" s="141" t="s">
        <v>40</v>
      </c>
      <c r="F30" s="41">
        <f>VLOOKUP(E30,[0]!prijslijst,2,FALSE)</f>
        <v>0</v>
      </c>
      <c r="G30" s="4">
        <v>0</v>
      </c>
      <c r="H30" s="4">
        <v>0</v>
      </c>
      <c r="I30" s="4">
        <v>0</v>
      </c>
      <c r="J30" s="30">
        <f>(H30*I30)/1000000</f>
        <v>0</v>
      </c>
      <c r="K30" s="42">
        <f t="shared" si="1"/>
        <v>0</v>
      </c>
      <c r="L30" s="130" t="str">
        <f t="shared" si="3"/>
        <v/>
      </c>
      <c r="M30" s="130">
        <f>VLOOKUP(E30,'[1]blad 2'!$A$2:$D$156,4,TRUE)</f>
        <v>0</v>
      </c>
      <c r="N30" s="130"/>
      <c r="O30" s="130">
        <f t="shared" si="2"/>
        <v>0</v>
      </c>
      <c r="P30" s="162"/>
      <c r="S30" s="135"/>
    </row>
    <row r="31" spans="2:26" ht="17.25" customHeight="1" thickBot="1">
      <c r="B31" s="327" t="s">
        <v>100</v>
      </c>
      <c r="C31" s="327"/>
      <c r="D31" s="327"/>
      <c r="E31" s="327"/>
      <c r="F31" s="327"/>
      <c r="G31" s="328"/>
      <c r="H31" s="324" t="s">
        <v>228</v>
      </c>
      <c r="I31" s="325"/>
      <c r="J31" s="326"/>
      <c r="K31" s="43">
        <f>SUM(K12,K13,K14,K15,K16,K17,K18,K19,K20,K21,K22,K23,K24,K25,K26,K27,K28,K29,K30)</f>
        <v>0</v>
      </c>
      <c r="L31" s="130"/>
      <c r="M31" s="130"/>
      <c r="N31" s="130"/>
      <c r="O31" s="130">
        <f>SUM(O12:O30)</f>
        <v>0</v>
      </c>
      <c r="P31" s="162"/>
    </row>
    <row r="32" spans="2:26" ht="15.75">
      <c r="B32" s="47" t="s">
        <v>50</v>
      </c>
      <c r="C32" s="48"/>
      <c r="D32" s="48"/>
      <c r="E32" s="48"/>
      <c r="F32" s="48"/>
      <c r="G32" s="49"/>
      <c r="H32" s="316" t="s">
        <v>29</v>
      </c>
      <c r="I32" s="317"/>
      <c r="J32" s="318"/>
      <c r="K32" s="322">
        <f>J31+K31</f>
        <v>0</v>
      </c>
      <c r="L32" s="130"/>
      <c r="M32" s="130"/>
      <c r="N32" s="130"/>
      <c r="O32" s="130"/>
      <c r="P32" s="162"/>
    </row>
    <row r="33" spans="2:17" ht="12.75" customHeight="1" thickBot="1">
      <c r="B33" s="87" t="s">
        <v>44</v>
      </c>
      <c r="C33" s="88"/>
      <c r="D33" s="88"/>
      <c r="E33" s="88"/>
      <c r="F33" s="88"/>
      <c r="G33" s="89"/>
      <c r="H33" s="319"/>
      <c r="I33" s="320"/>
      <c r="J33" s="321"/>
      <c r="K33" s="323"/>
      <c r="L33" s="130"/>
      <c r="M33" s="130"/>
      <c r="N33" s="130"/>
      <c r="O33" s="130"/>
      <c r="P33" s="162"/>
    </row>
    <row r="34" spans="2:17" ht="15" customHeight="1" thickBot="1">
      <c r="B34" s="209" t="s">
        <v>274</v>
      </c>
      <c r="C34" s="90"/>
      <c r="D34" s="90"/>
      <c r="E34" s="91"/>
      <c r="F34" s="91"/>
      <c r="G34" s="217"/>
      <c r="H34" s="313"/>
      <c r="I34" s="314"/>
      <c r="J34" s="315"/>
      <c r="K34" s="215"/>
      <c r="L34" s="130"/>
      <c r="M34" s="130"/>
      <c r="N34" s="130"/>
      <c r="O34" s="130"/>
      <c r="P34" s="206"/>
    </row>
    <row r="35" spans="2:17" ht="16.5" thickBot="1">
      <c r="B35" s="346" t="s">
        <v>129</v>
      </c>
      <c r="C35" s="346"/>
      <c r="D35" s="347"/>
      <c r="E35" s="216" t="s">
        <v>125</v>
      </c>
      <c r="F35" s="216" t="s">
        <v>111</v>
      </c>
      <c r="G35" s="3"/>
      <c r="H35" s="251" t="s">
        <v>51</v>
      </c>
      <c r="I35" s="252"/>
      <c r="J35" s="253"/>
      <c r="K35" s="122">
        <f>K32*0.015</f>
        <v>0</v>
      </c>
      <c r="L35" s="130"/>
      <c r="M35" s="130"/>
      <c r="N35" s="130"/>
      <c r="O35" s="130"/>
      <c r="P35" s="206"/>
    </row>
    <row r="36" spans="2:17" ht="15" customHeight="1">
      <c r="B36" s="240" t="s">
        <v>124</v>
      </c>
      <c r="C36" s="241"/>
      <c r="D36" s="242"/>
      <c r="E36" s="78">
        <v>3.6</v>
      </c>
      <c r="F36" s="80">
        <f>blad3!G25</f>
        <v>0</v>
      </c>
      <c r="G36" s="79" t="s">
        <v>126</v>
      </c>
      <c r="H36" s="257" t="str">
        <f>IF($K$32=0," ",IF($F$39='blad 1'!$A$2,"Beglazingskit Bloem Easyseal Prof. 310 ml wit"," "))</f>
        <v xml:space="preserve"> </v>
      </c>
      <c r="I36" s="258"/>
      <c r="J36" s="259"/>
      <c r="K36" s="121" t="str">
        <f>IF($K$32=0,"",IF($F$39='blad 1'!$A$2,F36*E36,""))</f>
        <v/>
      </c>
      <c r="L36" s="130"/>
      <c r="M36" s="130"/>
      <c r="N36" s="130"/>
      <c r="O36" s="130"/>
      <c r="P36" s="207"/>
      <c r="Q36" s="167"/>
    </row>
    <row r="37" spans="2:17" ht="12.75" customHeight="1">
      <c r="B37" s="240" t="s">
        <v>161</v>
      </c>
      <c r="C37" s="241"/>
      <c r="D37" s="242"/>
      <c r="E37" s="78">
        <v>3</v>
      </c>
      <c r="F37" s="80">
        <f>(blad3!G26)/20</f>
        <v>0</v>
      </c>
      <c r="G37" s="79" t="s">
        <v>126</v>
      </c>
      <c r="H37" s="261" t="str">
        <f>IF($K$32=0," ",IF($F$39='blad 1'!$A$2,"Beglazingsband 3 mm rol 20 m1"," "))</f>
        <v xml:space="preserve"> </v>
      </c>
      <c r="I37" s="262"/>
      <c r="J37" s="263"/>
      <c r="K37" s="119" t="str">
        <f>IF($K$32=0,"",IF($F$39='blad 1'!$A$2,F37*E37,""))</f>
        <v/>
      </c>
      <c r="L37" s="130"/>
      <c r="M37" s="130"/>
      <c r="N37" s="130"/>
      <c r="O37" s="130"/>
      <c r="P37" s="207"/>
      <c r="Q37" s="167"/>
    </row>
    <row r="38" spans="2:17" ht="12.75" customHeight="1">
      <c r="B38" s="240" t="s">
        <v>90</v>
      </c>
      <c r="C38" s="241"/>
      <c r="D38" s="242"/>
      <c r="E38" s="78">
        <v>1</v>
      </c>
      <c r="F38" s="80">
        <f>blad3!C23</f>
        <v>0</v>
      </c>
      <c r="G38" s="79" t="s">
        <v>126</v>
      </c>
      <c r="H38" s="261" t="str">
        <f>IF($K$32=0," ",IF($F$39='blad 1'!$A$2,"Setje(s) beglazingsblokjes"," "))</f>
        <v xml:space="preserve"> </v>
      </c>
      <c r="I38" s="262"/>
      <c r="J38" s="263"/>
      <c r="K38" s="119" t="str">
        <f>IF($K$32=0,"",IF($F$39='blad 1'!$A$2,F38*E38,""))</f>
        <v/>
      </c>
      <c r="L38" s="130"/>
      <c r="M38" s="130"/>
      <c r="N38" s="130"/>
      <c r="O38" s="130"/>
      <c r="P38" s="165"/>
      <c r="Q38" s="166"/>
    </row>
    <row r="39" spans="2:17" ht="12.75" customHeight="1">
      <c r="B39" s="272" t="s">
        <v>92</v>
      </c>
      <c r="C39" s="273"/>
      <c r="D39" s="274"/>
      <c r="E39" s="210">
        <v>6.75</v>
      </c>
      <c r="F39" s="211" t="s">
        <v>7</v>
      </c>
      <c r="G39" s="79" t="s">
        <v>126</v>
      </c>
      <c r="H39" s="269" t="str">
        <f>IF($K$32=1," ",IF($F$39='blad 1'!$A$2,"Bezorgkosten beglazingsmateriaal"," "))</f>
        <v>Bezorgkosten beglazingsmateriaal</v>
      </c>
      <c r="I39" s="270"/>
      <c r="J39" s="271"/>
      <c r="K39" s="208" t="str">
        <f>IF($K$32=0,"",IF($F$39='blad 1'!$A$2,E39,""))</f>
        <v/>
      </c>
      <c r="L39" s="130"/>
      <c r="M39" s="130"/>
      <c r="N39" s="130"/>
      <c r="O39" s="130"/>
      <c r="P39" s="165"/>
      <c r="Q39" s="166"/>
    </row>
    <row r="40" spans="2:17" ht="13.5" thickBot="1">
      <c r="B40" s="212"/>
      <c r="C40" s="213"/>
      <c r="D40" s="213"/>
      <c r="E40" s="213"/>
      <c r="F40" s="213"/>
      <c r="G40" s="214"/>
      <c r="H40" s="264" t="s">
        <v>226</v>
      </c>
      <c r="I40" s="265"/>
      <c r="J40" s="266"/>
      <c r="K40" s="120" t="str">
        <f>IF(K32=0,"",IF(SUM(K32:K38)&gt;=400,"gratis",IF(C57='blad 2'!T13,18.95,"")))</f>
        <v/>
      </c>
      <c r="L40" s="130"/>
      <c r="M40" s="130"/>
      <c r="N40" s="130"/>
      <c r="O40" s="130"/>
      <c r="P40" s="165"/>
      <c r="Q40" s="166"/>
    </row>
    <row r="41" spans="2:17" ht="17.25" customHeight="1">
      <c r="B41" s="284" t="s">
        <v>224</v>
      </c>
      <c r="C41" s="285"/>
      <c r="D41" s="285"/>
      <c r="E41" s="285"/>
      <c r="F41" s="285"/>
      <c r="G41" s="286"/>
      <c r="H41" s="348" t="s">
        <v>55</v>
      </c>
      <c r="I41" s="349"/>
      <c r="J41" s="350"/>
      <c r="K41" s="123">
        <f>SUM(K32:K40)</f>
        <v>0</v>
      </c>
      <c r="L41" s="130"/>
      <c r="M41" s="130"/>
      <c r="N41" s="130"/>
      <c r="O41" s="130"/>
      <c r="P41" s="165"/>
      <c r="Q41" s="166"/>
    </row>
    <row r="42" spans="2:17" ht="27" customHeight="1">
      <c r="B42" s="287"/>
      <c r="C42" s="288"/>
      <c r="D42" s="288"/>
      <c r="E42" s="288"/>
      <c r="F42" s="288"/>
      <c r="G42" s="289"/>
      <c r="H42" s="290" t="str">
        <f>'blad 2'!X10</f>
        <v>Korting</v>
      </c>
      <c r="I42" s="291"/>
      <c r="J42" s="291"/>
      <c r="K42" s="124">
        <f>IF('blad 2'!V10=0,0,K31*'blad 2'!W10)</f>
        <v>0</v>
      </c>
      <c r="L42" s="130"/>
      <c r="M42" s="130"/>
      <c r="N42" s="130"/>
      <c r="O42" s="130"/>
      <c r="P42" s="165"/>
      <c r="Q42" s="166"/>
    </row>
    <row r="43" spans="2:17" ht="14.25" customHeight="1" thickBot="1">
      <c r="B43" s="246" t="s">
        <v>192</v>
      </c>
      <c r="C43" s="247"/>
      <c r="D43" s="247"/>
      <c r="E43" s="247"/>
      <c r="F43" s="247"/>
      <c r="G43" s="248"/>
      <c r="H43" s="254"/>
      <c r="I43" s="255"/>
      <c r="J43" s="256"/>
      <c r="K43" s="111"/>
      <c r="L43" s="130"/>
      <c r="M43" s="130"/>
      <c r="N43" s="130"/>
      <c r="O43" s="130"/>
      <c r="P43" s="165"/>
      <c r="Q43" s="166"/>
    </row>
    <row r="44" spans="2:17" ht="18" customHeight="1" thickBot="1">
      <c r="B44" s="249"/>
      <c r="C44" s="247"/>
      <c r="D44" s="247"/>
      <c r="E44" s="247"/>
      <c r="F44" s="247"/>
      <c r="G44" s="250"/>
      <c r="H44" s="278" t="s">
        <v>55</v>
      </c>
      <c r="I44" s="279"/>
      <c r="J44" s="280"/>
      <c r="K44" s="82">
        <f>K41-K42</f>
        <v>0</v>
      </c>
      <c r="L44" s="130"/>
      <c r="M44" s="130"/>
      <c r="N44" s="130"/>
      <c r="O44" s="130"/>
      <c r="P44" s="165"/>
      <c r="Q44" s="166"/>
    </row>
    <row r="45" spans="2:17" ht="18" customHeight="1" thickBot="1">
      <c r="B45" s="249"/>
      <c r="C45" s="248"/>
      <c r="D45" s="248"/>
      <c r="E45" s="248"/>
      <c r="F45" s="248"/>
      <c r="G45" s="250"/>
      <c r="H45" s="281" t="s">
        <v>225</v>
      </c>
      <c r="I45" s="282"/>
      <c r="J45" s="283"/>
      <c r="K45" s="81">
        <f>K44*0.21</f>
        <v>0</v>
      </c>
      <c r="L45" s="130"/>
      <c r="M45" s="130"/>
      <c r="N45" s="130"/>
      <c r="O45" s="130"/>
      <c r="P45" s="165"/>
      <c r="Q45" s="166"/>
    </row>
    <row r="46" spans="2:17" ht="18.75" customHeight="1" thickBot="1">
      <c r="B46" s="260"/>
      <c r="C46" s="260"/>
      <c r="D46" s="260"/>
      <c r="E46" s="260"/>
      <c r="F46" s="260"/>
      <c r="G46" s="260"/>
      <c r="H46" s="278" t="s">
        <v>30</v>
      </c>
      <c r="I46" s="279"/>
      <c r="J46" s="280"/>
      <c r="K46" s="82">
        <f>SUM(K44:K45)</f>
        <v>0</v>
      </c>
      <c r="L46" s="130"/>
      <c r="M46" s="130"/>
      <c r="N46" s="130"/>
      <c r="O46" s="130"/>
      <c r="P46" s="165"/>
      <c r="Q46" s="166"/>
    </row>
    <row r="47" spans="2:17" ht="14.25" customHeight="1" thickBot="1">
      <c r="B47" s="267" t="s">
        <v>191</v>
      </c>
      <c r="C47" s="268"/>
      <c r="D47" s="268"/>
      <c r="E47" s="268"/>
      <c r="F47" s="268"/>
      <c r="G47" s="268"/>
      <c r="H47" s="77" t="s">
        <v>130</v>
      </c>
      <c r="I47" s="10"/>
      <c r="J47" s="10"/>
      <c r="K47" s="11"/>
      <c r="L47" s="130"/>
      <c r="M47" s="130"/>
      <c r="N47" s="130"/>
      <c r="O47" s="130"/>
      <c r="P47" s="165"/>
      <c r="Q47" s="166"/>
    </row>
    <row r="48" spans="2:17" ht="13.5" customHeight="1" thickBot="1">
      <c r="B48" s="44" t="s">
        <v>71</v>
      </c>
      <c r="C48" s="243"/>
      <c r="D48" s="244"/>
      <c r="E48" s="244"/>
      <c r="F48" s="245"/>
      <c r="G48" s="71" t="s">
        <v>104</v>
      </c>
      <c r="H48" s="351" t="s">
        <v>52</v>
      </c>
      <c r="I48" s="352"/>
      <c r="J48" s="3"/>
      <c r="K48" s="3"/>
      <c r="L48" s="130"/>
      <c r="M48" s="130"/>
      <c r="N48" s="130"/>
      <c r="O48" s="130"/>
      <c r="P48" s="165"/>
      <c r="Q48" s="166"/>
    </row>
    <row r="49" spans="2:17" ht="14.25" customHeight="1">
      <c r="B49" s="9" t="s">
        <v>72</v>
      </c>
      <c r="C49" s="243"/>
      <c r="D49" s="244"/>
      <c r="E49" s="244"/>
      <c r="F49" s="245"/>
      <c r="G49" s="72" t="s">
        <v>104</v>
      </c>
      <c r="H49" s="294"/>
      <c r="I49" s="295"/>
      <c r="J49" s="296"/>
      <c r="K49" s="297"/>
      <c r="L49" s="130"/>
      <c r="M49" s="130"/>
      <c r="N49" s="130"/>
      <c r="O49" s="130"/>
      <c r="P49" s="165"/>
      <c r="Q49" s="144"/>
    </row>
    <row r="50" spans="2:17" ht="12.75" customHeight="1">
      <c r="B50" s="9" t="s">
        <v>0</v>
      </c>
      <c r="C50" s="243"/>
      <c r="D50" s="244"/>
      <c r="E50" s="244"/>
      <c r="F50" s="245"/>
      <c r="G50" s="72" t="s">
        <v>104</v>
      </c>
      <c r="H50" s="294"/>
      <c r="I50" s="295"/>
      <c r="J50" s="295"/>
      <c r="K50" s="298"/>
      <c r="L50" s="130"/>
      <c r="M50" s="130"/>
      <c r="N50" s="130"/>
      <c r="O50" s="130"/>
      <c r="P50" s="143"/>
      <c r="Q50" s="144"/>
    </row>
    <row r="51" spans="2:17">
      <c r="B51" s="9" t="s">
        <v>1</v>
      </c>
      <c r="C51" s="243"/>
      <c r="D51" s="244"/>
      <c r="E51" s="244"/>
      <c r="F51" s="245"/>
      <c r="G51" s="72" t="s">
        <v>104</v>
      </c>
      <c r="H51" s="294"/>
      <c r="I51" s="295"/>
      <c r="J51" s="295"/>
      <c r="K51" s="298"/>
      <c r="L51" s="130"/>
      <c r="M51" s="130"/>
      <c r="N51" s="130"/>
      <c r="O51" s="130"/>
      <c r="P51" s="143"/>
      <c r="Q51" s="144"/>
    </row>
    <row r="52" spans="2:17">
      <c r="B52" s="9" t="s">
        <v>2</v>
      </c>
      <c r="C52" s="343"/>
      <c r="D52" s="344"/>
      <c r="E52" s="344"/>
      <c r="F52" s="344"/>
      <c r="G52" s="71" t="s">
        <v>104</v>
      </c>
      <c r="H52" s="294"/>
      <c r="I52" s="295"/>
      <c r="J52" s="295"/>
      <c r="K52" s="298"/>
      <c r="L52" s="130"/>
      <c r="M52" s="130"/>
      <c r="N52" s="130"/>
      <c r="O52" s="130"/>
      <c r="P52" s="143"/>
      <c r="Q52" s="144"/>
    </row>
    <row r="53" spans="2:17" ht="14.25" customHeight="1">
      <c r="B53" s="9" t="s">
        <v>3</v>
      </c>
      <c r="C53" s="292"/>
      <c r="D53" s="293"/>
      <c r="E53" s="293"/>
      <c r="F53" s="293"/>
      <c r="G53" s="73" t="s">
        <v>104</v>
      </c>
      <c r="H53" s="294"/>
      <c r="I53" s="295"/>
      <c r="J53" s="295"/>
      <c r="K53" s="298"/>
      <c r="L53" s="130"/>
      <c r="M53" s="130"/>
      <c r="N53" s="130"/>
      <c r="O53" s="130"/>
      <c r="P53" s="143"/>
      <c r="Q53" s="144"/>
    </row>
    <row r="54" spans="2:17">
      <c r="B54" s="9" t="s">
        <v>4</v>
      </c>
      <c r="C54" s="292"/>
      <c r="D54" s="293"/>
      <c r="E54" s="293"/>
      <c r="F54" s="293"/>
      <c r="G54" s="73"/>
      <c r="H54" s="294"/>
      <c r="I54" s="295"/>
      <c r="J54" s="295"/>
      <c r="K54" s="298"/>
      <c r="L54" s="130"/>
      <c r="M54" s="130"/>
      <c r="N54" s="130"/>
      <c r="O54" s="130"/>
      <c r="P54" s="143"/>
      <c r="Q54" s="144"/>
    </row>
    <row r="55" spans="2:17">
      <c r="B55" s="9" t="s">
        <v>5</v>
      </c>
      <c r="C55" s="307"/>
      <c r="D55" s="308"/>
      <c r="E55" s="308"/>
      <c r="F55" s="309"/>
      <c r="G55" s="72" t="s">
        <v>104</v>
      </c>
      <c r="H55" s="294"/>
      <c r="I55" s="295"/>
      <c r="J55" s="295"/>
      <c r="K55" s="298"/>
      <c r="L55" s="130"/>
      <c r="M55" s="130"/>
      <c r="N55" s="130"/>
      <c r="O55" s="130"/>
    </row>
    <row r="56" spans="2:17">
      <c r="B56" s="9" t="s">
        <v>31</v>
      </c>
      <c r="C56" s="6"/>
      <c r="D56" s="74" t="s">
        <v>101</v>
      </c>
      <c r="E56" s="75"/>
      <c r="F56" s="75"/>
      <c r="G56" s="46"/>
      <c r="H56" s="294"/>
      <c r="I56" s="295"/>
      <c r="J56" s="295"/>
      <c r="K56" s="298"/>
      <c r="L56" s="130"/>
      <c r="M56" s="130"/>
      <c r="N56" s="130"/>
      <c r="O56" s="130"/>
    </row>
    <row r="57" spans="2:17">
      <c r="B57" s="9" t="s">
        <v>138</v>
      </c>
      <c r="C57" s="218" t="s">
        <v>139</v>
      </c>
      <c r="D57" s="275" t="s">
        <v>152</v>
      </c>
      <c r="E57" s="276"/>
      <c r="F57" s="277"/>
      <c r="G57" s="92" t="s">
        <v>104</v>
      </c>
      <c r="H57" s="294"/>
      <c r="I57" s="295"/>
      <c r="J57" s="295"/>
      <c r="K57" s="298"/>
      <c r="L57" s="130"/>
      <c r="M57" s="130"/>
      <c r="N57" s="130"/>
      <c r="O57" s="130"/>
    </row>
    <row r="58" spans="2:17" ht="14.25" customHeight="1">
      <c r="B58" s="305" t="str">
        <f>IF(C57='blad 2'!T13,"U heeft gekozen voor bezorgen. Indien het afleveradres afwijkt van het factuuradres, kunt u hieronder het juiste afleveradres invullen.",IF(C57='blad 2'!T14,"U heeft gekozen voor afhalen. Kies een locatie. U ontvangt van Glasdiscount het afhaaladres en afhaaldatum", ""))</f>
        <v>U heeft gekozen voor bezorgen. Indien het afleveradres afwijkt van het factuuradres, kunt u hieronder het juiste afleveradres invullen.</v>
      </c>
      <c r="C58" s="306"/>
      <c r="D58" s="306"/>
      <c r="E58" s="306"/>
      <c r="F58" s="306"/>
      <c r="G58" s="92"/>
      <c r="H58" s="294"/>
      <c r="I58" s="295"/>
      <c r="J58" s="295"/>
      <c r="K58" s="298"/>
      <c r="L58" s="130"/>
      <c r="M58" s="130"/>
      <c r="N58" s="130"/>
      <c r="O58" s="130"/>
    </row>
    <row r="59" spans="2:17" ht="14.25" customHeight="1">
      <c r="B59" s="70" t="s">
        <v>132</v>
      </c>
      <c r="C59" s="302" t="s">
        <v>6</v>
      </c>
      <c r="D59" s="303"/>
      <c r="E59" s="303"/>
      <c r="F59" s="303"/>
      <c r="G59" s="97" t="s">
        <v>104</v>
      </c>
      <c r="H59" s="294"/>
      <c r="I59" s="295"/>
      <c r="J59" s="295"/>
      <c r="K59" s="298"/>
      <c r="L59" s="130"/>
      <c r="M59" s="130"/>
      <c r="N59" s="130"/>
      <c r="O59" s="130"/>
    </row>
    <row r="60" spans="2:17" ht="17.25" customHeight="1">
      <c r="B60" s="98" t="s">
        <v>71</v>
      </c>
      <c r="C60" s="302"/>
      <c r="D60" s="303"/>
      <c r="E60" s="303"/>
      <c r="F60" s="304"/>
      <c r="G60" s="97" t="str">
        <f>IF($C$59='blad 1'!$A$2,"*", " ")</f>
        <v xml:space="preserve"> </v>
      </c>
      <c r="H60" s="294"/>
      <c r="I60" s="295"/>
      <c r="J60" s="295"/>
      <c r="K60" s="298"/>
      <c r="L60" s="130"/>
      <c r="M60" s="130"/>
      <c r="N60" s="130"/>
      <c r="O60" s="130"/>
    </row>
    <row r="61" spans="2:17">
      <c r="B61" s="9" t="s">
        <v>82</v>
      </c>
      <c r="C61" s="245"/>
      <c r="D61" s="345"/>
      <c r="E61" s="345"/>
      <c r="F61" s="345"/>
      <c r="G61" s="97" t="str">
        <f>IF($C$59='blad 1'!$A$2,"*", " ")</f>
        <v xml:space="preserve"> </v>
      </c>
      <c r="H61" s="294"/>
      <c r="I61" s="295"/>
      <c r="J61" s="295"/>
      <c r="K61" s="298"/>
      <c r="L61" s="130"/>
      <c r="M61" s="130"/>
      <c r="N61" s="130"/>
      <c r="O61" s="130"/>
    </row>
    <row r="62" spans="2:17">
      <c r="B62" s="9" t="s">
        <v>0</v>
      </c>
      <c r="C62" s="245"/>
      <c r="D62" s="345"/>
      <c r="E62" s="345"/>
      <c r="F62" s="345"/>
      <c r="G62" s="97" t="str">
        <f>IF($C$59='blad 1'!$A$2,"*", " ")</f>
        <v xml:space="preserve"> </v>
      </c>
      <c r="H62" s="294"/>
      <c r="I62" s="295"/>
      <c r="J62" s="295"/>
      <c r="K62" s="298"/>
      <c r="L62" s="130"/>
      <c r="M62" s="130"/>
      <c r="N62" s="130"/>
      <c r="O62" s="130"/>
    </row>
    <row r="63" spans="2:17">
      <c r="B63" s="9" t="s">
        <v>84</v>
      </c>
      <c r="C63" s="245"/>
      <c r="D63" s="345"/>
      <c r="E63" s="345"/>
      <c r="F63" s="345"/>
      <c r="G63" s="97" t="str">
        <f>IF($C$59='blad 1'!$A$2,"*", " ")</f>
        <v xml:space="preserve"> </v>
      </c>
      <c r="H63" s="294"/>
      <c r="I63" s="295"/>
      <c r="J63" s="295"/>
      <c r="K63" s="298"/>
      <c r="L63" s="130"/>
      <c r="M63" s="130"/>
      <c r="N63" s="130"/>
      <c r="O63" s="130"/>
    </row>
    <row r="64" spans="2:17" ht="14.25" customHeight="1">
      <c r="B64" s="9" t="s">
        <v>43</v>
      </c>
      <c r="C64" s="343" t="s">
        <v>6</v>
      </c>
      <c r="D64" s="344"/>
      <c r="E64" s="344"/>
      <c r="F64" s="344"/>
      <c r="G64" s="97" t="str">
        <f>IF($C$59='blad 1'!$A$2,"*", " ")</f>
        <v xml:space="preserve"> </v>
      </c>
      <c r="H64" s="294"/>
      <c r="I64" s="295"/>
      <c r="J64" s="295"/>
      <c r="K64" s="298"/>
      <c r="L64" s="130"/>
      <c r="M64" s="130"/>
      <c r="N64" s="130"/>
      <c r="O64" s="130"/>
    </row>
    <row r="65" spans="2:164" ht="13.5" thickBot="1">
      <c r="B65" s="45" t="s">
        <v>102</v>
      </c>
      <c r="C65" s="292"/>
      <c r="D65" s="293"/>
      <c r="E65" s="293"/>
      <c r="F65" s="293"/>
      <c r="G65" s="97" t="str">
        <f>IF($C$59='blad 1'!$A$2,"*", " ")</f>
        <v xml:space="preserve"> </v>
      </c>
      <c r="H65" s="299"/>
      <c r="I65" s="300"/>
      <c r="J65" s="300"/>
      <c r="K65" s="301"/>
      <c r="L65" s="130"/>
      <c r="M65" s="130"/>
      <c r="N65" s="130"/>
      <c r="O65" s="130"/>
    </row>
    <row r="66" spans="2:164">
      <c r="B66" s="12"/>
      <c r="C66" s="13"/>
      <c r="D66" s="13"/>
      <c r="E66" s="13"/>
      <c r="F66" s="13"/>
      <c r="G66" s="13"/>
      <c r="H66" s="76"/>
      <c r="I66" s="76"/>
      <c r="J66" s="76"/>
      <c r="K66" s="76"/>
      <c r="L66" s="130"/>
      <c r="M66" s="130"/>
      <c r="N66" s="130"/>
      <c r="O66" s="130"/>
    </row>
    <row r="67" spans="2:164" s="2" customFormat="1">
      <c r="B67" s="12"/>
      <c r="C67" s="13"/>
      <c r="D67" s="13"/>
      <c r="E67" s="117" t="s">
        <v>133</v>
      </c>
      <c r="F67" s="117"/>
      <c r="G67" s="117"/>
      <c r="H67" s="76"/>
      <c r="I67" s="76"/>
      <c r="J67" s="76"/>
      <c r="K67" s="76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29"/>
      <c r="AU67" s="129"/>
      <c r="AV67" s="129"/>
      <c r="AW67" s="129"/>
      <c r="AX67" s="129"/>
      <c r="AY67" s="129"/>
      <c r="AZ67" s="129"/>
      <c r="BA67" s="129"/>
      <c r="BB67" s="129"/>
      <c r="BC67" s="129"/>
      <c r="BD67" s="129"/>
      <c r="BE67" s="129"/>
      <c r="BF67" s="129"/>
      <c r="BG67" s="129"/>
      <c r="BH67" s="129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</row>
    <row r="68" spans="2:164" s="2" customFormat="1">
      <c r="B68" s="12"/>
      <c r="C68" s="13"/>
      <c r="D68" s="13"/>
      <c r="E68" s="116" t="s">
        <v>134</v>
      </c>
      <c r="F68" s="116"/>
      <c r="G68" s="116"/>
      <c r="H68" s="76"/>
      <c r="I68" s="76"/>
      <c r="J68" s="76"/>
      <c r="K68" s="76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29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29"/>
      <c r="BG68" s="129"/>
      <c r="BH68" s="129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</row>
    <row r="69" spans="2:164" s="2" customFormat="1">
      <c r="B69" s="12"/>
      <c r="C69" s="13"/>
      <c r="D69" s="13"/>
      <c r="E69" s="115" t="s">
        <v>135</v>
      </c>
      <c r="F69" s="84"/>
      <c r="G69" s="84"/>
      <c r="H69" s="117"/>
      <c r="I69" s="117"/>
      <c r="J69" s="117"/>
      <c r="K69" s="117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29"/>
      <c r="AU69" s="129"/>
      <c r="AV69" s="129"/>
      <c r="AW69" s="129"/>
      <c r="AX69" s="129"/>
      <c r="AY69" s="129"/>
      <c r="AZ69" s="129"/>
      <c r="BA69" s="129"/>
      <c r="BB69" s="129"/>
      <c r="BC69" s="129"/>
      <c r="BD69" s="129"/>
      <c r="BE69" s="129"/>
      <c r="BF69" s="129"/>
      <c r="BG69" s="129"/>
      <c r="BH69" s="129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</row>
    <row r="70" spans="2:164" s="2" customFormat="1" ht="18">
      <c r="B70" s="12"/>
      <c r="C70" s="13"/>
      <c r="D70" s="13"/>
      <c r="E70" s="84" t="s">
        <v>136</v>
      </c>
      <c r="F70" s="84"/>
      <c r="G70" s="84"/>
      <c r="H70" s="116"/>
      <c r="I70" s="116"/>
      <c r="J70" s="116"/>
      <c r="K70" s="116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29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/>
      <c r="BH70" s="129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</row>
    <row r="71" spans="2:164" s="2" customFormat="1">
      <c r="B71" s="12"/>
      <c r="C71" s="13"/>
      <c r="D71" s="13"/>
      <c r="E71" s="13"/>
      <c r="F71" s="13"/>
      <c r="G71" s="13"/>
      <c r="H71" s="84"/>
      <c r="I71" s="84"/>
      <c r="J71" s="84"/>
      <c r="K71" s="84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29"/>
      <c r="AU71" s="129"/>
      <c r="AV71" s="129"/>
      <c r="AW71" s="129"/>
      <c r="AX71" s="129"/>
      <c r="AY71" s="129"/>
      <c r="AZ71" s="129"/>
      <c r="BA71" s="129"/>
      <c r="BB71" s="129"/>
      <c r="BC71" s="129"/>
      <c r="BD71" s="129"/>
      <c r="BE71" s="129"/>
      <c r="BF71" s="129"/>
      <c r="BG71" s="129"/>
      <c r="BH71" s="129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</row>
    <row r="72" spans="2:164" s="2" customFormat="1">
      <c r="B72" s="12"/>
      <c r="C72" s="13"/>
      <c r="D72" s="13"/>
      <c r="E72" s="13"/>
      <c r="F72" s="13"/>
      <c r="G72" s="13"/>
      <c r="H72" s="84"/>
      <c r="I72" s="84"/>
      <c r="J72" s="84"/>
      <c r="K72" s="84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29"/>
      <c r="BE72" s="129"/>
      <c r="BF72" s="129"/>
      <c r="BG72" s="129"/>
      <c r="BH72" s="129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</row>
    <row r="73" spans="2:164" s="2" customFormat="1" ht="41.25" customHeight="1">
      <c r="B73" s="341" t="s">
        <v>155</v>
      </c>
      <c r="C73" s="342"/>
      <c r="D73" s="342"/>
      <c r="E73" s="342"/>
      <c r="F73" s="342"/>
      <c r="G73" s="342"/>
      <c r="H73" s="342"/>
      <c r="I73" s="342"/>
      <c r="J73" s="342"/>
      <c r="K73" s="342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/>
      <c r="BH73" s="129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</row>
    <row r="74" spans="2:164" ht="47.25" customHeight="1">
      <c r="H74" s="7"/>
      <c r="I74" s="7"/>
      <c r="J74" s="7"/>
      <c r="K74" s="7"/>
      <c r="L74" s="133"/>
    </row>
    <row r="75" spans="2:164" ht="52.5" customHeight="1">
      <c r="H75" s="7"/>
      <c r="I75" s="7"/>
      <c r="J75" s="7"/>
      <c r="K75" s="7"/>
      <c r="L75" s="133"/>
    </row>
    <row r="76" spans="2:164">
      <c r="H76" s="8"/>
      <c r="I76" s="8"/>
      <c r="J76" s="8"/>
      <c r="K76" s="8"/>
    </row>
  </sheetData>
  <sheetProtection algorithmName="SHA-512" hashValue="0lUTB3aVw4fuXsiLZPyhxGXUtYQBNZw8Iw3liuhBxbxOS4PfqLuql57z+aJpSDuyPpfrChdqz+QQqKMv4vqP/w==" saltValue="/gWhSiS4/F03GBD8Oh0MEw==" spinCount="100000" sheet="1" objects="1" scenarios="1" selectLockedCells="1"/>
  <mergeCells count="51">
    <mergeCell ref="I6:K9"/>
    <mergeCell ref="B9:E9"/>
    <mergeCell ref="B11:D30"/>
    <mergeCell ref="F1:H9"/>
    <mergeCell ref="B73:K73"/>
    <mergeCell ref="C64:F64"/>
    <mergeCell ref="C65:F65"/>
    <mergeCell ref="C59:F59"/>
    <mergeCell ref="C61:F61"/>
    <mergeCell ref="C62:F62"/>
    <mergeCell ref="C63:F63"/>
    <mergeCell ref="B35:D35"/>
    <mergeCell ref="H41:J41"/>
    <mergeCell ref="H37:J37"/>
    <mergeCell ref="C52:F52"/>
    <mergeCell ref="C49:F49"/>
    <mergeCell ref="H48:I48"/>
    <mergeCell ref="B10:K10"/>
    <mergeCell ref="H34:J34"/>
    <mergeCell ref="H32:J33"/>
    <mergeCell ref="K32:K33"/>
    <mergeCell ref="H31:J31"/>
    <mergeCell ref="B31:G31"/>
    <mergeCell ref="D57:F57"/>
    <mergeCell ref="H44:J44"/>
    <mergeCell ref="H45:J45"/>
    <mergeCell ref="H46:J46"/>
    <mergeCell ref="B41:G42"/>
    <mergeCell ref="H42:J42"/>
    <mergeCell ref="C53:F53"/>
    <mergeCell ref="C54:F54"/>
    <mergeCell ref="H49:K65"/>
    <mergeCell ref="C50:F50"/>
    <mergeCell ref="C51:F51"/>
    <mergeCell ref="C60:F60"/>
    <mergeCell ref="B58:F58"/>
    <mergeCell ref="C55:F55"/>
    <mergeCell ref="B37:D37"/>
    <mergeCell ref="C48:F48"/>
    <mergeCell ref="B36:D36"/>
    <mergeCell ref="B43:G45"/>
    <mergeCell ref="H35:J35"/>
    <mergeCell ref="H43:J43"/>
    <mergeCell ref="B38:D38"/>
    <mergeCell ref="H36:J36"/>
    <mergeCell ref="B46:G46"/>
    <mergeCell ref="H38:J38"/>
    <mergeCell ref="H40:J40"/>
    <mergeCell ref="B47:G47"/>
    <mergeCell ref="H39:J39"/>
    <mergeCell ref="B39:D39"/>
  </mergeCells>
  <phoneticPr fontId="2" type="noConversion"/>
  <dataValidations xWindow="475" yWindow="712" count="13">
    <dataValidation type="list" allowBlank="1" showInputMessage="1" showErrorMessage="1" promptTitle="Beglazingsmaterialen bestellen" prompt="Selecteer NEE indien u de beglazingsmaterialen niet wilt bestellen." sqref="F39">
      <formula1>janeeselectie</formula1>
    </dataValidation>
    <dataValidation allowBlank="1" showInputMessage="1" showErrorMessage="1" promptTitle="Beglazingsmaterialen bestellen" prompt="Selecteer NEE indien u de beglazingsmaterialen niet wilt bestellen." sqref="G36:G39"/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I12:I30">
      <formula1>0</formula1>
      <formula2>2700</formula2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H12:H30">
      <formula1>0</formula1>
      <formula2>5000</formula2>
    </dataValidation>
    <dataValidation allowBlank="1" showErrorMessage="1" promptTitle="Aantal" prompt="Voer het aantal ruiten in" sqref="G12:G30"/>
    <dataValidation type="list" allowBlank="1" showErrorMessage="1" errorTitle="Foutieve invoer" error="Kies uit de lijst" promptTitle="Kies soort en samenstelling" prompt="Selecteer uw keuze uit de lijst" sqref="E12:E30">
      <formula1>soortglas</formula1>
    </dataValidation>
    <dataValidation type="list" allowBlank="1" showInputMessage="1" showErrorMessage="1" errorTitle="Onjuiste keuze" promptTitle="Selecteer ja of nee" prompt="U kunt hier aangeven of u een afwijkend afleveradres wenst. " sqref="C59">
      <formula1>janeeselectie</formula1>
    </dataValidation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52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" sqref="C64:F64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_x000a_" sqref="C52:F52">
      <formula1>Provincie</formula1>
    </dataValidation>
    <dataValidation type="list" allowBlank="1" showInputMessage="1" showErrorMessage="1" sqref="C57">
      <formula1>bezorgenafhalen</formula1>
    </dataValidation>
    <dataValidation type="list" allowBlank="1" showInputMessage="1" showErrorMessage="1" sqref="D57:F57">
      <formula1>afhalen</formula1>
    </dataValidation>
    <dataValidation allowBlank="1" showInputMessage="1" showErrorMessage="1" errorTitle="Onjuiste keuze" promptTitle="Selecteer ja of nee" prompt="U kunt hier aangeven of u een afwijkend afleveradres wenst. " sqref="C60:F60"/>
  </dataValidations>
  <pageMargins left="0.59055118110236227" right="0.59055118110236227" top="0.42" bottom="0.56000000000000005" header="0.3" footer="0.33"/>
  <pageSetup paperSize="9" scale="81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45" max="16383" man="1"/>
  </rowBreaks>
  <ignoredErrors>
    <ignoredError sqref="F3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9" r:id="rId4" name="Button 65">
              <controlPr defaultSize="0" print="0" autoFill="0" autoPict="0" macro="[0]!Bestellen_BijKlikken">
                <anchor moveWithCells="1" sizeWithCells="1">
                  <from>
                    <xdr:col>2</xdr:col>
                    <xdr:colOff>19050</xdr:colOff>
                    <xdr:row>65</xdr:row>
                    <xdr:rowOff>85725</xdr:rowOff>
                  </from>
                  <to>
                    <xdr:col>3</xdr:col>
                    <xdr:colOff>504825</xdr:colOff>
                    <xdr:row>71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>
    <pageSetUpPr fitToPage="1"/>
  </sheetPr>
  <dimension ref="A1:Q55"/>
  <sheetViews>
    <sheetView workbookViewId="0">
      <selection activeCell="D3" sqref="D3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0.28515625" style="14" customWidth="1"/>
    <col min="5" max="5" width="3.42578125" style="14" customWidth="1"/>
    <col min="6" max="6" width="6.28515625" style="14" hidden="1" customWidth="1"/>
    <col min="7" max="7" width="11.28515625" style="14" customWidth="1"/>
    <col min="8" max="8" width="30.42578125" style="14" customWidth="1"/>
    <col min="9" max="9" width="12.7109375" style="14" customWidth="1"/>
    <col min="10" max="10" width="14.140625" style="14" customWidth="1"/>
    <col min="11" max="12" width="12.85546875" style="14" customWidth="1"/>
    <col min="13" max="13" width="12.42578125" style="14" customWidth="1"/>
    <col min="14" max="14" width="6.42578125" style="14" customWidth="1"/>
    <col min="15" max="17" width="9.140625" style="14" hidden="1" customWidth="1"/>
    <col min="18" max="16384" width="11.42578125" style="14"/>
  </cols>
  <sheetData>
    <row r="1" spans="1:13" ht="18">
      <c r="A1" s="28" t="s">
        <v>164</v>
      </c>
      <c r="B1" s="16"/>
      <c r="C1" s="16"/>
      <c r="J1" s="15"/>
    </row>
    <row r="2" spans="1:13" ht="15.75">
      <c r="A2" s="35"/>
      <c r="B2" s="17"/>
      <c r="C2" s="17"/>
      <c r="D2" s="50"/>
    </row>
    <row r="3" spans="1:13">
      <c r="A3" s="37" t="s">
        <v>165</v>
      </c>
      <c r="B3" s="37"/>
      <c r="C3" s="37"/>
      <c r="D3" s="105">
        <f ca="1">TODAY()</f>
        <v>42227</v>
      </c>
    </row>
    <row r="4" spans="1:13">
      <c r="A4" s="37" t="s">
        <v>85</v>
      </c>
      <c r="B4" s="38"/>
      <c r="C4" s="38"/>
      <c r="D4" s="106">
        <f>Offerteblad!K3</f>
        <v>0</v>
      </c>
    </row>
    <row r="5" spans="1:13">
      <c r="A5" s="36" t="s">
        <v>277</v>
      </c>
      <c r="B5" s="38"/>
      <c r="C5" s="38"/>
      <c r="D5" s="239">
        <f ca="1">D3+8</f>
        <v>42235</v>
      </c>
      <c r="I5" s="386" t="str">
        <f>offerte!I5</f>
        <v>Glasdiscount.nl</v>
      </c>
      <c r="J5" s="386"/>
      <c r="K5" s="386"/>
    </row>
    <row r="6" spans="1:13" ht="15.75">
      <c r="D6" s="107"/>
      <c r="H6" s="18"/>
      <c r="I6" s="386" t="str">
        <f>offerte!I6</f>
        <v>Voorsterweg 20</v>
      </c>
      <c r="J6" s="386"/>
      <c r="K6" s="386"/>
    </row>
    <row r="7" spans="1:13" ht="15">
      <c r="F7" s="68"/>
      <c r="G7" s="68"/>
      <c r="H7" s="19"/>
      <c r="I7" s="386" t="str">
        <f>offerte!I7</f>
        <v>7371 GC Loenen Gld.</v>
      </c>
      <c r="J7" s="386"/>
      <c r="K7" s="386"/>
    </row>
    <row r="8" spans="1:13" ht="15">
      <c r="C8" s="68" t="s">
        <v>73</v>
      </c>
      <c r="D8" s="68"/>
      <c r="E8" s="68"/>
      <c r="F8" s="68"/>
      <c r="G8" s="68"/>
      <c r="H8" s="19"/>
      <c r="I8" s="386" t="str">
        <f>offerte!I8</f>
        <v>KvK: 08062381</v>
      </c>
      <c r="J8" s="386"/>
      <c r="K8" s="386"/>
    </row>
    <row r="9" spans="1:13" ht="15">
      <c r="C9" s="54" t="str">
        <f>IF(Offerteblad!C48="", "",Offerteblad!C48)</f>
        <v/>
      </c>
      <c r="D9" s="54"/>
      <c r="E9" s="68"/>
      <c r="F9" s="68"/>
      <c r="G9" s="68"/>
      <c r="H9" s="19"/>
      <c r="I9" s="387" t="s">
        <v>79</v>
      </c>
      <c r="J9" s="387"/>
      <c r="K9" s="387"/>
    </row>
    <row r="10" spans="1:13" ht="15">
      <c r="C10" s="54" t="str">
        <f>IF(Offerteblad!C49="", "",Offerteblad!C49)</f>
        <v/>
      </c>
      <c r="D10" s="54"/>
      <c r="E10" s="68"/>
      <c r="F10" s="54"/>
      <c r="G10" s="54"/>
      <c r="H10" s="19"/>
      <c r="I10" s="357" t="s">
        <v>175</v>
      </c>
      <c r="J10" s="357"/>
      <c r="K10" s="357"/>
    </row>
    <row r="11" spans="1:13" ht="15">
      <c r="C11" s="54" t="str">
        <f>IF(Offerteblad!C50="", "",Offerteblad!C50)</f>
        <v/>
      </c>
      <c r="D11" s="54" t="str">
        <f>IF(Offerteblad!C51="", "",Offerteblad!C51)</f>
        <v/>
      </c>
      <c r="E11" s="54"/>
      <c r="F11" s="20"/>
      <c r="G11" s="20"/>
      <c r="H11" s="19"/>
      <c r="I11" s="357" t="s">
        <v>174</v>
      </c>
      <c r="J11" s="357"/>
      <c r="K11" s="357"/>
    </row>
    <row r="12" spans="1:13" ht="15">
      <c r="C12" s="51"/>
      <c r="F12" s="20"/>
      <c r="G12" s="20"/>
      <c r="I12" s="355" t="s">
        <v>80</v>
      </c>
      <c r="J12" s="356"/>
      <c r="K12" s="356"/>
      <c r="M12" s="19"/>
    </row>
    <row r="13" spans="1:13" ht="15">
      <c r="C13" s="101" t="s">
        <v>166</v>
      </c>
      <c r="D13" s="21"/>
      <c r="E13" s="20"/>
      <c r="F13" s="20"/>
      <c r="G13" s="20"/>
      <c r="M13" s="19"/>
    </row>
    <row r="14" spans="1:13" ht="15">
      <c r="C14" s="21"/>
      <c r="D14" s="21"/>
      <c r="E14" s="20"/>
      <c r="F14" s="20"/>
      <c r="G14" s="20"/>
      <c r="M14" s="19"/>
    </row>
    <row r="15" spans="1:13" ht="15">
      <c r="M15" s="19"/>
    </row>
    <row r="16" spans="1:13" ht="15">
      <c r="C16" s="22" t="s">
        <v>40</v>
      </c>
      <c r="E16" s="395"/>
      <c r="F16" s="395"/>
      <c r="G16" s="23"/>
      <c r="H16" s="142"/>
      <c r="I16" s="388" t="s">
        <v>76</v>
      </c>
      <c r="J16" s="388"/>
      <c r="K16" s="153"/>
      <c r="M16" s="19"/>
    </row>
    <row r="17" spans="1:17" ht="15.75">
      <c r="A17" s="147"/>
      <c r="B17" s="147"/>
      <c r="C17" s="147"/>
      <c r="D17" s="147"/>
      <c r="E17" s="147"/>
      <c r="F17" s="154"/>
      <c r="G17" s="158" t="s">
        <v>9</v>
      </c>
      <c r="H17" s="155" t="s">
        <v>75</v>
      </c>
      <c r="I17" s="152" t="s">
        <v>46</v>
      </c>
      <c r="J17" s="152" t="s">
        <v>45</v>
      </c>
      <c r="K17" s="151" t="s">
        <v>227</v>
      </c>
      <c r="L17" s="26"/>
      <c r="M17" s="19"/>
      <c r="N17" s="27"/>
      <c r="Q17" s="28"/>
    </row>
    <row r="18" spans="1:17" ht="15">
      <c r="A18" s="161"/>
      <c r="B18" s="161"/>
      <c r="C18" s="160"/>
      <c r="D18" s="160"/>
      <c r="E18" s="147"/>
      <c r="F18" s="147"/>
      <c r="G18" s="159" t="str">
        <f>IF(Offerteblad!G12=0,"",Offerteblad!G12)</f>
        <v/>
      </c>
      <c r="H18" s="29" t="str">
        <f>IF(Offerteblad!E12=$C$16,"", Offerteblad!E12)</f>
        <v/>
      </c>
      <c r="I18" s="149" t="str">
        <f>IF(Offerteblad!H12= 0, "",Offerteblad!H12)</f>
        <v/>
      </c>
      <c r="J18" s="150" t="str">
        <f>IF(Offerteblad!I12= 0, "",Offerteblad!I12)</f>
        <v/>
      </c>
      <c r="K18" s="157" t="str">
        <f>IF(Offerteblad!K12= 0, "",Offerteblad!K12)</f>
        <v/>
      </c>
      <c r="M18" s="31"/>
    </row>
    <row r="19" spans="1:17" ht="15">
      <c r="A19" s="161"/>
      <c r="B19" s="161"/>
      <c r="C19" s="160"/>
      <c r="D19" s="160"/>
      <c r="E19" s="147"/>
      <c r="F19" s="147"/>
      <c r="G19" s="159" t="str">
        <f>IF(Offerteblad!G13=0,"",Offerteblad!G13)</f>
        <v/>
      </c>
      <c r="H19" s="29" t="str">
        <f>IF(Offerteblad!E13=$C$16,"", Offerteblad!E13)</f>
        <v/>
      </c>
      <c r="I19" s="149" t="str">
        <f>IF(Offerteblad!H13= 0, "",Offerteblad!H13)</f>
        <v/>
      </c>
      <c r="J19" s="150" t="str">
        <f>IF(Offerteblad!I13= 0, "",Offerteblad!I13)</f>
        <v/>
      </c>
      <c r="K19" s="157" t="str">
        <f>IF(Offerteblad!K13= 0, "",Offerteblad!K13)</f>
        <v/>
      </c>
      <c r="M19" s="19"/>
    </row>
    <row r="20" spans="1:17" ht="15">
      <c r="A20" s="161"/>
      <c r="B20" s="161"/>
      <c r="C20" s="160"/>
      <c r="D20" s="160"/>
      <c r="E20" s="147"/>
      <c r="F20" s="147"/>
      <c r="G20" s="159" t="str">
        <f>IF(Offerteblad!G14=0,"",Offerteblad!G14)</f>
        <v/>
      </c>
      <c r="H20" s="29" t="str">
        <f>IF(Offerteblad!E14=$C$16,"", Offerteblad!E14)</f>
        <v/>
      </c>
      <c r="I20" s="149" t="str">
        <f>IF(Offerteblad!H14= 0, "",Offerteblad!H14)</f>
        <v/>
      </c>
      <c r="J20" s="150" t="str">
        <f>IF(Offerteblad!I14= 0, "",Offerteblad!I14)</f>
        <v/>
      </c>
      <c r="K20" s="157" t="str">
        <f>IF(Offerteblad!K14= 0, "",Offerteblad!K14)</f>
        <v/>
      </c>
      <c r="M20" s="19"/>
    </row>
    <row r="21" spans="1:17">
      <c r="A21" s="161"/>
      <c r="B21" s="161"/>
      <c r="C21" s="160"/>
      <c r="D21" s="160"/>
      <c r="E21" s="147"/>
      <c r="F21" s="147"/>
      <c r="G21" s="159" t="str">
        <f>IF(Offerteblad!G15=0,"",Offerteblad!G15)</f>
        <v/>
      </c>
      <c r="H21" s="29" t="str">
        <f>IF(Offerteblad!E15=$C$16,"", Offerteblad!E15)</f>
        <v/>
      </c>
      <c r="I21" s="149" t="str">
        <f>IF(Offerteblad!H15= 0, "",Offerteblad!H15)</f>
        <v/>
      </c>
      <c r="J21" s="150" t="str">
        <f>IF(Offerteblad!I15= 0, "",Offerteblad!I15)</f>
        <v/>
      </c>
      <c r="K21" s="157" t="str">
        <f>IF(Offerteblad!K15= 0, "",Offerteblad!K15)</f>
        <v/>
      </c>
    </row>
    <row r="22" spans="1:17">
      <c r="A22" s="161"/>
      <c r="B22" s="161"/>
      <c r="C22" s="160"/>
      <c r="D22" s="160"/>
      <c r="E22" s="147"/>
      <c r="F22" s="147"/>
      <c r="G22" s="159" t="str">
        <f>IF(Offerteblad!G16=0,"",Offerteblad!G16)</f>
        <v/>
      </c>
      <c r="H22" s="29" t="str">
        <f>IF(Offerteblad!E16=$C$16,"", Offerteblad!E16)</f>
        <v/>
      </c>
      <c r="I22" s="149" t="str">
        <f>IF(Offerteblad!H16= 0, "",Offerteblad!H16)</f>
        <v/>
      </c>
      <c r="J22" s="150" t="str">
        <f>IF(Offerteblad!I16= 0, "",Offerteblad!I16)</f>
        <v/>
      </c>
      <c r="K22" s="157" t="str">
        <f>IF(Offerteblad!K16= 0, "",Offerteblad!K16)</f>
        <v/>
      </c>
      <c r="M22" s="148"/>
    </row>
    <row r="23" spans="1:17">
      <c r="A23" s="161"/>
      <c r="B23" s="161"/>
      <c r="C23" s="160"/>
      <c r="D23" s="160"/>
      <c r="E23" s="147"/>
      <c r="F23" s="147"/>
      <c r="G23" s="159" t="str">
        <f>IF(Offerteblad!G17=0,"",Offerteblad!G17)</f>
        <v/>
      </c>
      <c r="H23" s="29" t="str">
        <f>IF(Offerteblad!E17=$C$16,"", Offerteblad!E17)</f>
        <v/>
      </c>
      <c r="I23" s="149" t="str">
        <f>IF(Offerteblad!H17= 0, "",Offerteblad!H17)</f>
        <v/>
      </c>
      <c r="J23" s="150" t="str">
        <f>IF(Offerteblad!I17= 0, "",Offerteblad!I17)</f>
        <v/>
      </c>
      <c r="K23" s="157" t="str">
        <f>IF(Offerteblad!K17= 0, "",Offerteblad!K17)</f>
        <v/>
      </c>
    </row>
    <row r="24" spans="1:17">
      <c r="A24" s="161"/>
      <c r="B24" s="161"/>
      <c r="C24" s="160"/>
      <c r="D24" s="160"/>
      <c r="E24" s="147"/>
      <c r="F24" s="147"/>
      <c r="G24" s="159" t="str">
        <f>IF(Offerteblad!G18=0,"",Offerteblad!G18)</f>
        <v/>
      </c>
      <c r="H24" s="29" t="str">
        <f>IF(Offerteblad!E18=$C$16,"", Offerteblad!E18)</f>
        <v/>
      </c>
      <c r="I24" s="149" t="str">
        <f>IF(Offerteblad!H18= 0, "",Offerteblad!H18)</f>
        <v/>
      </c>
      <c r="J24" s="150" t="str">
        <f>IF(Offerteblad!I18= 0, "",Offerteblad!I18)</f>
        <v/>
      </c>
      <c r="K24" s="157" t="str">
        <f>IF(Offerteblad!K18= 0, "",Offerteblad!K18)</f>
        <v/>
      </c>
    </row>
    <row r="25" spans="1:17">
      <c r="A25" s="161"/>
      <c r="B25" s="161"/>
      <c r="C25" s="160"/>
      <c r="D25" s="160"/>
      <c r="E25" s="147"/>
      <c r="F25" s="147"/>
      <c r="G25" s="159" t="str">
        <f>IF(Offerteblad!G19=0,"",Offerteblad!G19)</f>
        <v/>
      </c>
      <c r="H25" s="29" t="str">
        <f>IF(Offerteblad!E19=$C$16,"", Offerteblad!E19)</f>
        <v/>
      </c>
      <c r="I25" s="149" t="str">
        <f>IF(Offerteblad!H19= 0, "",Offerteblad!H19)</f>
        <v/>
      </c>
      <c r="J25" s="150" t="str">
        <f>IF(Offerteblad!I19= 0, "",Offerteblad!I19)</f>
        <v/>
      </c>
      <c r="K25" s="157" t="str">
        <f>IF(Offerteblad!K19= 0, "",Offerteblad!K19)</f>
        <v/>
      </c>
    </row>
    <row r="26" spans="1:17">
      <c r="A26" s="161"/>
      <c r="B26" s="161"/>
      <c r="C26" s="160"/>
      <c r="D26" s="160"/>
      <c r="E26" s="147"/>
      <c r="F26" s="147"/>
      <c r="G26" s="159" t="str">
        <f>IF(Offerteblad!G20=0,"",Offerteblad!G20)</f>
        <v/>
      </c>
      <c r="H26" s="29" t="str">
        <f>IF(Offerteblad!E20=$C$16,"", Offerteblad!E20)</f>
        <v/>
      </c>
      <c r="I26" s="149" t="str">
        <f>IF(Offerteblad!H20= 0, "",Offerteblad!H20)</f>
        <v/>
      </c>
      <c r="J26" s="150" t="str">
        <f>IF(Offerteblad!I20= 0, "",Offerteblad!I20)</f>
        <v/>
      </c>
      <c r="K26" s="157" t="str">
        <f>IF(Offerteblad!K20= 0, "",Offerteblad!K20)</f>
        <v/>
      </c>
    </row>
    <row r="27" spans="1:17">
      <c r="A27" s="161"/>
      <c r="B27" s="161"/>
      <c r="C27" s="160"/>
      <c r="D27" s="160"/>
      <c r="E27" s="147"/>
      <c r="F27" s="147"/>
      <c r="G27" s="159" t="str">
        <f>IF(Offerteblad!G21=0,"",Offerteblad!G21)</f>
        <v/>
      </c>
      <c r="H27" s="29" t="str">
        <f>IF(Offerteblad!E21=$C$16,"", Offerteblad!E21)</f>
        <v/>
      </c>
      <c r="I27" s="149" t="str">
        <f>IF(Offerteblad!H21= 0, "",Offerteblad!H21)</f>
        <v/>
      </c>
      <c r="J27" s="150" t="str">
        <f>IF(Offerteblad!I21= 0, "",Offerteblad!I21)</f>
        <v/>
      </c>
      <c r="K27" s="157" t="str">
        <f>IF(Offerteblad!K21= 0, "",Offerteblad!K21)</f>
        <v/>
      </c>
    </row>
    <row r="28" spans="1:17">
      <c r="A28" s="161"/>
      <c r="B28" s="161"/>
      <c r="C28" s="160"/>
      <c r="D28" s="160"/>
      <c r="E28" s="147"/>
      <c r="F28" s="147"/>
      <c r="G28" s="159" t="str">
        <f>IF(Offerteblad!G22=0,"",Offerteblad!G22)</f>
        <v/>
      </c>
      <c r="H28" s="29" t="str">
        <f>IF(Offerteblad!E22=$C$16,"", Offerteblad!E22)</f>
        <v/>
      </c>
      <c r="I28" s="149" t="str">
        <f>IF(Offerteblad!H22= 0, "",Offerteblad!H22)</f>
        <v/>
      </c>
      <c r="J28" s="150" t="str">
        <f>IF(Offerteblad!I22= 0, "",Offerteblad!I22)</f>
        <v/>
      </c>
      <c r="K28" s="157" t="str">
        <f>IF(Offerteblad!K22= 0, "",Offerteblad!K22)</f>
        <v/>
      </c>
    </row>
    <row r="29" spans="1:17">
      <c r="A29" s="161"/>
      <c r="B29" s="161"/>
      <c r="C29" s="160"/>
      <c r="D29" s="160"/>
      <c r="E29" s="147"/>
      <c r="F29" s="147"/>
      <c r="G29" s="159" t="str">
        <f>IF(Offerteblad!G23=0,"",Offerteblad!G23)</f>
        <v/>
      </c>
      <c r="H29" s="29" t="str">
        <f>IF(Offerteblad!E23=$C$16,"", Offerteblad!E23)</f>
        <v/>
      </c>
      <c r="I29" s="149" t="str">
        <f>IF(Offerteblad!H23= 0, "",Offerteblad!H23)</f>
        <v/>
      </c>
      <c r="J29" s="150" t="str">
        <f>IF(Offerteblad!I23= 0, "",Offerteblad!I23)</f>
        <v/>
      </c>
      <c r="K29" s="157" t="str">
        <f>IF(Offerteblad!K23= 0, "",Offerteblad!K23)</f>
        <v/>
      </c>
    </row>
    <row r="30" spans="1:17">
      <c r="A30" s="161"/>
      <c r="B30" s="161"/>
      <c r="C30" s="160"/>
      <c r="D30" s="160"/>
      <c r="E30" s="147"/>
      <c r="F30" s="147"/>
      <c r="G30" s="159" t="str">
        <f>IF(Offerteblad!G24=0,"",Offerteblad!G24)</f>
        <v/>
      </c>
      <c r="H30" s="29" t="str">
        <f>IF(Offerteblad!E24=$C$16,"", Offerteblad!E24)</f>
        <v/>
      </c>
      <c r="I30" s="149" t="str">
        <f>IF(Offerteblad!H24= 0, "",Offerteblad!H24)</f>
        <v/>
      </c>
      <c r="J30" s="150" t="str">
        <f>IF(Offerteblad!I24= 0, "",Offerteblad!I24)</f>
        <v/>
      </c>
      <c r="K30" s="157" t="str">
        <f>IF(Offerteblad!K24= 0, "",Offerteblad!K24)</f>
        <v/>
      </c>
    </row>
    <row r="31" spans="1:17">
      <c r="A31" s="161"/>
      <c r="B31" s="161"/>
      <c r="C31" s="160"/>
      <c r="D31" s="160"/>
      <c r="E31" s="147"/>
      <c r="F31" s="147"/>
      <c r="G31" s="159" t="str">
        <f>IF(Offerteblad!G25=0,"",Offerteblad!G25)</f>
        <v/>
      </c>
      <c r="H31" s="29" t="str">
        <f>IF(Offerteblad!E25=$C$16,"", Offerteblad!E25)</f>
        <v/>
      </c>
      <c r="I31" s="149" t="str">
        <f>IF(Offerteblad!H25= 0, "",Offerteblad!H25)</f>
        <v/>
      </c>
      <c r="J31" s="150" t="str">
        <f>IF(Offerteblad!I25= 0, "",Offerteblad!I25)</f>
        <v/>
      </c>
      <c r="K31" s="157" t="str">
        <f>IF(Offerteblad!K25= 0, "",Offerteblad!K25)</f>
        <v/>
      </c>
    </row>
    <row r="32" spans="1:17">
      <c r="A32" s="161"/>
      <c r="B32" s="161"/>
      <c r="C32" s="160"/>
      <c r="D32" s="160"/>
      <c r="E32" s="147"/>
      <c r="F32" s="147"/>
      <c r="G32" s="159" t="str">
        <f>IF(Offerteblad!G26=0,"",Offerteblad!G26)</f>
        <v/>
      </c>
      <c r="H32" s="29" t="str">
        <f>IF(Offerteblad!E26=$C$16,"", Offerteblad!E26)</f>
        <v/>
      </c>
      <c r="I32" s="149" t="str">
        <f>IF(Offerteblad!H26= 0, "",Offerteblad!H26)</f>
        <v/>
      </c>
      <c r="J32" s="150" t="str">
        <f>IF(Offerteblad!I26= 0, "",Offerteblad!I26)</f>
        <v/>
      </c>
      <c r="K32" s="157" t="str">
        <f>IF(Offerteblad!K26= 0, "",Offerteblad!K26)</f>
        <v/>
      </c>
    </row>
    <row r="33" spans="1:12">
      <c r="A33" s="161"/>
      <c r="B33" s="161"/>
      <c r="C33" s="160"/>
      <c r="D33" s="160"/>
      <c r="E33" s="147"/>
      <c r="F33" s="147"/>
      <c r="G33" s="159" t="str">
        <f>IF(Offerteblad!G27=0,"",Offerteblad!G27)</f>
        <v/>
      </c>
      <c r="H33" s="29" t="str">
        <f>IF(Offerteblad!E27=$C$16,"", Offerteblad!E27)</f>
        <v/>
      </c>
      <c r="I33" s="149" t="str">
        <f>IF(Offerteblad!H27= 0, "",Offerteblad!H27)</f>
        <v/>
      </c>
      <c r="J33" s="150" t="str">
        <f>IF(Offerteblad!I27= 0, "",Offerteblad!I27)</f>
        <v/>
      </c>
      <c r="K33" s="157" t="str">
        <f>IF(Offerteblad!K27= 0, "",Offerteblad!K27)</f>
        <v/>
      </c>
    </row>
    <row r="34" spans="1:12">
      <c r="A34" s="161"/>
      <c r="B34" s="161"/>
      <c r="C34" s="160"/>
      <c r="D34" s="160"/>
      <c r="E34" s="147"/>
      <c r="F34" s="147"/>
      <c r="G34" s="159" t="str">
        <f>IF(Offerteblad!G28=0,"",Offerteblad!G28)</f>
        <v/>
      </c>
      <c r="H34" s="29" t="str">
        <f>IF(Offerteblad!E28=$C$16,"", Offerteblad!E28)</f>
        <v/>
      </c>
      <c r="I34" s="149" t="str">
        <f>IF(Offerteblad!H28= 0, "",Offerteblad!H28)</f>
        <v/>
      </c>
      <c r="J34" s="150" t="str">
        <f>IF(Offerteblad!I28= 0, "",Offerteblad!I28)</f>
        <v/>
      </c>
      <c r="K34" s="157" t="str">
        <f>IF(Offerteblad!K28= 0, "",Offerteblad!K28)</f>
        <v/>
      </c>
    </row>
    <row r="35" spans="1:12">
      <c r="A35" s="161"/>
      <c r="B35" s="161"/>
      <c r="C35" s="160"/>
      <c r="D35" s="160"/>
      <c r="E35" s="147"/>
      <c r="F35" s="147"/>
      <c r="G35" s="159" t="str">
        <f>IF(Offerteblad!G29=0,"",Offerteblad!G29)</f>
        <v/>
      </c>
      <c r="H35" s="29" t="str">
        <f>IF(Offerteblad!E29=$C$16,"", Offerteblad!E29)</f>
        <v/>
      </c>
      <c r="I35" s="149" t="str">
        <f>IF(Offerteblad!H29= 0, "",Offerteblad!H29)</f>
        <v/>
      </c>
      <c r="J35" s="150" t="str">
        <f>IF(Offerteblad!I29= 0, "",Offerteblad!I29)</f>
        <v/>
      </c>
      <c r="K35" s="157" t="str">
        <f>IF(Offerteblad!K29= 0, "",Offerteblad!K29)</f>
        <v/>
      </c>
    </row>
    <row r="36" spans="1:12" ht="13.5" thickBot="1">
      <c r="A36" s="161"/>
      <c r="B36" s="161"/>
      <c r="C36" s="160"/>
      <c r="D36" s="160"/>
      <c r="E36" s="147"/>
      <c r="F36" s="147"/>
      <c r="G36" s="159" t="str">
        <f>IF(Offerteblad!G30=0,"",Offerteblad!G30)</f>
        <v/>
      </c>
      <c r="H36" s="85" t="str">
        <f>IF(Offerteblad!E30=$C$16,"", Offerteblad!E30)</f>
        <v/>
      </c>
      <c r="I36" s="156" t="str">
        <f>IF(Offerteblad!H30= 0, "",Offerteblad!H30)</f>
        <v/>
      </c>
      <c r="J36" s="150" t="str">
        <f>IF(Offerteblad!I30= 0, "",Offerteblad!I30)</f>
        <v/>
      </c>
      <c r="K36" s="157" t="str">
        <f>IF(Offerteblad!K30= 0, "",Offerteblad!K30)</f>
        <v/>
      </c>
    </row>
    <row r="37" spans="1:12" ht="15.75" thickBot="1">
      <c r="A37" s="370" t="s">
        <v>127</v>
      </c>
      <c r="B37" s="371"/>
      <c r="C37" s="371"/>
      <c r="D37" s="371"/>
      <c r="E37" s="371"/>
      <c r="F37" s="371"/>
      <c r="G37" s="372"/>
      <c r="H37" s="371"/>
      <c r="I37" s="373"/>
      <c r="J37" s="368">
        <f>SUM(K18:K36)</f>
        <v>0</v>
      </c>
      <c r="K37" s="369"/>
    </row>
    <row r="38" spans="1:12">
      <c r="A38" s="389"/>
      <c r="B38" s="390"/>
      <c r="C38" s="390"/>
      <c r="D38" s="390"/>
      <c r="E38" s="390"/>
      <c r="F38" s="390"/>
      <c r="G38" s="390"/>
      <c r="H38" s="390"/>
      <c r="I38" s="391"/>
      <c r="J38" s="364"/>
      <c r="K38" s="365"/>
    </row>
    <row r="39" spans="1:12">
      <c r="A39" s="392" t="s">
        <v>51</v>
      </c>
      <c r="B39" s="393"/>
      <c r="C39" s="393"/>
      <c r="D39" s="393"/>
      <c r="E39" s="393"/>
      <c r="F39" s="393"/>
      <c r="G39" s="393"/>
      <c r="H39" s="393"/>
      <c r="I39" s="394"/>
      <c r="J39" s="366">
        <f>Offerteblad!K35</f>
        <v>0</v>
      </c>
      <c r="K39" s="367"/>
    </row>
    <row r="40" spans="1:12">
      <c r="A40" s="399" t="s">
        <v>158</v>
      </c>
      <c r="B40" s="400"/>
      <c r="C40" s="400"/>
      <c r="D40" s="400"/>
      <c r="E40" s="400"/>
      <c r="F40" s="400"/>
      <c r="G40" s="400"/>
      <c r="H40" s="400"/>
      <c r="I40" s="401"/>
      <c r="J40" s="402"/>
      <c r="K40" s="403"/>
    </row>
    <row r="41" spans="1:12">
      <c r="A41" s="374" t="str">
        <f>IF(Offerteblad!$F$39='blad 1'!A3, "", IF(Offerteblad!F36= 0, "",Offerteblad!F36))</f>
        <v/>
      </c>
      <c r="B41" s="374"/>
      <c r="C41" s="383" t="str">
        <f>Offerteblad!H36</f>
        <v xml:space="preserve"> </v>
      </c>
      <c r="D41" s="384"/>
      <c r="E41" s="384"/>
      <c r="F41" s="384"/>
      <c r="G41" s="384"/>
      <c r="H41" s="384"/>
      <c r="I41" s="385"/>
      <c r="J41" s="366" t="str">
        <f>Offerteblad!K36</f>
        <v/>
      </c>
      <c r="K41" s="367"/>
    </row>
    <row r="42" spans="1:12">
      <c r="A42" s="374" t="str">
        <f>IF(Offerteblad!$F$39='blad 1'!A4, "", IF(Offerteblad!F37= 0, "",Offerteblad!F37))</f>
        <v/>
      </c>
      <c r="B42" s="374"/>
      <c r="C42" s="383" t="str">
        <f>Offerteblad!H37</f>
        <v xml:space="preserve"> </v>
      </c>
      <c r="D42" s="384"/>
      <c r="E42" s="384"/>
      <c r="F42" s="384"/>
      <c r="G42" s="384"/>
      <c r="H42" s="384"/>
      <c r="I42" s="385"/>
      <c r="J42" s="366" t="str">
        <f>Offerteblad!K37</f>
        <v/>
      </c>
      <c r="K42" s="367"/>
    </row>
    <row r="43" spans="1:12">
      <c r="A43" s="374" t="str">
        <f>IF(Offerteblad!$F$39='blad 1'!A5, "", IF(Offerteblad!F38= 0, "",Offerteblad!F38))</f>
        <v/>
      </c>
      <c r="B43" s="374"/>
      <c r="C43" s="383" t="str">
        <f>Offerteblad!H38</f>
        <v xml:space="preserve"> </v>
      </c>
      <c r="D43" s="384"/>
      <c r="E43" s="384"/>
      <c r="F43" s="384"/>
      <c r="G43" s="384"/>
      <c r="H43" s="384"/>
      <c r="I43" s="385"/>
      <c r="J43" s="366" t="str">
        <f>Offerteblad!K38</f>
        <v/>
      </c>
      <c r="K43" s="367"/>
    </row>
    <row r="44" spans="1:12">
      <c r="A44" s="408" t="str">
        <f>IF(J45="","",IF(J45&gt;0,1,""))</f>
        <v/>
      </c>
      <c r="B44" s="409"/>
      <c r="C44" s="94" t="str">
        <f>Offerteblad!H39</f>
        <v>Bezorgkosten beglazingsmateriaal</v>
      </c>
      <c r="D44" s="95"/>
      <c r="E44" s="95"/>
      <c r="F44" s="95"/>
      <c r="G44" s="95"/>
      <c r="H44" s="95"/>
      <c r="I44" s="96"/>
      <c r="J44" s="366" t="str">
        <f>Offerteblad!K39</f>
        <v/>
      </c>
      <c r="K44" s="367"/>
    </row>
    <row r="45" spans="1:12">
      <c r="A45" s="404" t="s">
        <v>226</v>
      </c>
      <c r="B45" s="405"/>
      <c r="C45" s="405"/>
      <c r="D45" s="405"/>
      <c r="E45" s="405"/>
      <c r="F45" s="405"/>
      <c r="G45" s="405"/>
      <c r="H45" s="405"/>
      <c r="I45" s="406"/>
      <c r="J45" s="366" t="str">
        <f>Offerteblad!K40</f>
        <v/>
      </c>
      <c r="K45" s="367"/>
    </row>
    <row r="46" spans="1:12">
      <c r="A46" s="374" t="s">
        <v>156</v>
      </c>
      <c r="B46" s="374"/>
      <c r="C46" s="374"/>
      <c r="D46" s="222" t="str">
        <f>IF(Offerteblad!C57='blad 2'!T12, "",Offerteblad!C57)</f>
        <v>Bezorgen</v>
      </c>
      <c r="E46" s="396" t="str">
        <f>IF(Offerteblad!D57='blad 2'!T19, "", Offerteblad!D57)</f>
        <v>&lt; kies locatie &gt;</v>
      </c>
      <c r="F46" s="407"/>
      <c r="G46" s="407"/>
      <c r="H46" s="414" t="str">
        <f>CONCATENATE("Af: ",Offerteblad!H42)</f>
        <v>Af: Korting</v>
      </c>
      <c r="I46" s="414"/>
      <c r="J46" s="358" t="str">
        <f>IF(Offerteblad!K42=0,"",Offerteblad!K42)</f>
        <v/>
      </c>
      <c r="K46" s="359"/>
      <c r="L46" s="34"/>
    </row>
    <row r="47" spans="1:12" ht="15.75">
      <c r="A47" s="379" t="s">
        <v>82</v>
      </c>
      <c r="B47" s="379"/>
      <c r="C47" s="379"/>
      <c r="D47" s="396" t="str">
        <f>IF(Offerteblad!C59="&lt;selecteer&gt;","Nee",Offerteblad!C59)</f>
        <v>Nee</v>
      </c>
      <c r="E47" s="396"/>
      <c r="F47" s="396"/>
      <c r="G47" s="397"/>
      <c r="H47" s="382" t="s">
        <v>55</v>
      </c>
      <c r="I47" s="382"/>
      <c r="J47" s="360">
        <f>Offerteblad!K44</f>
        <v>0</v>
      </c>
      <c r="K47" s="361"/>
    </row>
    <row r="48" spans="1:12" ht="15">
      <c r="A48" s="380" t="str">
        <f>IF(Offerteblad!C60=0,"",Offerteblad!C60)</f>
        <v/>
      </c>
      <c r="B48" s="381"/>
      <c r="C48" s="381"/>
      <c r="D48" s="378"/>
      <c r="E48" s="378"/>
      <c r="F48" s="378"/>
      <c r="G48" s="103"/>
      <c r="H48" s="375" t="s">
        <v>78</v>
      </c>
      <c r="I48" s="376"/>
      <c r="J48" s="362">
        <f>Offerteblad!K45</f>
        <v>0</v>
      </c>
      <c r="K48" s="363"/>
    </row>
    <row r="49" spans="1:11" ht="15.75">
      <c r="A49" s="377" t="str">
        <f>IF(Offerteblad!C61=0,"",Offerteblad!C61)</f>
        <v/>
      </c>
      <c r="B49" s="378"/>
      <c r="C49" s="378"/>
      <c r="D49" s="378"/>
      <c r="E49" s="378"/>
      <c r="F49" s="378"/>
      <c r="G49" s="62"/>
      <c r="H49" s="412" t="s">
        <v>30</v>
      </c>
      <c r="I49" s="413"/>
      <c r="J49" s="353">
        <f>Offerteblad!K46</f>
        <v>0</v>
      </c>
      <c r="K49" s="354"/>
    </row>
    <row r="50" spans="1:11" ht="15.75" customHeight="1">
      <c r="A50" s="377" t="str">
        <f>IF(Offerteblad!C62=0,"",Offerteblad!C62)</f>
        <v/>
      </c>
      <c r="B50" s="378"/>
      <c r="C50" s="378" t="str">
        <f>IF(Offerteblad!C63=0,"",Offerteblad!C63)</f>
        <v/>
      </c>
      <c r="D50" s="378"/>
      <c r="E50" s="378"/>
      <c r="F50" s="378"/>
      <c r="G50" s="62"/>
      <c r="H50" s="112"/>
      <c r="I50" s="411"/>
      <c r="J50" s="411"/>
      <c r="K50" s="411"/>
    </row>
    <row r="51" spans="1:11" ht="15">
      <c r="A51" s="86" t="s">
        <v>83</v>
      </c>
      <c r="B51" s="410" t="str">
        <f>IF(Offerteblad!C65=0, "",Offerteblad!C65)</f>
        <v/>
      </c>
      <c r="C51" s="410"/>
      <c r="D51" s="410"/>
      <c r="E51" s="410"/>
      <c r="F51" s="410"/>
      <c r="G51" s="223"/>
      <c r="H51" s="93"/>
      <c r="I51" s="93"/>
      <c r="J51" s="93"/>
      <c r="K51" s="93"/>
    </row>
    <row r="52" spans="1:11" ht="15" customHeight="1">
      <c r="A52" s="398"/>
      <c r="B52" s="398"/>
      <c r="C52" s="398"/>
      <c r="D52" s="398"/>
      <c r="E52" s="398"/>
      <c r="F52" s="398"/>
      <c r="G52" s="398"/>
      <c r="H52" s="398"/>
      <c r="I52" s="398"/>
      <c r="J52" s="398"/>
      <c r="K52" s="398"/>
    </row>
    <row r="53" spans="1:11" ht="15">
      <c r="A53" s="108" t="s">
        <v>77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</row>
    <row r="54" spans="1:11" ht="15">
      <c r="A54" s="110" t="s">
        <v>157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</row>
    <row r="55" spans="1:11" ht="15">
      <c r="A55" s="33"/>
    </row>
  </sheetData>
  <sheetProtection password="E729" sheet="1" objects="1" scenarios="1" selectLockedCells="1"/>
  <mergeCells count="50">
    <mergeCell ref="A52:K52"/>
    <mergeCell ref="A40:I40"/>
    <mergeCell ref="J40:K40"/>
    <mergeCell ref="A45:I45"/>
    <mergeCell ref="E46:G46"/>
    <mergeCell ref="A44:B44"/>
    <mergeCell ref="B51:F51"/>
    <mergeCell ref="I50:K50"/>
    <mergeCell ref="J45:K45"/>
    <mergeCell ref="C42:I42"/>
    <mergeCell ref="C43:I43"/>
    <mergeCell ref="H49:I49"/>
    <mergeCell ref="H46:I46"/>
    <mergeCell ref="H47:I47"/>
    <mergeCell ref="A41:B41"/>
    <mergeCell ref="C41:I41"/>
    <mergeCell ref="I5:K5"/>
    <mergeCell ref="I6:K6"/>
    <mergeCell ref="I7:K7"/>
    <mergeCell ref="I8:K8"/>
    <mergeCell ref="I9:K9"/>
    <mergeCell ref="I10:K10"/>
    <mergeCell ref="I16:J16"/>
    <mergeCell ref="A38:I38"/>
    <mergeCell ref="A39:I39"/>
    <mergeCell ref="E16:F16"/>
    <mergeCell ref="A46:C46"/>
    <mergeCell ref="D47:G47"/>
    <mergeCell ref="J44:K44"/>
    <mergeCell ref="A50:B50"/>
    <mergeCell ref="C50:F50"/>
    <mergeCell ref="A49:F49"/>
    <mergeCell ref="A47:C47"/>
    <mergeCell ref="A48:F48"/>
    <mergeCell ref="J49:K49"/>
    <mergeCell ref="I12:K12"/>
    <mergeCell ref="I11:K11"/>
    <mergeCell ref="J46:K46"/>
    <mergeCell ref="J47:K47"/>
    <mergeCell ref="J48:K48"/>
    <mergeCell ref="J38:K38"/>
    <mergeCell ref="J39:K39"/>
    <mergeCell ref="J42:K42"/>
    <mergeCell ref="J43:K43"/>
    <mergeCell ref="J37:K37"/>
    <mergeCell ref="A37:I37"/>
    <mergeCell ref="J41:K41"/>
    <mergeCell ref="A42:B42"/>
    <mergeCell ref="H48:I48"/>
    <mergeCell ref="A43:B43"/>
  </mergeCells>
  <phoneticPr fontId="2" type="noConversion"/>
  <hyperlinks>
    <hyperlink ref="I12" r:id="rId1"/>
  </hyperlinks>
  <pageMargins left="0.19" right="0.19" top="0.56999999999999995" bottom="0.59" header="0.5" footer="0.46"/>
  <pageSetup paperSize="9" scale="90" orientation="portrait" horizontalDpi="4294967293" verticalDpi="300" r:id="rId2"/>
  <headerFooter alignWithMargins="0">
    <oddFooter>&amp;CBTW-nr: NL8153.29.635.B01</oddFooter>
  </headerFooter>
  <ignoredErrors>
    <ignoredError sqref="D3:D4" unlocked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P35"/>
  <sheetViews>
    <sheetView workbookViewId="0">
      <selection sqref="A1:XFD1048576"/>
    </sheetView>
  </sheetViews>
  <sheetFormatPr defaultColWidth="11.42578125" defaultRowHeight="12.75"/>
  <cols>
    <col min="1" max="1" width="14" style="135" bestFit="1" customWidth="1"/>
    <col min="2" max="2" width="11.42578125" style="135" customWidth="1"/>
    <col min="3" max="3" width="27.140625" style="135" bestFit="1" customWidth="1"/>
    <col min="4" max="7" width="11.42578125" style="135" customWidth="1"/>
    <col min="8" max="8" width="12.42578125" style="135" bestFit="1" customWidth="1"/>
    <col min="9" max="10" width="11.42578125" style="135" customWidth="1"/>
    <col min="11" max="11" width="20.42578125" style="135" customWidth="1"/>
    <col min="12" max="14" width="11.42578125" style="135" customWidth="1"/>
    <col min="15" max="15" width="12.28515625" style="135" customWidth="1"/>
    <col min="16" max="16384" width="11.42578125" style="135"/>
  </cols>
  <sheetData>
    <row r="1" spans="1:16">
      <c r="A1" s="135" t="s">
        <v>6</v>
      </c>
      <c r="C1" s="135" t="s">
        <v>6</v>
      </c>
      <c r="D1" s="135">
        <v>0</v>
      </c>
      <c r="H1" s="135" t="s">
        <v>6</v>
      </c>
      <c r="K1" s="135" t="s">
        <v>108</v>
      </c>
    </row>
    <row r="2" spans="1:16">
      <c r="A2" s="135" t="s">
        <v>7</v>
      </c>
      <c r="C2" s="135" t="s">
        <v>14</v>
      </c>
      <c r="D2" s="135">
        <v>34.950000000000003</v>
      </c>
      <c r="H2" s="135" t="s">
        <v>18</v>
      </c>
      <c r="O2" s="168" t="s">
        <v>170</v>
      </c>
      <c r="P2" s="168" t="s">
        <v>171</v>
      </c>
    </row>
    <row r="3" spans="1:16">
      <c r="A3" s="135" t="s">
        <v>8</v>
      </c>
      <c r="C3" s="135" t="s">
        <v>15</v>
      </c>
      <c r="D3" s="135">
        <v>36.950000000000003</v>
      </c>
      <c r="H3" s="135" t="s">
        <v>24</v>
      </c>
      <c r="K3" s="135" t="s">
        <v>6</v>
      </c>
      <c r="L3" s="135">
        <v>0</v>
      </c>
      <c r="N3" s="135">
        <v>0</v>
      </c>
      <c r="O3" s="135">
        <v>0</v>
      </c>
      <c r="P3" s="135">
        <v>0</v>
      </c>
    </row>
    <row r="4" spans="1:16">
      <c r="C4" s="135" t="s">
        <v>10</v>
      </c>
      <c r="D4" s="135">
        <v>39.950000000000003</v>
      </c>
      <c r="H4" s="135" t="s">
        <v>16</v>
      </c>
      <c r="K4" s="135" t="s">
        <v>18</v>
      </c>
      <c r="L4" s="135">
        <v>1</v>
      </c>
      <c r="N4" s="135">
        <v>1</v>
      </c>
      <c r="O4" s="169" t="s">
        <v>169</v>
      </c>
      <c r="P4" s="169" t="s">
        <v>169</v>
      </c>
    </row>
    <row r="5" spans="1:16">
      <c r="C5" s="135" t="s">
        <v>11</v>
      </c>
      <c r="D5" s="135">
        <v>42.95</v>
      </c>
      <c r="H5" s="135" t="s">
        <v>19</v>
      </c>
      <c r="K5" s="135" t="s">
        <v>24</v>
      </c>
      <c r="L5" s="135">
        <v>2</v>
      </c>
      <c r="N5" s="135">
        <v>2</v>
      </c>
      <c r="O5" s="135">
        <f>IF(blad3!$I$23&lt;10,15,0)</f>
        <v>15</v>
      </c>
      <c r="P5" s="169" t="s">
        <v>169</v>
      </c>
    </row>
    <row r="6" spans="1:16">
      <c r="C6" s="135" t="s">
        <v>12</v>
      </c>
      <c r="D6" s="135">
        <v>42.95</v>
      </c>
      <c r="H6" s="135" t="s">
        <v>17</v>
      </c>
      <c r="K6" s="135" t="s">
        <v>16</v>
      </c>
      <c r="L6" s="135">
        <v>3</v>
      </c>
      <c r="N6" s="135">
        <v>3</v>
      </c>
      <c r="O6" s="135">
        <f>IF(blad3!$I$23&lt;10,25,0)</f>
        <v>25</v>
      </c>
      <c r="P6" s="169" t="s">
        <v>169</v>
      </c>
    </row>
    <row r="7" spans="1:16">
      <c r="C7" s="135" t="s">
        <v>13</v>
      </c>
      <c r="D7" s="135">
        <v>45.95</v>
      </c>
      <c r="H7" s="135" t="s">
        <v>23</v>
      </c>
      <c r="K7" s="135" t="s">
        <v>19</v>
      </c>
      <c r="L7" s="135">
        <v>1</v>
      </c>
      <c r="N7" s="135">
        <v>4</v>
      </c>
      <c r="O7" s="135">
        <v>20</v>
      </c>
      <c r="P7" s="169" t="s">
        <v>169</v>
      </c>
    </row>
    <row r="8" spans="1:16">
      <c r="B8" s="135" t="s">
        <v>32</v>
      </c>
      <c r="C8" s="135" t="s">
        <v>33</v>
      </c>
      <c r="H8" s="135" t="s">
        <v>107</v>
      </c>
      <c r="K8" s="135" t="s">
        <v>17</v>
      </c>
      <c r="L8" s="135">
        <v>3</v>
      </c>
      <c r="N8" s="135">
        <v>5</v>
      </c>
      <c r="O8" s="169">
        <v>50</v>
      </c>
      <c r="P8" s="169">
        <v>25</v>
      </c>
    </row>
    <row r="9" spans="1:16">
      <c r="H9" s="135" t="s">
        <v>105</v>
      </c>
      <c r="K9" s="135" t="s">
        <v>23</v>
      </c>
      <c r="L9" s="135">
        <v>5</v>
      </c>
    </row>
    <row r="10" spans="1:16">
      <c r="A10" s="135" t="s">
        <v>6</v>
      </c>
      <c r="B10" s="135">
        <v>0</v>
      </c>
      <c r="C10" s="135">
        <v>0</v>
      </c>
      <c r="H10" s="135" t="s">
        <v>20</v>
      </c>
      <c r="K10" s="135" t="s">
        <v>107</v>
      </c>
      <c r="L10" s="135">
        <v>2</v>
      </c>
    </row>
    <row r="11" spans="1:16">
      <c r="A11" s="135" t="s">
        <v>28</v>
      </c>
      <c r="B11" s="170">
        <v>36.5</v>
      </c>
      <c r="C11" s="170">
        <v>5.8</v>
      </c>
      <c r="H11" s="135" t="s">
        <v>21</v>
      </c>
      <c r="K11" s="135" t="s">
        <v>105</v>
      </c>
      <c r="L11" s="135">
        <v>3</v>
      </c>
    </row>
    <row r="12" spans="1:16">
      <c r="A12" s="135" t="s">
        <v>26</v>
      </c>
      <c r="B12" s="170">
        <v>34.75</v>
      </c>
      <c r="C12" s="170">
        <v>5.5</v>
      </c>
      <c r="H12" s="135" t="s">
        <v>22</v>
      </c>
      <c r="K12" s="135" t="s">
        <v>20</v>
      </c>
      <c r="L12" s="135">
        <v>1</v>
      </c>
    </row>
    <row r="13" spans="1:16">
      <c r="A13" s="135" t="s">
        <v>27</v>
      </c>
      <c r="B13" s="170">
        <v>40.75</v>
      </c>
      <c r="C13" s="170">
        <v>6.25</v>
      </c>
      <c r="H13" s="135" t="s">
        <v>106</v>
      </c>
      <c r="K13" s="135" t="s">
        <v>21</v>
      </c>
      <c r="L13" s="135">
        <v>1</v>
      </c>
    </row>
    <row r="14" spans="1:16">
      <c r="A14" s="135" t="s">
        <v>25</v>
      </c>
      <c r="B14" s="170">
        <v>0</v>
      </c>
      <c r="C14" s="170">
        <v>0</v>
      </c>
      <c r="K14" s="135" t="s">
        <v>22</v>
      </c>
      <c r="L14" s="135">
        <v>5</v>
      </c>
    </row>
    <row r="15" spans="1:16">
      <c r="K15" s="135" t="s">
        <v>106</v>
      </c>
      <c r="L15" s="135">
        <v>5</v>
      </c>
    </row>
    <row r="16" spans="1:16">
      <c r="D16" s="135">
        <f>(40.55*0.6)*1.5</f>
        <v>36.494999999999997</v>
      </c>
    </row>
    <row r="17" spans="1:9">
      <c r="D17" s="135">
        <f>1.5*(6.45*0.6)</f>
        <v>5.8049999999999997</v>
      </c>
      <c r="H17" s="135" t="e">
        <f>VLOOKUP(Offerteblad!C52,bezorgen,2,TRUE)</f>
        <v>#N/A</v>
      </c>
      <c r="I17" s="135" t="s">
        <v>114</v>
      </c>
    </row>
    <row r="18" spans="1:9">
      <c r="H18" s="135">
        <f>VLOOKUP(Offerteblad!C64,bezorgen,2,TRUE)</f>
        <v>0</v>
      </c>
      <c r="I18" s="135" t="s">
        <v>115</v>
      </c>
    </row>
    <row r="20" spans="1:9">
      <c r="H20" s="135" t="e">
        <f>IF(blad3!I23&gt;=20, 0, (IF(blad3!I23&gt;=10,VLOOKUP(H17,bezorgkosten2,3,TRUE),VLOOKUP(H17,bezorgkosten,2,TRUE))))</f>
        <v>#N/A</v>
      </c>
      <c r="I20" s="135" t="s">
        <v>113</v>
      </c>
    </row>
    <row r="21" spans="1:9">
      <c r="H21" s="135">
        <f>IF(blad3!I23&gt;=20, 0, (IF(blad3!I23&gt;=10,VLOOKUP(H18,bezorgkosten2,3,TRUE),VLOOKUP(H18,bezorgkosten,2,TRUE))))</f>
        <v>0</v>
      </c>
      <c r="I21" s="135" t="s">
        <v>112</v>
      </c>
    </row>
    <row r="30" spans="1:9">
      <c r="A30" s="171" t="s">
        <v>153</v>
      </c>
    </row>
    <row r="31" spans="1:9">
      <c r="A31" s="135" t="s">
        <v>154</v>
      </c>
    </row>
    <row r="33" spans="1:1">
      <c r="A33" s="135" t="e">
        <f>CONCATENATE("U heeft Glasdiscount.nl toestemming gegeven om het factuurbedrag binnen 5-8 dagen na aflevering af te schrijven van rekeningnummer: ",Offerteblad!#REF!," (",Offerteblad!#REF!,")"," op naam van ", Offerteblad!#REF!, " (", Offerteblad!#REF!, ")")</f>
        <v>#REF!</v>
      </c>
    </row>
    <row r="34" spans="1:1">
      <c r="A34" s="135" t="s">
        <v>159</v>
      </c>
    </row>
    <row r="35" spans="1:1">
      <c r="A35" s="135" t="s">
        <v>160</v>
      </c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Z260"/>
  <sheetViews>
    <sheetView topLeftCell="O1" workbookViewId="0">
      <selection activeCell="O1" sqref="A1:XFD1048576"/>
    </sheetView>
  </sheetViews>
  <sheetFormatPr defaultColWidth="11.42578125" defaultRowHeight="12.75"/>
  <cols>
    <col min="1" max="1" width="46.140625" style="173" customWidth="1"/>
    <col min="2" max="2" width="20.85546875" style="173" customWidth="1"/>
    <col min="3" max="4" width="11.42578125" style="173" customWidth="1"/>
    <col min="5" max="5" width="33.28515625" style="173" bestFit="1" customWidth="1"/>
    <col min="6" max="6" width="21.42578125" style="173" customWidth="1"/>
    <col min="7" max="7" width="22.42578125" style="173" bestFit="1" customWidth="1"/>
    <col min="8" max="10" width="11.42578125" style="173" customWidth="1"/>
    <col min="11" max="11" width="24.85546875" style="173" customWidth="1"/>
    <col min="12" max="12" width="12" style="173" customWidth="1"/>
    <col min="13" max="14" width="11.42578125" style="173" customWidth="1"/>
    <col min="15" max="15" width="39.42578125" style="173" customWidth="1"/>
    <col min="16" max="19" width="11.42578125" style="173" customWidth="1"/>
    <col min="20" max="20" width="33.28515625" style="173" customWidth="1"/>
    <col min="21" max="16384" width="11.42578125" style="173"/>
  </cols>
  <sheetData>
    <row r="1" spans="1:26" ht="51.75" customHeight="1">
      <c r="A1" s="172" t="s">
        <v>34</v>
      </c>
      <c r="B1" s="172" t="s">
        <v>38</v>
      </c>
      <c r="F1" s="174" t="s">
        <v>35</v>
      </c>
      <c r="G1" s="174" t="s">
        <v>36</v>
      </c>
      <c r="H1" s="173" t="s">
        <v>168</v>
      </c>
      <c r="K1" s="175" t="s">
        <v>56</v>
      </c>
      <c r="L1" s="175" t="s">
        <v>57</v>
      </c>
      <c r="M1" s="175" t="s">
        <v>58</v>
      </c>
      <c r="N1" s="175"/>
      <c r="O1" s="173" t="s">
        <v>94</v>
      </c>
      <c r="P1" s="173">
        <v>0</v>
      </c>
    </row>
    <row r="2" spans="1:26">
      <c r="A2" s="176" t="s">
        <v>40</v>
      </c>
      <c r="B2" s="177">
        <v>0</v>
      </c>
      <c r="C2" s="178"/>
      <c r="D2" s="179">
        <v>0</v>
      </c>
      <c r="E2" s="173" t="s">
        <v>40</v>
      </c>
      <c r="F2" s="173">
        <v>0</v>
      </c>
      <c r="G2" s="173">
        <v>0</v>
      </c>
      <c r="H2" s="173">
        <v>0</v>
      </c>
      <c r="K2" s="173" t="s">
        <v>6</v>
      </c>
      <c r="L2" s="173">
        <v>0</v>
      </c>
      <c r="M2" s="173">
        <v>0</v>
      </c>
      <c r="O2" s="173" t="s">
        <v>95</v>
      </c>
      <c r="P2" s="180">
        <v>40</v>
      </c>
    </row>
    <row r="3" spans="1:26">
      <c r="A3" s="181" t="s">
        <v>230</v>
      </c>
      <c r="B3" s="182">
        <v>32</v>
      </c>
      <c r="C3" s="183"/>
      <c r="D3" s="184">
        <v>0.5</v>
      </c>
      <c r="E3" s="185" t="s">
        <v>212</v>
      </c>
      <c r="F3" s="186">
        <v>37.950000000000003</v>
      </c>
      <c r="G3" s="186">
        <v>6</v>
      </c>
      <c r="H3" s="173">
        <v>80</v>
      </c>
      <c r="I3" s="187"/>
      <c r="K3" s="188" t="s">
        <v>59</v>
      </c>
      <c r="L3" s="180">
        <f t="shared" ref="L3:L13" si="0">M3/4</f>
        <v>1.4375</v>
      </c>
      <c r="M3" s="180">
        <v>5.75</v>
      </c>
      <c r="O3" s="173" t="s">
        <v>96</v>
      </c>
      <c r="P3" s="180">
        <v>3.6</v>
      </c>
      <c r="R3" s="173" t="s">
        <v>86</v>
      </c>
      <c r="T3" s="173" t="s">
        <v>137</v>
      </c>
      <c r="V3" s="173" t="s">
        <v>197</v>
      </c>
      <c r="W3" s="173">
        <v>0</v>
      </c>
      <c r="X3" s="173">
        <v>0</v>
      </c>
      <c r="Y3" s="173">
        <v>0</v>
      </c>
      <c r="Z3" s="173" t="s">
        <v>207</v>
      </c>
    </row>
    <row r="4" spans="1:26">
      <c r="A4" s="181" t="s">
        <v>231</v>
      </c>
      <c r="B4" s="182">
        <v>52</v>
      </c>
      <c r="C4" s="183"/>
      <c r="D4" s="184">
        <v>0.5</v>
      </c>
      <c r="E4" s="185" t="s">
        <v>214</v>
      </c>
      <c r="F4" s="186">
        <v>50.6</v>
      </c>
      <c r="G4" s="186">
        <v>8.8000000000000007</v>
      </c>
      <c r="H4" s="173">
        <v>80</v>
      </c>
      <c r="I4" s="187"/>
      <c r="K4" s="188" t="s">
        <v>60</v>
      </c>
      <c r="L4" s="180">
        <f t="shared" si="0"/>
        <v>1.4750000000000001</v>
      </c>
      <c r="M4" s="180">
        <v>5.9</v>
      </c>
      <c r="O4" s="173" t="s">
        <v>93</v>
      </c>
      <c r="P4" s="180">
        <v>62.5</v>
      </c>
      <c r="R4" s="173" t="s">
        <v>87</v>
      </c>
      <c r="T4" s="173" t="s">
        <v>103</v>
      </c>
      <c r="V4" s="173" t="s">
        <v>198</v>
      </c>
      <c r="W4" s="173">
        <v>1</v>
      </c>
      <c r="X4" s="173">
        <v>0.05</v>
      </c>
      <c r="Y4" s="189">
        <v>0.05</v>
      </c>
      <c r="Z4" s="190" t="s">
        <v>202</v>
      </c>
    </row>
    <row r="5" spans="1:26">
      <c r="A5" s="181" t="s">
        <v>232</v>
      </c>
      <c r="B5" s="182">
        <v>40</v>
      </c>
      <c r="C5" s="183"/>
      <c r="D5" s="184">
        <v>0.5</v>
      </c>
      <c r="E5" s="185" t="s">
        <v>213</v>
      </c>
      <c r="F5" s="186">
        <v>40.15</v>
      </c>
      <c r="G5" s="186">
        <v>6.6</v>
      </c>
      <c r="H5" s="173">
        <v>80</v>
      </c>
      <c r="I5" s="187"/>
      <c r="K5" s="188" t="s">
        <v>61</v>
      </c>
      <c r="L5" s="180">
        <f t="shared" si="0"/>
        <v>1.4750000000000001</v>
      </c>
      <c r="M5" s="180">
        <v>5.9</v>
      </c>
      <c r="O5" s="173" t="s">
        <v>91</v>
      </c>
      <c r="P5" s="180">
        <v>5.6</v>
      </c>
      <c r="R5" s="173" t="s">
        <v>88</v>
      </c>
      <c r="T5" s="173" t="s">
        <v>128</v>
      </c>
      <c r="V5" s="173" t="s">
        <v>199</v>
      </c>
      <c r="W5" s="173">
        <v>2</v>
      </c>
      <c r="X5" s="173">
        <v>0.1</v>
      </c>
      <c r="Y5" s="189">
        <v>0.1</v>
      </c>
      <c r="Z5" s="190" t="s">
        <v>203</v>
      </c>
    </row>
    <row r="6" spans="1:26">
      <c r="A6" s="181" t="s">
        <v>233</v>
      </c>
      <c r="B6" s="182">
        <v>39</v>
      </c>
      <c r="C6" s="183"/>
      <c r="D6" s="184">
        <v>0.5</v>
      </c>
      <c r="E6" s="185" t="s">
        <v>215</v>
      </c>
      <c r="F6" s="186">
        <v>42.35</v>
      </c>
      <c r="G6" s="186">
        <v>6</v>
      </c>
      <c r="H6" s="173">
        <v>80</v>
      </c>
      <c r="I6" s="187"/>
      <c r="K6" s="191" t="s">
        <v>67</v>
      </c>
      <c r="L6" s="180">
        <f t="shared" si="0"/>
        <v>5.875</v>
      </c>
      <c r="M6" s="180">
        <v>23.5</v>
      </c>
      <c r="R6" s="173" t="s">
        <v>89</v>
      </c>
      <c r="T6" s="173" t="s">
        <v>94</v>
      </c>
      <c r="V6" s="173" t="s">
        <v>200</v>
      </c>
      <c r="W6" s="173">
        <v>3</v>
      </c>
      <c r="X6" s="173">
        <v>0.15</v>
      </c>
      <c r="Y6" s="189">
        <v>0.15</v>
      </c>
      <c r="Z6" s="190" t="s">
        <v>204</v>
      </c>
    </row>
    <row r="7" spans="1:26">
      <c r="A7" s="181" t="s">
        <v>234</v>
      </c>
      <c r="B7" s="182">
        <v>60</v>
      </c>
      <c r="C7" s="183"/>
      <c r="D7" s="184">
        <v>0.5</v>
      </c>
      <c r="E7" s="185" t="s">
        <v>217</v>
      </c>
      <c r="F7" s="186">
        <v>62.7</v>
      </c>
      <c r="G7" s="186">
        <v>8.8000000000000007</v>
      </c>
      <c r="H7" s="173">
        <v>80</v>
      </c>
      <c r="I7" s="187"/>
      <c r="K7" s="191" t="s">
        <v>68</v>
      </c>
      <c r="L7" s="180">
        <f t="shared" si="0"/>
        <v>6.3125</v>
      </c>
      <c r="M7" s="180">
        <v>25.25</v>
      </c>
      <c r="V7" s="173" t="s">
        <v>201</v>
      </c>
      <c r="W7" s="173">
        <v>4</v>
      </c>
      <c r="X7" s="173">
        <v>0.2</v>
      </c>
      <c r="Y7" s="189">
        <v>0.2</v>
      </c>
      <c r="Z7" s="190" t="s">
        <v>205</v>
      </c>
    </row>
    <row r="8" spans="1:26">
      <c r="A8" s="181" t="s">
        <v>235</v>
      </c>
      <c r="B8" s="182">
        <v>45</v>
      </c>
      <c r="C8" s="183"/>
      <c r="D8" s="184">
        <v>0.5</v>
      </c>
      <c r="E8" s="185" t="s">
        <v>216</v>
      </c>
      <c r="F8" s="186">
        <v>45</v>
      </c>
      <c r="G8" s="186">
        <v>6.6</v>
      </c>
      <c r="H8" s="173">
        <v>80</v>
      </c>
      <c r="I8" s="187"/>
      <c r="K8" s="191" t="s">
        <v>69</v>
      </c>
      <c r="L8" s="180">
        <f t="shared" si="0"/>
        <v>6.5</v>
      </c>
      <c r="M8" s="180">
        <v>26</v>
      </c>
    </row>
    <row r="9" spans="1:26">
      <c r="A9" s="181" t="s">
        <v>236</v>
      </c>
      <c r="B9" s="182">
        <v>70</v>
      </c>
      <c r="C9" s="183"/>
      <c r="D9" s="184">
        <v>0.5</v>
      </c>
      <c r="E9" s="185" t="s">
        <v>218</v>
      </c>
      <c r="F9" s="186">
        <v>37.950000000000003</v>
      </c>
      <c r="G9" s="186">
        <v>6</v>
      </c>
      <c r="H9" s="173">
        <v>80</v>
      </c>
      <c r="I9" s="187"/>
      <c r="K9" s="191" t="s">
        <v>62</v>
      </c>
      <c r="L9" s="180">
        <f t="shared" si="0"/>
        <v>1.8125</v>
      </c>
      <c r="M9" s="180">
        <v>7.25</v>
      </c>
      <c r="V9" s="173" t="s">
        <v>206</v>
      </c>
    </row>
    <row r="10" spans="1:26">
      <c r="A10" s="181" t="s">
        <v>237</v>
      </c>
      <c r="B10" s="182">
        <v>72</v>
      </c>
      <c r="C10" s="183"/>
      <c r="D10" s="184">
        <v>0.5</v>
      </c>
      <c r="E10" s="185" t="s">
        <v>219</v>
      </c>
      <c r="F10" s="186">
        <v>52</v>
      </c>
      <c r="G10" s="186">
        <v>8.8000000000000007</v>
      </c>
      <c r="H10" s="173">
        <v>80</v>
      </c>
      <c r="I10" s="187"/>
      <c r="K10" s="191" t="s">
        <v>63</v>
      </c>
      <c r="L10" s="180">
        <f t="shared" si="0"/>
        <v>2</v>
      </c>
      <c r="M10" s="180">
        <v>8</v>
      </c>
      <c r="V10" s="173">
        <f>IF(Offerteblad!O31=0,0,IF(Offerteblad!O31&lt;7.5,0,IF(Offerteblad!O31&lt;15,1,IF(Offerteblad!O31&lt;22.5,2,IF(Offerteblad!O31&lt;30,3,4)))))</f>
        <v>0</v>
      </c>
      <c r="W10" s="173">
        <f>VLOOKUP(V10,W3:Z7,2,0)</f>
        <v>0</v>
      </c>
      <c r="X10" s="173" t="str">
        <f>VLOOKUP($V$10,W3:Z7,4,0)</f>
        <v>Korting</v>
      </c>
    </row>
    <row r="11" spans="1:26">
      <c r="A11" s="181" t="s">
        <v>238</v>
      </c>
      <c r="B11" s="182">
        <v>47</v>
      </c>
      <c r="C11" s="183"/>
      <c r="D11" s="184">
        <v>0.5</v>
      </c>
      <c r="E11" s="185" t="s">
        <v>220</v>
      </c>
      <c r="F11" s="186">
        <v>37</v>
      </c>
      <c r="G11" s="186">
        <v>6.6</v>
      </c>
      <c r="H11" s="173">
        <v>80</v>
      </c>
      <c r="I11" s="187"/>
      <c r="K11" s="191" t="s">
        <v>65</v>
      </c>
      <c r="L11" s="180">
        <f t="shared" si="0"/>
        <v>2.1875</v>
      </c>
      <c r="M11" s="180">
        <v>8.75</v>
      </c>
    </row>
    <row r="12" spans="1:26">
      <c r="A12" s="181" t="s">
        <v>239</v>
      </c>
      <c r="B12" s="182">
        <v>55</v>
      </c>
      <c r="C12" s="183"/>
      <c r="D12" s="184">
        <v>0.5</v>
      </c>
      <c r="E12" s="185" t="s">
        <v>221</v>
      </c>
      <c r="F12" s="186">
        <v>42.35</v>
      </c>
      <c r="G12" s="186">
        <v>6</v>
      </c>
      <c r="H12" s="173">
        <v>80</v>
      </c>
      <c r="I12" s="187"/>
      <c r="K12" s="191" t="s">
        <v>66</v>
      </c>
      <c r="L12" s="180">
        <f t="shared" si="0"/>
        <v>2.625</v>
      </c>
      <c r="M12" s="180">
        <v>10.5</v>
      </c>
      <c r="T12" s="173" t="s">
        <v>6</v>
      </c>
    </row>
    <row r="13" spans="1:26">
      <c r="A13" s="181" t="s">
        <v>240</v>
      </c>
      <c r="B13" s="182">
        <v>76</v>
      </c>
      <c r="C13" s="183"/>
      <c r="D13" s="184">
        <v>0.5</v>
      </c>
      <c r="E13" s="185" t="s">
        <v>222</v>
      </c>
      <c r="F13" s="186">
        <v>62.7</v>
      </c>
      <c r="G13" s="186">
        <v>8.8000000000000007</v>
      </c>
      <c r="H13" s="173">
        <v>80</v>
      </c>
      <c r="I13" s="187"/>
      <c r="K13" s="191" t="s">
        <v>64</v>
      </c>
      <c r="L13" s="180">
        <f t="shared" si="0"/>
        <v>2.125</v>
      </c>
      <c r="M13" s="180">
        <v>8.5</v>
      </c>
      <c r="T13" s="173" t="s">
        <v>139</v>
      </c>
    </row>
    <row r="14" spans="1:26">
      <c r="A14" s="181" t="s">
        <v>241</v>
      </c>
      <c r="B14" s="182">
        <v>82</v>
      </c>
      <c r="C14" s="183"/>
      <c r="D14" s="184">
        <v>0.5</v>
      </c>
      <c r="E14" s="185" t="s">
        <v>223</v>
      </c>
      <c r="F14" s="186">
        <v>45</v>
      </c>
      <c r="G14" s="186">
        <v>6.6</v>
      </c>
      <c r="H14" s="173">
        <v>80</v>
      </c>
      <c r="I14" s="187"/>
      <c r="T14" s="173" t="s">
        <v>140</v>
      </c>
    </row>
    <row r="15" spans="1:26">
      <c r="A15" s="181" t="s">
        <v>242</v>
      </c>
      <c r="B15" s="182">
        <v>63</v>
      </c>
      <c r="C15" s="183"/>
      <c r="D15" s="184">
        <v>0.5</v>
      </c>
      <c r="E15" s="185" t="s">
        <v>209</v>
      </c>
      <c r="F15" s="186">
        <v>39.6</v>
      </c>
      <c r="G15" s="186">
        <v>6</v>
      </c>
      <c r="H15" s="173">
        <v>120</v>
      </c>
      <c r="I15" s="187"/>
    </row>
    <row r="16" spans="1:26">
      <c r="A16" s="181" t="s">
        <v>243</v>
      </c>
      <c r="B16" s="182">
        <v>83</v>
      </c>
      <c r="C16" s="183"/>
      <c r="D16" s="184">
        <v>0.5</v>
      </c>
      <c r="E16" s="185" t="s">
        <v>211</v>
      </c>
      <c r="F16" s="186">
        <v>57.75</v>
      </c>
      <c r="G16" s="186">
        <v>8.8000000000000007</v>
      </c>
      <c r="H16" s="173">
        <v>120</v>
      </c>
      <c r="I16" s="187"/>
    </row>
    <row r="17" spans="1:20">
      <c r="A17" s="181" t="s">
        <v>244</v>
      </c>
      <c r="B17" s="182">
        <v>100</v>
      </c>
      <c r="C17" s="183"/>
      <c r="D17" s="184">
        <v>0.5</v>
      </c>
      <c r="E17" s="185" t="s">
        <v>210</v>
      </c>
      <c r="F17" s="186">
        <v>42.9</v>
      </c>
      <c r="G17" s="186">
        <v>6.6</v>
      </c>
      <c r="H17" s="173">
        <v>120</v>
      </c>
      <c r="I17" s="187"/>
    </row>
    <row r="18" spans="1:20">
      <c r="A18" s="181" t="s">
        <v>245</v>
      </c>
      <c r="B18" s="182">
        <v>90</v>
      </c>
      <c r="C18" s="183"/>
      <c r="D18" s="184">
        <v>0.5</v>
      </c>
      <c r="E18" s="192" t="s">
        <v>176</v>
      </c>
      <c r="F18" s="180">
        <v>47</v>
      </c>
      <c r="G18" s="180">
        <v>6</v>
      </c>
      <c r="H18" s="173">
        <v>75</v>
      </c>
      <c r="I18" s="187"/>
      <c r="T18" s="173" t="s">
        <v>152</v>
      </c>
    </row>
    <row r="19" spans="1:20">
      <c r="A19" s="181" t="s">
        <v>246</v>
      </c>
      <c r="B19" s="182">
        <v>90</v>
      </c>
      <c r="C19" s="183"/>
      <c r="D19" s="184">
        <v>0.5</v>
      </c>
      <c r="E19" s="192" t="s">
        <v>177</v>
      </c>
      <c r="F19" s="180">
        <v>56.4</v>
      </c>
      <c r="G19" s="180">
        <v>7.2</v>
      </c>
      <c r="H19" s="173">
        <v>75</v>
      </c>
      <c r="I19" s="187"/>
      <c r="T19" s="173" t="s">
        <v>141</v>
      </c>
    </row>
    <row r="20" spans="1:20">
      <c r="A20" s="181" t="s">
        <v>247</v>
      </c>
      <c r="B20" s="182">
        <v>98</v>
      </c>
      <c r="C20" s="183"/>
      <c r="D20" s="184">
        <v>0.5</v>
      </c>
      <c r="E20" s="192" t="s">
        <v>178</v>
      </c>
      <c r="F20" s="180">
        <v>50.76</v>
      </c>
      <c r="G20" s="173">
        <v>6.48</v>
      </c>
      <c r="H20" s="173">
        <v>75</v>
      </c>
      <c r="I20" s="187"/>
      <c r="T20" s="164" t="s">
        <v>142</v>
      </c>
    </row>
    <row r="21" spans="1:20">
      <c r="A21" s="181" t="s">
        <v>248</v>
      </c>
      <c r="B21" s="182">
        <v>105</v>
      </c>
      <c r="C21" s="183"/>
      <c r="D21" s="184">
        <v>0.5</v>
      </c>
      <c r="E21" s="192" t="s">
        <v>179</v>
      </c>
      <c r="F21" s="180">
        <v>47</v>
      </c>
      <c r="G21" s="180">
        <v>6</v>
      </c>
      <c r="H21" s="173">
        <v>75</v>
      </c>
      <c r="T21" s="164" t="s">
        <v>143</v>
      </c>
    </row>
    <row r="22" spans="1:20">
      <c r="A22" s="181" t="s">
        <v>249</v>
      </c>
      <c r="B22" s="182">
        <v>110</v>
      </c>
      <c r="C22" s="183"/>
      <c r="D22" s="184">
        <v>0.5</v>
      </c>
      <c r="E22" s="192" t="s">
        <v>181</v>
      </c>
      <c r="F22" s="180">
        <v>56.4</v>
      </c>
      <c r="G22" s="180">
        <v>7.2</v>
      </c>
      <c r="H22" s="173">
        <v>75</v>
      </c>
      <c r="T22" s="164" t="s">
        <v>144</v>
      </c>
    </row>
    <row r="23" spans="1:20">
      <c r="A23" s="181" t="s">
        <v>250</v>
      </c>
      <c r="B23" s="182">
        <v>118</v>
      </c>
      <c r="C23" s="183"/>
      <c r="D23" s="184">
        <v>0.5</v>
      </c>
      <c r="E23" s="192" t="s">
        <v>180</v>
      </c>
      <c r="F23" s="180">
        <v>50.76</v>
      </c>
      <c r="G23" s="173">
        <v>6.48</v>
      </c>
      <c r="H23" s="173">
        <v>75</v>
      </c>
      <c r="T23" s="164" t="s">
        <v>145</v>
      </c>
    </row>
    <row r="24" spans="1:20">
      <c r="A24" s="181" t="s">
        <v>251</v>
      </c>
      <c r="B24" s="182">
        <v>165</v>
      </c>
      <c r="C24" s="183"/>
      <c r="D24" s="184">
        <v>0.5</v>
      </c>
      <c r="E24" s="192" t="s">
        <v>182</v>
      </c>
      <c r="F24" s="180">
        <v>47</v>
      </c>
      <c r="G24" s="180">
        <v>6</v>
      </c>
      <c r="H24" s="173">
        <v>75</v>
      </c>
      <c r="T24" s="164" t="s">
        <v>146</v>
      </c>
    </row>
    <row r="25" spans="1:20">
      <c r="A25" s="181" t="s">
        <v>252</v>
      </c>
      <c r="B25" s="182">
        <v>187</v>
      </c>
      <c r="C25" s="183"/>
      <c r="D25" s="184">
        <v>0.5</v>
      </c>
      <c r="E25" s="192" t="s">
        <v>184</v>
      </c>
      <c r="F25" s="180">
        <v>56.4</v>
      </c>
      <c r="G25" s="180">
        <v>7.2</v>
      </c>
      <c r="H25" s="173">
        <v>75</v>
      </c>
      <c r="L25" s="177"/>
      <c r="M25" s="187"/>
      <c r="T25" s="164" t="s">
        <v>147</v>
      </c>
    </row>
    <row r="26" spans="1:20">
      <c r="A26" s="173" t="s">
        <v>254</v>
      </c>
      <c r="B26" s="193">
        <v>35</v>
      </c>
      <c r="D26" s="184">
        <v>0.5</v>
      </c>
      <c r="E26" s="192" t="s">
        <v>183</v>
      </c>
      <c r="F26" s="180">
        <v>50.76</v>
      </c>
      <c r="G26" s="173">
        <v>6.48</v>
      </c>
      <c r="H26" s="173">
        <v>75</v>
      </c>
      <c r="L26" s="177"/>
      <c r="M26" s="187"/>
      <c r="T26" s="164" t="s">
        <v>148</v>
      </c>
    </row>
    <row r="27" spans="1:20">
      <c r="A27" s="173" t="s">
        <v>255</v>
      </c>
      <c r="B27" s="193">
        <v>42</v>
      </c>
      <c r="D27" s="184">
        <v>0.5</v>
      </c>
      <c r="E27" s="192" t="s">
        <v>185</v>
      </c>
      <c r="F27" s="180">
        <v>47</v>
      </c>
      <c r="G27" s="180">
        <v>6</v>
      </c>
      <c r="H27" s="173">
        <v>75</v>
      </c>
      <c r="L27" s="177"/>
      <c r="M27" s="187"/>
      <c r="T27" s="164" t="s">
        <v>149</v>
      </c>
    </row>
    <row r="28" spans="1:20">
      <c r="A28" s="173" t="s">
        <v>256</v>
      </c>
      <c r="B28" s="193">
        <v>47</v>
      </c>
      <c r="D28" s="184">
        <v>0.5</v>
      </c>
      <c r="E28" s="192" t="s">
        <v>187</v>
      </c>
      <c r="F28" s="180">
        <v>56.4</v>
      </c>
      <c r="G28" s="180">
        <v>7.2</v>
      </c>
      <c r="H28" s="173">
        <v>75</v>
      </c>
      <c r="L28" s="177"/>
      <c r="M28" s="187"/>
      <c r="T28" s="164" t="s">
        <v>150</v>
      </c>
    </row>
    <row r="29" spans="1:20">
      <c r="A29" s="173" t="s">
        <v>257</v>
      </c>
      <c r="B29" s="193">
        <v>60</v>
      </c>
      <c r="D29" s="184">
        <v>0.5</v>
      </c>
      <c r="E29" s="192" t="s">
        <v>186</v>
      </c>
      <c r="F29" s="180">
        <v>50.76</v>
      </c>
      <c r="G29" s="173">
        <v>6.48</v>
      </c>
      <c r="H29" s="173">
        <v>75</v>
      </c>
      <c r="L29" s="177"/>
      <c r="M29" s="187"/>
      <c r="T29" s="164" t="s">
        <v>151</v>
      </c>
    </row>
    <row r="30" spans="1:20">
      <c r="A30" s="194" t="s">
        <v>258</v>
      </c>
      <c r="B30" s="182">
        <v>75</v>
      </c>
      <c r="C30" s="183"/>
      <c r="D30" s="184">
        <v>0.5</v>
      </c>
      <c r="E30" s="192" t="s">
        <v>188</v>
      </c>
      <c r="F30" s="180">
        <v>47</v>
      </c>
      <c r="G30" s="180">
        <v>6</v>
      </c>
      <c r="H30" s="173">
        <v>88</v>
      </c>
      <c r="L30" s="177"/>
      <c r="M30" s="187"/>
      <c r="T30" s="164"/>
    </row>
    <row r="31" spans="1:20">
      <c r="A31" s="194" t="s">
        <v>259</v>
      </c>
      <c r="B31" s="182">
        <v>97</v>
      </c>
      <c r="C31" s="183"/>
      <c r="D31" s="184">
        <v>0.5</v>
      </c>
      <c r="E31" s="192" t="s">
        <v>189</v>
      </c>
      <c r="F31" s="180">
        <v>50.76</v>
      </c>
      <c r="G31" s="173">
        <v>6.48</v>
      </c>
      <c r="H31" s="173">
        <v>88</v>
      </c>
      <c r="L31" s="177"/>
      <c r="M31" s="187"/>
      <c r="T31" s="164"/>
    </row>
    <row r="32" spans="1:20">
      <c r="A32" s="194" t="s">
        <v>260</v>
      </c>
      <c r="B32" s="182">
        <v>85</v>
      </c>
      <c r="C32" s="183"/>
      <c r="D32" s="184">
        <v>0.5</v>
      </c>
      <c r="E32" s="192" t="s">
        <v>190</v>
      </c>
      <c r="F32" s="180">
        <v>56.4</v>
      </c>
      <c r="G32" s="180">
        <v>7.2</v>
      </c>
      <c r="H32" s="173">
        <v>88</v>
      </c>
      <c r="L32" s="177"/>
      <c r="M32" s="187"/>
      <c r="T32" s="164"/>
    </row>
    <row r="33" spans="1:20">
      <c r="A33" s="194" t="s">
        <v>261</v>
      </c>
      <c r="B33" s="182">
        <v>95</v>
      </c>
      <c r="C33" s="183"/>
      <c r="D33" s="184">
        <v>0.5</v>
      </c>
      <c r="E33" s="192"/>
      <c r="F33" s="180"/>
      <c r="G33" s="180"/>
      <c r="L33" s="177"/>
      <c r="M33" s="187"/>
      <c r="T33" s="164"/>
    </row>
    <row r="34" spans="1:20">
      <c r="A34" s="194" t="s">
        <v>262</v>
      </c>
      <c r="B34" s="182">
        <v>109</v>
      </c>
      <c r="C34" s="183"/>
      <c r="D34" s="184">
        <v>0.5</v>
      </c>
      <c r="E34" s="192"/>
      <c r="F34" s="180"/>
      <c r="G34" s="180"/>
      <c r="L34" s="177"/>
      <c r="M34" s="187"/>
    </row>
    <row r="35" spans="1:20">
      <c r="A35" s="194" t="s">
        <v>263</v>
      </c>
      <c r="B35" s="182">
        <v>135</v>
      </c>
      <c r="C35" s="183"/>
      <c r="D35" s="184">
        <v>0.5</v>
      </c>
      <c r="E35" s="192"/>
      <c r="F35" s="180"/>
      <c r="G35" s="180"/>
      <c r="L35" s="177"/>
      <c r="M35" s="187"/>
    </row>
    <row r="36" spans="1:20" ht="12.75" customHeight="1">
      <c r="A36" s="194" t="s">
        <v>264</v>
      </c>
      <c r="B36" s="182">
        <v>155</v>
      </c>
      <c r="C36" s="183"/>
      <c r="D36" s="184">
        <v>0.5</v>
      </c>
      <c r="E36" s="192"/>
      <c r="F36" s="180"/>
      <c r="G36" s="180"/>
      <c r="L36" s="177"/>
      <c r="M36" s="187"/>
    </row>
    <row r="37" spans="1:20" ht="12.75" customHeight="1">
      <c r="A37" s="194" t="s">
        <v>265</v>
      </c>
      <c r="B37" s="182">
        <v>112.3</v>
      </c>
      <c r="C37" s="183"/>
      <c r="D37" s="184">
        <v>0.5</v>
      </c>
      <c r="L37" s="177"/>
      <c r="M37" s="187"/>
    </row>
    <row r="38" spans="1:20">
      <c r="A38" s="194" t="s">
        <v>266</v>
      </c>
      <c r="B38" s="182">
        <v>112.3</v>
      </c>
      <c r="C38" s="183"/>
      <c r="D38" s="184">
        <v>0.5</v>
      </c>
      <c r="L38" s="177"/>
      <c r="M38" s="187"/>
    </row>
    <row r="39" spans="1:20" ht="12.75" customHeight="1">
      <c r="A39" s="194" t="s">
        <v>267</v>
      </c>
      <c r="B39" s="182">
        <v>112.3</v>
      </c>
      <c r="C39" s="183"/>
      <c r="D39" s="184">
        <v>0.5</v>
      </c>
      <c r="L39" s="177"/>
      <c r="M39" s="187"/>
    </row>
    <row r="40" spans="1:20">
      <c r="A40" s="194" t="s">
        <v>269</v>
      </c>
      <c r="B40" s="195">
        <v>99</v>
      </c>
      <c r="C40" s="183"/>
      <c r="D40" s="184">
        <v>0.5</v>
      </c>
      <c r="L40" s="177"/>
      <c r="M40" s="187"/>
    </row>
    <row r="41" spans="1:20">
      <c r="A41" s="194" t="s">
        <v>268</v>
      </c>
      <c r="B41" s="195">
        <v>115</v>
      </c>
      <c r="C41" s="183"/>
      <c r="D41" s="184">
        <v>0.5</v>
      </c>
      <c r="L41" s="177"/>
      <c r="M41" s="187"/>
    </row>
    <row r="42" spans="1:20">
      <c r="A42" s="194" t="s">
        <v>270</v>
      </c>
      <c r="B42" s="195">
        <v>124</v>
      </c>
      <c r="C42" s="183"/>
      <c r="D42" s="184">
        <v>0.5</v>
      </c>
      <c r="L42" s="177"/>
      <c r="M42" s="187"/>
    </row>
    <row r="43" spans="1:20">
      <c r="A43" s="194" t="s">
        <v>271</v>
      </c>
      <c r="B43" s="195">
        <v>149</v>
      </c>
      <c r="C43" s="183"/>
      <c r="D43" s="184">
        <v>0.5</v>
      </c>
    </row>
    <row r="44" spans="1:20">
      <c r="A44" s="194" t="s">
        <v>272</v>
      </c>
      <c r="B44" s="195">
        <v>189</v>
      </c>
      <c r="C44" s="183"/>
      <c r="D44" s="184">
        <v>0.5</v>
      </c>
    </row>
    <row r="45" spans="1:20">
      <c r="A45" s="194" t="s">
        <v>273</v>
      </c>
      <c r="B45" s="195">
        <v>229</v>
      </c>
      <c r="C45" s="183"/>
      <c r="D45" s="184">
        <v>0.5</v>
      </c>
    </row>
    <row r="46" spans="1:20">
      <c r="A46" s="194"/>
      <c r="B46" s="195"/>
      <c r="C46" s="183"/>
      <c r="D46" s="184"/>
    </row>
    <row r="47" spans="1:20">
      <c r="A47" s="194"/>
      <c r="B47" s="195"/>
      <c r="C47" s="183"/>
      <c r="D47" s="184"/>
    </row>
    <row r="48" spans="1:20">
      <c r="A48" s="194"/>
      <c r="B48" s="195"/>
      <c r="C48" s="183"/>
      <c r="D48" s="184"/>
    </row>
    <row r="49" spans="1:6">
      <c r="A49" s="194"/>
      <c r="B49" s="195"/>
      <c r="C49" s="183"/>
      <c r="D49" s="184"/>
    </row>
    <row r="50" spans="1:6">
      <c r="A50" s="194"/>
      <c r="B50" s="195"/>
      <c r="C50" s="183"/>
      <c r="D50" s="184"/>
    </row>
    <row r="51" spans="1:6">
      <c r="A51" s="194"/>
      <c r="B51" s="195"/>
      <c r="C51" s="183"/>
      <c r="D51" s="179"/>
    </row>
    <row r="52" spans="1:6">
      <c r="A52" s="194"/>
      <c r="B52" s="195"/>
      <c r="C52" s="183"/>
      <c r="D52" s="184"/>
    </row>
    <row r="53" spans="1:6">
      <c r="A53" s="196"/>
      <c r="B53" s="195"/>
      <c r="C53" s="183"/>
      <c r="D53" s="184"/>
    </row>
    <row r="54" spans="1:6">
      <c r="A54" s="196"/>
      <c r="B54" s="195"/>
      <c r="C54" s="183"/>
      <c r="D54" s="184"/>
    </row>
    <row r="55" spans="1:6" ht="12.75" customHeight="1">
      <c r="A55" s="194"/>
      <c r="B55" s="195"/>
      <c r="C55" s="183"/>
      <c r="D55" s="184"/>
      <c r="E55" s="173" t="s">
        <v>122</v>
      </c>
      <c r="F55" s="173">
        <v>0</v>
      </c>
    </row>
    <row r="56" spans="1:6">
      <c r="A56" s="194"/>
      <c r="B56" s="195"/>
      <c r="C56" s="183"/>
      <c r="D56" s="184"/>
      <c r="E56" s="197" t="s">
        <v>120</v>
      </c>
      <c r="F56" s="173">
        <v>10.75</v>
      </c>
    </row>
    <row r="57" spans="1:6">
      <c r="A57" s="194"/>
      <c r="B57" s="195"/>
      <c r="C57" s="183"/>
      <c r="D57" s="184"/>
      <c r="E57" s="197" t="s">
        <v>123</v>
      </c>
      <c r="F57" s="173">
        <v>21</v>
      </c>
    </row>
    <row r="58" spans="1:6">
      <c r="A58" s="194"/>
      <c r="B58" s="195"/>
      <c r="C58" s="183"/>
      <c r="D58" s="179"/>
      <c r="E58" s="197" t="s">
        <v>121</v>
      </c>
      <c r="F58" s="173">
        <v>3.5</v>
      </c>
    </row>
    <row r="59" spans="1:6">
      <c r="A59" s="194"/>
      <c r="B59" s="195"/>
      <c r="C59" s="183"/>
      <c r="D59" s="184"/>
      <c r="E59" s="197" t="s">
        <v>116</v>
      </c>
      <c r="F59" s="173">
        <v>4.5</v>
      </c>
    </row>
    <row r="60" spans="1:6">
      <c r="A60" s="194"/>
      <c r="B60" s="195"/>
      <c r="C60" s="183"/>
      <c r="D60" s="184"/>
      <c r="E60" s="197" t="s">
        <v>117</v>
      </c>
      <c r="F60" s="173">
        <v>8.5</v>
      </c>
    </row>
    <row r="61" spans="1:6">
      <c r="A61" s="194"/>
      <c r="B61" s="195"/>
      <c r="C61" s="183"/>
      <c r="D61" s="184"/>
      <c r="E61" s="197" t="s">
        <v>118</v>
      </c>
      <c r="F61" s="173">
        <v>12.5</v>
      </c>
    </row>
    <row r="62" spans="1:6">
      <c r="A62" s="194"/>
      <c r="B62" s="195"/>
      <c r="C62" s="183"/>
      <c r="D62" s="184"/>
      <c r="E62" s="197" t="s">
        <v>119</v>
      </c>
      <c r="F62" s="173">
        <v>16</v>
      </c>
    </row>
    <row r="63" spans="1:6">
      <c r="A63" s="194"/>
      <c r="B63" s="195"/>
      <c r="C63" s="183"/>
      <c r="D63" s="184"/>
      <c r="E63" s="197"/>
    </row>
    <row r="64" spans="1:6">
      <c r="A64" s="194"/>
      <c r="B64" s="195"/>
      <c r="C64" s="183"/>
      <c r="D64" s="184"/>
      <c r="E64" s="197"/>
    </row>
    <row r="65" spans="1:4">
      <c r="A65" s="194"/>
      <c r="B65" s="195"/>
      <c r="C65" s="183"/>
      <c r="D65" s="179"/>
    </row>
    <row r="66" spans="1:4">
      <c r="A66" s="194"/>
      <c r="B66" s="195"/>
      <c r="C66" s="183"/>
      <c r="D66" s="184"/>
    </row>
    <row r="67" spans="1:4">
      <c r="A67" s="194"/>
      <c r="B67" s="195"/>
      <c r="C67" s="183"/>
      <c r="D67" s="184"/>
    </row>
    <row r="68" spans="1:4">
      <c r="A68" s="194"/>
      <c r="B68" s="195"/>
      <c r="C68" s="183"/>
      <c r="D68" s="184"/>
    </row>
    <row r="69" spans="1:4">
      <c r="A69" s="194"/>
      <c r="B69" s="195"/>
      <c r="C69" s="183"/>
      <c r="D69" s="184"/>
    </row>
    <row r="70" spans="1:4">
      <c r="A70" s="188"/>
      <c r="B70" s="198"/>
      <c r="C70" s="183"/>
      <c r="D70" s="184"/>
    </row>
    <row r="71" spans="1:4">
      <c r="A71" s="188"/>
      <c r="B71" s="199"/>
      <c r="C71" s="183"/>
      <c r="D71" s="184"/>
    </row>
    <row r="72" spans="1:4">
      <c r="A72" s="188"/>
      <c r="B72" s="199"/>
      <c r="C72" s="183"/>
      <c r="D72" s="184"/>
    </row>
    <row r="73" spans="1:4">
      <c r="A73" s="200"/>
      <c r="B73" s="199"/>
      <c r="C73" s="183"/>
      <c r="D73" s="184"/>
    </row>
    <row r="74" spans="1:4">
      <c r="A74" s="200"/>
      <c r="B74" s="199"/>
      <c r="C74" s="183"/>
      <c r="D74" s="184"/>
    </row>
    <row r="75" spans="1:4">
      <c r="A75" s="200"/>
      <c r="B75" s="199"/>
      <c r="C75" s="183"/>
      <c r="D75" s="179"/>
    </row>
    <row r="76" spans="1:4">
      <c r="A76" s="200"/>
      <c r="B76" s="199"/>
      <c r="C76" s="183"/>
      <c r="D76" s="184"/>
    </row>
    <row r="77" spans="1:4">
      <c r="A77" s="200"/>
      <c r="B77" s="199"/>
      <c r="C77" s="183"/>
      <c r="D77" s="184"/>
    </row>
    <row r="78" spans="1:4">
      <c r="A78" s="200"/>
      <c r="B78" s="199"/>
      <c r="C78" s="183"/>
      <c r="D78" s="184"/>
    </row>
    <row r="79" spans="1:4">
      <c r="A79" s="200"/>
      <c r="B79" s="199"/>
      <c r="C79" s="183"/>
      <c r="D79" s="184"/>
    </row>
    <row r="80" spans="1:4">
      <c r="A80" s="200"/>
      <c r="B80" s="199"/>
      <c r="C80" s="183"/>
      <c r="D80" s="184"/>
    </row>
    <row r="81" spans="1:4">
      <c r="A81" s="181"/>
      <c r="B81" s="182"/>
      <c r="C81" s="183"/>
      <c r="D81" s="184"/>
    </row>
    <row r="82" spans="1:4">
      <c r="A82" s="181"/>
      <c r="B82" s="182"/>
      <c r="C82" s="183"/>
      <c r="D82" s="179"/>
    </row>
    <row r="83" spans="1:4">
      <c r="A83" s="181"/>
      <c r="B83" s="182"/>
      <c r="C83" s="183"/>
      <c r="D83" s="184"/>
    </row>
    <row r="84" spans="1:4">
      <c r="A84" s="181"/>
      <c r="B84" s="182"/>
      <c r="C84" s="183"/>
      <c r="D84" s="184"/>
    </row>
    <row r="85" spans="1:4">
      <c r="A85" s="181"/>
      <c r="B85" s="182"/>
      <c r="C85" s="183"/>
      <c r="D85" s="184"/>
    </row>
    <row r="86" spans="1:4">
      <c r="A86" s="181"/>
      <c r="B86" s="182"/>
      <c r="C86" s="183"/>
      <c r="D86" s="184"/>
    </row>
    <row r="87" spans="1:4">
      <c r="A87" s="181"/>
      <c r="B87" s="182"/>
      <c r="C87" s="183"/>
      <c r="D87" s="184"/>
    </row>
    <row r="88" spans="1:4">
      <c r="A88" s="181"/>
      <c r="B88" s="182"/>
      <c r="C88" s="183"/>
      <c r="D88" s="184"/>
    </row>
    <row r="89" spans="1:4">
      <c r="A89" s="181"/>
      <c r="B89" s="182"/>
      <c r="C89" s="183"/>
      <c r="D89" s="184"/>
    </row>
    <row r="90" spans="1:4">
      <c r="A90" s="181"/>
      <c r="B90" s="182"/>
      <c r="C90" s="183"/>
      <c r="D90" s="184"/>
    </row>
    <row r="91" spans="1:4">
      <c r="A91" s="181"/>
      <c r="B91" s="182"/>
      <c r="C91" s="183"/>
      <c r="D91" s="184"/>
    </row>
    <row r="92" spans="1:4">
      <c r="A92" s="181"/>
      <c r="B92" s="182"/>
      <c r="C92" s="183"/>
      <c r="D92" s="179"/>
    </row>
    <row r="93" spans="1:4">
      <c r="A93" s="181"/>
      <c r="B93" s="182"/>
      <c r="C93" s="183"/>
      <c r="D93" s="184"/>
    </row>
    <row r="94" spans="1:4">
      <c r="A94" s="181"/>
      <c r="B94" s="182"/>
      <c r="C94" s="183"/>
      <c r="D94" s="184"/>
    </row>
    <row r="95" spans="1:4">
      <c r="A95" s="181"/>
      <c r="B95" s="182"/>
      <c r="C95" s="183"/>
      <c r="D95" s="184"/>
    </row>
    <row r="96" spans="1:4">
      <c r="A96" s="181"/>
      <c r="B96" s="182"/>
      <c r="C96" s="183"/>
      <c r="D96" s="184"/>
    </row>
    <row r="97" spans="1:4">
      <c r="A97" s="181"/>
      <c r="B97" s="182"/>
      <c r="C97" s="183"/>
      <c r="D97" s="184"/>
    </row>
    <row r="98" spans="1:4">
      <c r="A98" s="181"/>
      <c r="B98" s="182"/>
      <c r="C98" s="183"/>
      <c r="D98" s="184"/>
    </row>
    <row r="99" spans="1:4">
      <c r="A99" s="181"/>
      <c r="B99" s="182"/>
      <c r="C99" s="183"/>
      <c r="D99" s="184"/>
    </row>
    <row r="100" spans="1:4">
      <c r="A100" s="181"/>
      <c r="B100" s="182"/>
      <c r="C100" s="183"/>
      <c r="D100" s="184"/>
    </row>
    <row r="101" spans="1:4">
      <c r="A101" s="181"/>
      <c r="B101" s="182"/>
      <c r="C101" s="183"/>
      <c r="D101" s="184"/>
    </row>
    <row r="102" spans="1:4">
      <c r="A102" s="181"/>
      <c r="B102" s="182"/>
      <c r="C102" s="183"/>
      <c r="D102" s="184"/>
    </row>
    <row r="103" spans="1:4">
      <c r="A103" s="181"/>
      <c r="B103" s="182"/>
      <c r="C103" s="183"/>
      <c r="D103" s="184"/>
    </row>
    <row r="104" spans="1:4">
      <c r="A104" s="181"/>
      <c r="B104" s="182"/>
      <c r="C104" s="183"/>
      <c r="D104" s="184"/>
    </row>
    <row r="105" spans="1:4">
      <c r="A105" s="181"/>
      <c r="B105" s="182"/>
      <c r="C105" s="183"/>
      <c r="D105" s="184"/>
    </row>
    <row r="106" spans="1:4">
      <c r="A106" s="181"/>
      <c r="B106" s="182"/>
      <c r="C106" s="183"/>
      <c r="D106" s="184"/>
    </row>
    <row r="107" spans="1:4">
      <c r="A107" s="181"/>
      <c r="B107" s="182"/>
      <c r="C107" s="183"/>
      <c r="D107" s="184"/>
    </row>
    <row r="108" spans="1:4">
      <c r="A108" s="181"/>
      <c r="B108" s="182"/>
      <c r="C108" s="183"/>
      <c r="D108" s="184"/>
    </row>
    <row r="113" spans="1:3">
      <c r="A113" s="188"/>
      <c r="B113" s="201"/>
      <c r="C113" s="178"/>
    </row>
    <row r="114" spans="1:3">
      <c r="A114" s="188"/>
      <c r="B114" s="201"/>
      <c r="C114" s="178"/>
    </row>
    <row r="115" spans="1:3">
      <c r="A115" s="188"/>
      <c r="B115" s="201"/>
      <c r="C115" s="178"/>
    </row>
    <row r="116" spans="1:3">
      <c r="A116" s="188"/>
      <c r="B116" s="201"/>
      <c r="C116" s="178"/>
    </row>
    <row r="117" spans="1:3">
      <c r="A117" s="188"/>
      <c r="B117" s="201"/>
      <c r="C117" s="178"/>
    </row>
    <row r="118" spans="1:3">
      <c r="A118" s="200"/>
      <c r="B118" s="180"/>
      <c r="C118" s="178"/>
    </row>
    <row r="119" spans="1:3">
      <c r="A119" s="200"/>
      <c r="B119" s="180"/>
      <c r="C119" s="178"/>
    </row>
    <row r="120" spans="1:3">
      <c r="A120" s="200"/>
      <c r="B120" s="180"/>
      <c r="C120" s="178"/>
    </row>
    <row r="121" spans="1:3">
      <c r="A121" s="200"/>
      <c r="B121" s="180"/>
      <c r="C121" s="178"/>
    </row>
    <row r="122" spans="1:3">
      <c r="A122" s="200"/>
      <c r="B122" s="180"/>
      <c r="C122" s="178"/>
    </row>
    <row r="123" spans="1:3">
      <c r="A123" s="200"/>
      <c r="B123" s="180"/>
      <c r="C123" s="178"/>
    </row>
    <row r="124" spans="1:3">
      <c r="A124" s="200"/>
      <c r="B124" s="180"/>
      <c r="C124" s="178"/>
    </row>
    <row r="125" spans="1:3">
      <c r="A125" s="200"/>
      <c r="B125" s="180"/>
      <c r="C125" s="178"/>
    </row>
    <row r="126" spans="1:3">
      <c r="A126" s="200"/>
      <c r="B126" s="180"/>
      <c r="C126" s="178"/>
    </row>
    <row r="127" spans="1:3">
      <c r="A127" s="200"/>
      <c r="B127" s="180"/>
      <c r="C127" s="178"/>
    </row>
    <row r="128" spans="1:3">
      <c r="A128" s="200"/>
      <c r="B128" s="180"/>
      <c r="C128" s="178"/>
    </row>
    <row r="129" spans="1:3">
      <c r="A129" s="200"/>
      <c r="B129" s="180"/>
      <c r="C129" s="178"/>
    </row>
    <row r="130" spans="1:3">
      <c r="A130" s="200"/>
      <c r="B130" s="180"/>
      <c r="C130" s="178"/>
    </row>
    <row r="131" spans="1:3">
      <c r="A131" s="200"/>
      <c r="B131" s="180"/>
      <c r="C131" s="178"/>
    </row>
    <row r="132" spans="1:3">
      <c r="A132" s="200"/>
      <c r="B132" s="180"/>
      <c r="C132" s="178"/>
    </row>
    <row r="133" spans="1:3">
      <c r="A133" s="200"/>
      <c r="B133" s="180"/>
      <c r="C133" s="178"/>
    </row>
    <row r="134" spans="1:3">
      <c r="A134" s="200"/>
      <c r="B134" s="180"/>
      <c r="C134" s="178"/>
    </row>
    <row r="135" spans="1:3">
      <c r="A135" s="200"/>
      <c r="B135" s="180"/>
      <c r="C135" s="178"/>
    </row>
    <row r="136" spans="1:3">
      <c r="A136" s="200"/>
      <c r="B136" s="180"/>
      <c r="C136" s="178"/>
    </row>
    <row r="137" spans="1:3">
      <c r="A137" s="200"/>
      <c r="B137" s="180"/>
      <c r="C137" s="178"/>
    </row>
    <row r="138" spans="1:3">
      <c r="A138" s="200"/>
      <c r="B138" s="180"/>
      <c r="C138" s="178"/>
    </row>
    <row r="139" spans="1:3">
      <c r="A139" s="200"/>
      <c r="B139" s="180"/>
      <c r="C139" s="178"/>
    </row>
    <row r="140" spans="1:3">
      <c r="A140" s="200"/>
      <c r="B140" s="180"/>
      <c r="C140" s="178"/>
    </row>
    <row r="141" spans="1:3">
      <c r="A141" s="200"/>
      <c r="B141" s="180"/>
      <c r="C141" s="178"/>
    </row>
    <row r="142" spans="1:3">
      <c r="A142" s="200"/>
      <c r="B142" s="180"/>
      <c r="C142" s="178"/>
    </row>
    <row r="143" spans="1:3">
      <c r="A143" s="188"/>
      <c r="B143" s="180"/>
      <c r="C143" s="178"/>
    </row>
    <row r="144" spans="1:3">
      <c r="A144" s="188"/>
      <c r="B144" s="180"/>
      <c r="C144" s="178"/>
    </row>
    <row r="145" spans="1:3">
      <c r="A145" s="188"/>
      <c r="B145" s="180"/>
      <c r="C145" s="178"/>
    </row>
    <row r="146" spans="1:3">
      <c r="A146" s="188"/>
      <c r="B146" s="180"/>
      <c r="C146" s="178"/>
    </row>
    <row r="147" spans="1:3">
      <c r="A147" s="188"/>
      <c r="B147" s="180"/>
      <c r="C147" s="178"/>
    </row>
    <row r="148" spans="1:3">
      <c r="A148" s="188"/>
      <c r="B148" s="180"/>
      <c r="C148" s="178"/>
    </row>
    <row r="149" spans="1:3">
      <c r="A149" s="188"/>
      <c r="B149" s="180"/>
      <c r="C149" s="178"/>
    </row>
    <row r="150" spans="1:3">
      <c r="A150" s="188"/>
      <c r="B150" s="180"/>
      <c r="C150" s="178"/>
    </row>
    <row r="151" spans="1:3">
      <c r="A151" s="188"/>
      <c r="B151" s="180"/>
      <c r="C151" s="178"/>
    </row>
    <row r="152" spans="1:3">
      <c r="A152" s="188"/>
      <c r="B152" s="180"/>
      <c r="C152" s="178"/>
    </row>
    <row r="153" spans="1:3">
      <c r="A153" s="188"/>
      <c r="B153" s="180"/>
      <c r="C153" s="178"/>
    </row>
    <row r="154" spans="1:3">
      <c r="A154" s="188"/>
      <c r="B154" s="180"/>
      <c r="C154" s="178"/>
    </row>
    <row r="155" spans="1:3">
      <c r="A155" s="188"/>
      <c r="B155" s="180"/>
      <c r="C155" s="178"/>
    </row>
    <row r="156" spans="1:3">
      <c r="A156" s="188"/>
      <c r="B156" s="180"/>
      <c r="C156" s="178"/>
    </row>
    <row r="157" spans="1:3">
      <c r="A157" s="188"/>
      <c r="B157" s="180"/>
      <c r="C157" s="178"/>
    </row>
    <row r="158" spans="1:3">
      <c r="A158" s="188"/>
      <c r="B158" s="180"/>
      <c r="C158" s="178"/>
    </row>
    <row r="159" spans="1:3">
      <c r="A159" s="188"/>
      <c r="B159" s="180"/>
      <c r="C159" s="178"/>
    </row>
    <row r="160" spans="1:3">
      <c r="A160" s="188"/>
      <c r="B160" s="180"/>
      <c r="C160" s="178"/>
    </row>
    <row r="161" spans="1:3">
      <c r="A161" s="188"/>
      <c r="B161" s="180"/>
      <c r="C161" s="178"/>
    </row>
    <row r="162" spans="1:3">
      <c r="A162" s="188"/>
      <c r="B162" s="180"/>
      <c r="C162" s="178"/>
    </row>
    <row r="163" spans="1:3">
      <c r="A163" s="188"/>
      <c r="B163" s="180"/>
      <c r="C163" s="178"/>
    </row>
    <row r="164" spans="1:3">
      <c r="A164" s="188"/>
      <c r="B164" s="180"/>
      <c r="C164" s="178"/>
    </row>
    <row r="165" spans="1:3">
      <c r="A165" s="191"/>
      <c r="B165" s="202"/>
    </row>
    <row r="166" spans="1:3">
      <c r="A166" s="188"/>
      <c r="B166" s="180"/>
    </row>
    <row r="167" spans="1:3">
      <c r="A167" s="188"/>
      <c r="B167" s="180"/>
    </row>
    <row r="168" spans="1:3">
      <c r="A168" s="188"/>
      <c r="B168" s="180"/>
    </row>
    <row r="169" spans="1:3">
      <c r="A169" s="188"/>
      <c r="B169" s="180"/>
    </row>
    <row r="170" spans="1:3">
      <c r="A170" s="188"/>
      <c r="B170" s="180"/>
    </row>
    <row r="171" spans="1:3">
      <c r="A171" s="188"/>
      <c r="B171" s="180"/>
    </row>
    <row r="172" spans="1:3">
      <c r="A172" s="188"/>
      <c r="B172" s="180"/>
    </row>
    <row r="173" spans="1:3">
      <c r="A173" s="188"/>
      <c r="B173" s="180"/>
    </row>
    <row r="174" spans="1:3">
      <c r="A174" s="200"/>
      <c r="B174" s="180"/>
    </row>
    <row r="175" spans="1:3">
      <c r="A175" s="200"/>
      <c r="B175" s="180"/>
    </row>
    <row r="176" spans="1:3">
      <c r="A176" s="200"/>
      <c r="B176" s="180"/>
    </row>
    <row r="196" spans="1:2">
      <c r="A196" s="200"/>
      <c r="B196" s="180"/>
    </row>
    <row r="210" spans="1:2">
      <c r="A210" s="200"/>
      <c r="B210" s="180"/>
    </row>
    <row r="211" spans="1:2">
      <c r="A211" s="200"/>
      <c r="B211" s="180"/>
    </row>
    <row r="212" spans="1:2">
      <c r="A212" s="200"/>
      <c r="B212" s="180"/>
    </row>
    <row r="213" spans="1:2">
      <c r="A213" s="200"/>
      <c r="B213" s="180"/>
    </row>
    <row r="224" spans="1:2">
      <c r="A224" s="188"/>
    </row>
    <row r="225" spans="1:1">
      <c r="A225" s="188"/>
    </row>
    <row r="226" spans="1:1">
      <c r="A226" s="188"/>
    </row>
    <row r="227" spans="1:1">
      <c r="A227" s="188"/>
    </row>
    <row r="228" spans="1:1">
      <c r="A228" s="188"/>
    </row>
    <row r="229" spans="1:1">
      <c r="A229" s="188"/>
    </row>
    <row r="230" spans="1:1">
      <c r="A230" s="188"/>
    </row>
    <row r="231" spans="1:1">
      <c r="A231" s="188"/>
    </row>
    <row r="232" spans="1:1">
      <c r="A232" s="188"/>
    </row>
    <row r="233" spans="1:1">
      <c r="A233" s="188"/>
    </row>
    <row r="234" spans="1:1">
      <c r="A234" s="188"/>
    </row>
    <row r="235" spans="1:1">
      <c r="A235" s="188"/>
    </row>
    <row r="236" spans="1:1">
      <c r="A236" s="188"/>
    </row>
    <row r="237" spans="1:1">
      <c r="A237" s="188"/>
    </row>
    <row r="238" spans="1:1">
      <c r="A238" s="188"/>
    </row>
    <row r="239" spans="1:1">
      <c r="A239" s="188"/>
    </row>
    <row r="240" spans="1:1">
      <c r="A240" s="188"/>
    </row>
    <row r="241" spans="1:1">
      <c r="A241" s="188"/>
    </row>
    <row r="242" spans="1:1">
      <c r="A242" s="188"/>
    </row>
    <row r="243" spans="1:1">
      <c r="A243" s="188"/>
    </row>
    <row r="244" spans="1:1">
      <c r="A244" s="188"/>
    </row>
    <row r="245" spans="1:1">
      <c r="A245" s="176"/>
    </row>
    <row r="246" spans="1:1">
      <c r="A246" s="176"/>
    </row>
    <row r="247" spans="1:1">
      <c r="A247" s="176"/>
    </row>
    <row r="248" spans="1:1">
      <c r="A248" s="176"/>
    </row>
    <row r="249" spans="1:1">
      <c r="A249" s="176"/>
    </row>
    <row r="250" spans="1:1">
      <c r="A250" s="176"/>
    </row>
    <row r="251" spans="1:1">
      <c r="A251" s="176"/>
    </row>
    <row r="252" spans="1:1">
      <c r="A252" s="176"/>
    </row>
    <row r="253" spans="1:1">
      <c r="A253" s="176"/>
    </row>
    <row r="254" spans="1:1">
      <c r="A254" s="176"/>
    </row>
    <row r="255" spans="1:1">
      <c r="A255" s="176"/>
    </row>
    <row r="256" spans="1:1">
      <c r="A256" s="176"/>
    </row>
    <row r="257" spans="1:1">
      <c r="A257" s="176"/>
    </row>
    <row r="258" spans="1:1">
      <c r="A258" s="176"/>
    </row>
    <row r="259" spans="1:1">
      <c r="A259" s="176"/>
    </row>
    <row r="260" spans="1:1">
      <c r="A260" s="176"/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C1:I26"/>
  <sheetViews>
    <sheetView workbookViewId="0">
      <selection sqref="A1:XFD1048576"/>
    </sheetView>
  </sheetViews>
  <sheetFormatPr defaultColWidth="11.42578125" defaultRowHeight="12.75"/>
  <cols>
    <col min="1" max="2" width="11.42578125" style="164" customWidth="1"/>
    <col min="3" max="5" width="9.28515625" style="164" bestFit="1" customWidth="1"/>
    <col min="6" max="6" width="11.42578125" style="164" customWidth="1"/>
    <col min="7" max="7" width="10.7109375" style="164" bestFit="1" customWidth="1"/>
    <col min="8" max="16384" width="11.42578125" style="164"/>
  </cols>
  <sheetData>
    <row r="1" spans="3:9">
      <c r="C1" s="164" t="s">
        <v>111</v>
      </c>
      <c r="D1" s="164" t="s">
        <v>46</v>
      </c>
      <c r="E1" s="164" t="s">
        <v>45</v>
      </c>
      <c r="G1" s="203" t="s">
        <v>109</v>
      </c>
      <c r="I1" s="164" t="s">
        <v>110</v>
      </c>
    </row>
    <row r="2" spans="3:9">
      <c r="C2" s="164">
        <f>Offerteblad!G12</f>
        <v>0</v>
      </c>
      <c r="D2" s="164">
        <f>Offerteblad!H12</f>
        <v>0</v>
      </c>
      <c r="E2" s="164">
        <f>Offerteblad!I12</f>
        <v>0</v>
      </c>
      <c r="G2" s="164">
        <f>C2*((D2+E2)*2)</f>
        <v>0</v>
      </c>
      <c r="I2" s="164">
        <f>IF(Offerteblad!J12 &lt; 0.5, blad3!C2*0.5,blad3!C2*Offerteblad!J12)</f>
        <v>0</v>
      </c>
    </row>
    <row r="3" spans="3:9">
      <c r="C3" s="164">
        <f>Offerteblad!G13</f>
        <v>0</v>
      </c>
      <c r="D3" s="164">
        <f>Offerteblad!H13</f>
        <v>0</v>
      </c>
      <c r="E3" s="164">
        <f>Offerteblad!I13</f>
        <v>0</v>
      </c>
      <c r="G3" s="164">
        <f t="shared" ref="G3:G20" si="0">C3*((D3+E3)*2)</f>
        <v>0</v>
      </c>
      <c r="I3" s="164">
        <f>IF(Offerteblad!J13 &lt; 0.5, blad3!C3*0.5,blad3!C3*Offerteblad!J13)</f>
        <v>0</v>
      </c>
    </row>
    <row r="4" spans="3:9">
      <c r="C4" s="164">
        <f>Offerteblad!G14</f>
        <v>0</v>
      </c>
      <c r="D4" s="164">
        <f>Offerteblad!H14</f>
        <v>0</v>
      </c>
      <c r="E4" s="164">
        <f>Offerteblad!I14</f>
        <v>0</v>
      </c>
      <c r="G4" s="164">
        <f t="shared" si="0"/>
        <v>0</v>
      </c>
      <c r="I4" s="164">
        <f>IF(Offerteblad!J14 &lt; 0.5, blad3!C4*0.5,blad3!C4*Offerteblad!J14)</f>
        <v>0</v>
      </c>
    </row>
    <row r="5" spans="3:9">
      <c r="C5" s="164">
        <f>Offerteblad!G15</f>
        <v>0</v>
      </c>
      <c r="D5" s="164">
        <f>Offerteblad!H15</f>
        <v>0</v>
      </c>
      <c r="E5" s="164">
        <f>Offerteblad!I15</f>
        <v>0</v>
      </c>
      <c r="G5" s="164">
        <f t="shared" si="0"/>
        <v>0</v>
      </c>
      <c r="I5" s="164">
        <f>IF(Offerteblad!J15 &lt; 0.5, blad3!C5*0.5,blad3!C5*Offerteblad!J15)</f>
        <v>0</v>
      </c>
    </row>
    <row r="6" spans="3:9">
      <c r="C6" s="164">
        <f>Offerteblad!G16</f>
        <v>0</v>
      </c>
      <c r="D6" s="164">
        <f>Offerteblad!H16</f>
        <v>0</v>
      </c>
      <c r="E6" s="164">
        <f>Offerteblad!I16</f>
        <v>0</v>
      </c>
      <c r="G6" s="164">
        <f t="shared" si="0"/>
        <v>0</v>
      </c>
      <c r="I6" s="164">
        <f>IF(Offerteblad!J16 &lt; 0.5, blad3!C6*0.5,blad3!C6*Offerteblad!J16)</f>
        <v>0</v>
      </c>
    </row>
    <row r="7" spans="3:9">
      <c r="C7" s="164">
        <f>Offerteblad!G17</f>
        <v>0</v>
      </c>
      <c r="D7" s="164">
        <f>Offerteblad!H17</f>
        <v>0</v>
      </c>
      <c r="E7" s="164">
        <f>Offerteblad!I17</f>
        <v>0</v>
      </c>
      <c r="G7" s="164">
        <f t="shared" si="0"/>
        <v>0</v>
      </c>
      <c r="I7" s="164">
        <f>IF(Offerteblad!J17 &lt; 0.5, blad3!C7*0.5,blad3!C7*Offerteblad!J17)</f>
        <v>0</v>
      </c>
    </row>
    <row r="8" spans="3:9">
      <c r="C8" s="164">
        <f>Offerteblad!G18</f>
        <v>0</v>
      </c>
      <c r="D8" s="164">
        <f>Offerteblad!H18</f>
        <v>0</v>
      </c>
      <c r="E8" s="164">
        <f>Offerteblad!I18</f>
        <v>0</v>
      </c>
      <c r="G8" s="164">
        <f t="shared" si="0"/>
        <v>0</v>
      </c>
      <c r="I8" s="164">
        <f>IF(Offerteblad!J18 &lt; 0.5, blad3!C8*0.5,blad3!C8*Offerteblad!J18)</f>
        <v>0</v>
      </c>
    </row>
    <row r="9" spans="3:9">
      <c r="C9" s="164">
        <f>Offerteblad!G19</f>
        <v>0</v>
      </c>
      <c r="D9" s="164">
        <f>Offerteblad!H19</f>
        <v>0</v>
      </c>
      <c r="E9" s="164">
        <f>Offerteblad!I19</f>
        <v>0</v>
      </c>
      <c r="G9" s="164">
        <f t="shared" si="0"/>
        <v>0</v>
      </c>
      <c r="I9" s="164">
        <f>IF(Offerteblad!J19 &lt; 0.5, blad3!C9*0.5,blad3!C9*Offerteblad!J19)</f>
        <v>0</v>
      </c>
    </row>
    <row r="10" spans="3:9">
      <c r="C10" s="164">
        <f>Offerteblad!G20</f>
        <v>0</v>
      </c>
      <c r="D10" s="164">
        <f>Offerteblad!H20</f>
        <v>0</v>
      </c>
      <c r="E10" s="164">
        <f>Offerteblad!I20</f>
        <v>0</v>
      </c>
      <c r="G10" s="164">
        <f t="shared" si="0"/>
        <v>0</v>
      </c>
      <c r="I10" s="164">
        <f>IF(Offerteblad!J20 &lt; 0.5, blad3!C10*0.5,blad3!C10*Offerteblad!J20)</f>
        <v>0</v>
      </c>
    </row>
    <row r="11" spans="3:9">
      <c r="C11" s="164">
        <f>Offerteblad!G21</f>
        <v>0</v>
      </c>
      <c r="D11" s="164">
        <f>Offerteblad!H21</f>
        <v>0</v>
      </c>
      <c r="E11" s="164">
        <f>Offerteblad!I21</f>
        <v>0</v>
      </c>
      <c r="G11" s="164">
        <f t="shared" si="0"/>
        <v>0</v>
      </c>
      <c r="I11" s="164">
        <f>IF(Offerteblad!J21 &lt; 0.5, blad3!C11*0.5,blad3!C11*Offerteblad!J21)</f>
        <v>0</v>
      </c>
    </row>
    <row r="12" spans="3:9">
      <c r="C12" s="164">
        <f>Offerteblad!G22</f>
        <v>0</v>
      </c>
      <c r="D12" s="164">
        <f>Offerteblad!H22</f>
        <v>0</v>
      </c>
      <c r="E12" s="164">
        <f>Offerteblad!I22</f>
        <v>0</v>
      </c>
      <c r="G12" s="164">
        <f t="shared" si="0"/>
        <v>0</v>
      </c>
      <c r="I12" s="164">
        <f>IF(Offerteblad!J22 &lt; 0.5, blad3!C12*0.5,blad3!C12*Offerteblad!J22)</f>
        <v>0</v>
      </c>
    </row>
    <row r="13" spans="3:9">
      <c r="C13" s="164">
        <f>Offerteblad!G23</f>
        <v>0</v>
      </c>
      <c r="D13" s="164">
        <f>Offerteblad!H23</f>
        <v>0</v>
      </c>
      <c r="E13" s="164">
        <f>Offerteblad!I23</f>
        <v>0</v>
      </c>
      <c r="G13" s="164">
        <f t="shared" si="0"/>
        <v>0</v>
      </c>
      <c r="I13" s="164">
        <f>IF(Offerteblad!J23 &lt; 0.5, blad3!C13*0.5,blad3!C13*Offerteblad!J23)</f>
        <v>0</v>
      </c>
    </row>
    <row r="14" spans="3:9">
      <c r="C14" s="164">
        <f>Offerteblad!G24</f>
        <v>0</v>
      </c>
      <c r="D14" s="164">
        <f>Offerteblad!H24</f>
        <v>0</v>
      </c>
      <c r="E14" s="164">
        <f>Offerteblad!I24</f>
        <v>0</v>
      </c>
      <c r="G14" s="164">
        <f t="shared" si="0"/>
        <v>0</v>
      </c>
      <c r="I14" s="164">
        <f>IF(Offerteblad!J24 &lt; 0.5, blad3!C14*0.5,blad3!C14*Offerteblad!J24)</f>
        <v>0</v>
      </c>
    </row>
    <row r="15" spans="3:9">
      <c r="C15" s="164">
        <f>Offerteblad!G25</f>
        <v>0</v>
      </c>
      <c r="D15" s="164">
        <f>Offerteblad!H25</f>
        <v>0</v>
      </c>
      <c r="E15" s="164">
        <f>Offerteblad!I25</f>
        <v>0</v>
      </c>
      <c r="G15" s="164">
        <f t="shared" si="0"/>
        <v>0</v>
      </c>
      <c r="I15" s="164">
        <f>IF(Offerteblad!J25 &lt; 0.5, blad3!C15*0.5,blad3!C15*Offerteblad!J25)</f>
        <v>0</v>
      </c>
    </row>
    <row r="16" spans="3:9">
      <c r="C16" s="164">
        <f>Offerteblad!G26</f>
        <v>0</v>
      </c>
      <c r="D16" s="164">
        <f>Offerteblad!H26</f>
        <v>0</v>
      </c>
      <c r="E16" s="164">
        <f>Offerteblad!I26</f>
        <v>0</v>
      </c>
      <c r="G16" s="164">
        <f t="shared" si="0"/>
        <v>0</v>
      </c>
      <c r="I16" s="164">
        <f>IF(Offerteblad!J26 &lt; 0.5, blad3!C16*0.5,blad3!C16*Offerteblad!J26)</f>
        <v>0</v>
      </c>
    </row>
    <row r="17" spans="3:9">
      <c r="C17" s="164">
        <f>Offerteblad!G27</f>
        <v>0</v>
      </c>
      <c r="D17" s="164">
        <f>Offerteblad!H27</f>
        <v>0</v>
      </c>
      <c r="E17" s="164">
        <f>Offerteblad!I27</f>
        <v>0</v>
      </c>
      <c r="G17" s="164">
        <f t="shared" si="0"/>
        <v>0</v>
      </c>
      <c r="I17" s="164">
        <f>IF(Offerteblad!J27 &lt; 0.5, blad3!C17*0.5,blad3!C17*Offerteblad!J27)</f>
        <v>0</v>
      </c>
    </row>
    <row r="18" spans="3:9">
      <c r="C18" s="164">
        <f>Offerteblad!G28</f>
        <v>0</v>
      </c>
      <c r="D18" s="164">
        <f>Offerteblad!H28</f>
        <v>0</v>
      </c>
      <c r="E18" s="164">
        <f>Offerteblad!I28</f>
        <v>0</v>
      </c>
      <c r="G18" s="164">
        <f t="shared" si="0"/>
        <v>0</v>
      </c>
      <c r="I18" s="164">
        <f>IF(Offerteblad!J28 &lt; 0.5, blad3!C18*0.5,blad3!C18*Offerteblad!J28)</f>
        <v>0</v>
      </c>
    </row>
    <row r="19" spans="3:9">
      <c r="C19" s="164">
        <f>Offerteblad!G29</f>
        <v>0</v>
      </c>
      <c r="D19" s="164">
        <f>Offerteblad!H29</f>
        <v>0</v>
      </c>
      <c r="E19" s="164">
        <f>Offerteblad!I29</f>
        <v>0</v>
      </c>
      <c r="G19" s="164">
        <f t="shared" si="0"/>
        <v>0</v>
      </c>
      <c r="I19" s="164">
        <f>IF(Offerteblad!J29 &lt; 0.5, blad3!C19*0.5,blad3!C19*Offerteblad!J29)</f>
        <v>0</v>
      </c>
    </row>
    <row r="20" spans="3:9">
      <c r="C20" s="164">
        <f>Offerteblad!G30</f>
        <v>0</v>
      </c>
      <c r="D20" s="164">
        <f>Offerteblad!H30</f>
        <v>0</v>
      </c>
      <c r="E20" s="164">
        <f>Offerteblad!I30</f>
        <v>0</v>
      </c>
      <c r="G20" s="164">
        <f t="shared" si="0"/>
        <v>0</v>
      </c>
      <c r="I20" s="164">
        <f>IF(Offerteblad!J30 &lt; 0.5, blad3!C20*0.5,blad3!C20*Offerteblad!J30)</f>
        <v>0</v>
      </c>
    </row>
    <row r="23" spans="3:9">
      <c r="C23" s="164">
        <f>SUM(C2:C22)</f>
        <v>0</v>
      </c>
      <c r="F23" s="164" t="s">
        <v>47</v>
      </c>
      <c r="G23" s="164">
        <f>SUM(G2:G21)</f>
        <v>0</v>
      </c>
      <c r="I23" s="204">
        <f>SUM(I2:I20)</f>
        <v>0</v>
      </c>
    </row>
    <row r="25" spans="3:9">
      <c r="F25" s="164" t="s">
        <v>48</v>
      </c>
      <c r="G25" s="164">
        <f>CEILING(((G23*2)/1000)/13,1)</f>
        <v>0</v>
      </c>
    </row>
    <row r="26" spans="3:9">
      <c r="F26" s="164" t="s">
        <v>49</v>
      </c>
      <c r="G26" s="164">
        <f>CEILING((G23*2)/1000,20)</f>
        <v>0</v>
      </c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Q60"/>
  <sheetViews>
    <sheetView workbookViewId="0">
      <selection activeCell="C1" sqref="C1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0.28515625" style="14" customWidth="1"/>
    <col min="5" max="5" width="3.42578125" style="14" customWidth="1"/>
    <col min="6" max="6" width="0.140625" style="14" customWidth="1"/>
    <col min="7" max="7" width="11.5703125" style="14" customWidth="1"/>
    <col min="8" max="8" width="27" style="14" customWidth="1"/>
    <col min="9" max="9" width="8.7109375" style="14" customWidth="1"/>
    <col min="10" max="10" width="11" style="14" customWidth="1"/>
    <col min="11" max="11" width="11.140625" style="14" customWidth="1"/>
    <col min="12" max="12" width="12.85546875" style="14" customWidth="1"/>
    <col min="13" max="13" width="12.42578125" style="14" customWidth="1"/>
    <col min="14" max="14" width="6.42578125" style="14" customWidth="1"/>
    <col min="15" max="17" width="9.140625" style="14" hidden="1" customWidth="1"/>
    <col min="18" max="16384" width="11.42578125" style="14"/>
  </cols>
  <sheetData>
    <row r="1" spans="1:13" ht="18">
      <c r="A1" s="221" t="s">
        <v>275</v>
      </c>
      <c r="B1" s="16"/>
      <c r="C1" s="16"/>
      <c r="J1" s="15"/>
    </row>
    <row r="2" spans="1:13" ht="15.75">
      <c r="A2" s="35"/>
      <c r="B2" s="17"/>
      <c r="C2" s="17"/>
      <c r="D2" s="50"/>
    </row>
    <row r="3" spans="1:13">
      <c r="A3" s="37" t="s">
        <v>74</v>
      </c>
      <c r="B3" s="37"/>
      <c r="C3" s="37"/>
      <c r="D3" s="39">
        <f ca="1">TODAY()</f>
        <v>42227</v>
      </c>
    </row>
    <row r="4" spans="1:13">
      <c r="A4" s="37"/>
      <c r="B4" s="38"/>
      <c r="C4" s="38"/>
      <c r="D4" s="39"/>
    </row>
    <row r="5" spans="1:13">
      <c r="A5" s="36"/>
      <c r="B5" s="38"/>
      <c r="C5" s="38"/>
      <c r="D5" s="39"/>
      <c r="I5" s="386" t="s">
        <v>70</v>
      </c>
      <c r="J5" s="386"/>
      <c r="K5" s="386"/>
    </row>
    <row r="6" spans="1:13" ht="15.75">
      <c r="H6" s="18"/>
      <c r="I6" s="415" t="s">
        <v>193</v>
      </c>
      <c r="J6" s="415"/>
      <c r="K6" s="415"/>
    </row>
    <row r="7" spans="1:13" ht="15">
      <c r="C7" s="68" t="s">
        <v>73</v>
      </c>
      <c r="D7" s="54" t="str">
        <f>IF(Offerteblad!C48="", "",Offerteblad!C48)</f>
        <v/>
      </c>
      <c r="E7" s="68"/>
      <c r="F7" s="68"/>
      <c r="G7" s="68"/>
      <c r="H7" s="19"/>
      <c r="I7" s="415" t="s">
        <v>194</v>
      </c>
      <c r="J7" s="387"/>
      <c r="K7" s="387"/>
    </row>
    <row r="8" spans="1:13" ht="15">
      <c r="D8" s="54" t="str">
        <f>IF(Offerteblad!C49="", "",Offerteblad!C49)</f>
        <v/>
      </c>
      <c r="E8" s="68"/>
      <c r="F8" s="68"/>
      <c r="G8" s="68"/>
      <c r="H8" s="19"/>
      <c r="I8" s="415" t="s">
        <v>195</v>
      </c>
      <c r="J8" s="387"/>
      <c r="K8" s="387"/>
    </row>
    <row r="9" spans="1:13" ht="15">
      <c r="D9" s="54" t="str">
        <f>IF(Offerteblad!C50="", "",Offerteblad!C50)</f>
        <v/>
      </c>
      <c r="E9" s="68"/>
      <c r="F9" s="68"/>
      <c r="G9" s="68"/>
      <c r="H9" s="19"/>
      <c r="I9" s="387" t="s">
        <v>79</v>
      </c>
      <c r="J9" s="387"/>
      <c r="K9" s="387"/>
    </row>
    <row r="10" spans="1:13" ht="15">
      <c r="D10" s="14" t="str">
        <f>IF(Offerteblad!C51="", "",Offerteblad!C51)</f>
        <v/>
      </c>
      <c r="E10" s="54"/>
      <c r="F10" s="54"/>
      <c r="G10" s="54"/>
      <c r="H10" s="19"/>
      <c r="I10" s="355" t="s">
        <v>80</v>
      </c>
      <c r="J10" s="356"/>
      <c r="K10" s="356"/>
    </row>
    <row r="11" spans="1:13" ht="15">
      <c r="E11" s="20"/>
      <c r="F11" s="20"/>
      <c r="G11" s="20"/>
      <c r="H11" s="19"/>
      <c r="I11" s="19"/>
      <c r="J11" s="19"/>
    </row>
    <row r="12" spans="1:13" ht="15">
      <c r="A12" s="225"/>
      <c r="B12" s="226"/>
      <c r="C12" s="225"/>
      <c r="D12" s="227"/>
      <c r="E12" s="418"/>
      <c r="F12" s="418"/>
      <c r="G12" s="419"/>
      <c r="H12" s="419"/>
      <c r="I12" s="224"/>
      <c r="J12" s="224"/>
      <c r="K12" s="224"/>
      <c r="L12" s="224"/>
      <c r="M12" s="228"/>
    </row>
    <row r="13" spans="1:13" ht="15" customHeight="1">
      <c r="A13" s="420"/>
      <c r="B13" s="420"/>
      <c r="C13" s="420"/>
      <c r="D13" s="420"/>
      <c r="E13" s="229"/>
      <c r="F13" s="229"/>
      <c r="G13" s="230"/>
      <c r="H13" s="231"/>
      <c r="I13" s="224"/>
      <c r="J13" s="224"/>
      <c r="K13" s="224"/>
      <c r="L13" s="224"/>
      <c r="M13" s="228"/>
    </row>
    <row r="14" spans="1:13" ht="15">
      <c r="A14" s="416"/>
      <c r="B14" s="416"/>
      <c r="C14" s="417"/>
      <c r="D14" s="417"/>
      <c r="E14" s="232"/>
      <c r="F14" s="232"/>
      <c r="G14" s="233"/>
      <c r="H14" s="232"/>
      <c r="I14" s="224"/>
      <c r="J14" s="224"/>
      <c r="K14" s="224"/>
      <c r="L14" s="224"/>
      <c r="M14" s="228"/>
    </row>
    <row r="15" spans="1:13" ht="15">
      <c r="A15" s="416"/>
      <c r="B15" s="416"/>
      <c r="C15" s="417"/>
      <c r="D15" s="417"/>
      <c r="E15" s="232"/>
      <c r="F15" s="232"/>
      <c r="G15" s="233"/>
      <c r="H15" s="232"/>
      <c r="I15" s="224"/>
      <c r="J15" s="224"/>
      <c r="K15" s="224"/>
      <c r="L15" s="224"/>
      <c r="M15" s="228"/>
    </row>
    <row r="16" spans="1:13" ht="15">
      <c r="C16" s="22" t="s">
        <v>40</v>
      </c>
      <c r="E16" s="395"/>
      <c r="F16" s="395"/>
      <c r="G16" s="23"/>
      <c r="H16" s="142"/>
      <c r="I16" s="388" t="s">
        <v>76</v>
      </c>
      <c r="J16" s="388"/>
      <c r="K16" s="153"/>
      <c r="L16" s="224"/>
      <c r="M16" s="228"/>
    </row>
    <row r="17" spans="1:17" ht="15.75">
      <c r="A17" s="147"/>
      <c r="B17" s="147"/>
      <c r="C17" s="147"/>
      <c r="D17" s="147"/>
      <c r="E17" s="147"/>
      <c r="F17" s="147"/>
      <c r="G17" s="158" t="s">
        <v>9</v>
      </c>
      <c r="H17" s="155" t="s">
        <v>75</v>
      </c>
      <c r="I17" s="152" t="s">
        <v>46</v>
      </c>
      <c r="J17" s="152" t="s">
        <v>45</v>
      </c>
      <c r="K17" s="151" t="s">
        <v>227</v>
      </c>
      <c r="L17" s="234"/>
      <c r="M17" s="228"/>
      <c r="N17" s="27"/>
      <c r="Q17" s="28"/>
    </row>
    <row r="18" spans="1:17" ht="15">
      <c r="A18" s="161"/>
      <c r="B18" s="161"/>
      <c r="C18" s="160"/>
      <c r="D18" s="160"/>
      <c r="E18" s="147"/>
      <c r="F18" s="147"/>
      <c r="G18" s="159" t="str">
        <f>IF(Offerteblad!G12=0,"",Offerteblad!G12)</f>
        <v/>
      </c>
      <c r="H18" s="29" t="str">
        <f>IF(Offerteblad!E12=$C$16,"", Offerteblad!E12)</f>
        <v/>
      </c>
      <c r="I18" s="149" t="str">
        <f>IF(Offerteblad!H12= 0, "",Offerteblad!H12)</f>
        <v/>
      </c>
      <c r="J18" s="150" t="str">
        <f>IF(Offerteblad!I12= 0, "",Offerteblad!I12)</f>
        <v/>
      </c>
      <c r="K18" s="157" t="str">
        <f>IF(Offerteblad!K12= 0, "",Offerteblad!K12)</f>
        <v/>
      </c>
      <c r="L18" s="224"/>
      <c r="M18" s="235"/>
    </row>
    <row r="19" spans="1:17" ht="15">
      <c r="A19" s="161"/>
      <c r="B19" s="161"/>
      <c r="C19" s="160"/>
      <c r="D19" s="160"/>
      <c r="E19" s="147"/>
      <c r="F19" s="147"/>
      <c r="G19" s="159" t="str">
        <f>IF(Offerteblad!G13=0,"",Offerteblad!G13)</f>
        <v/>
      </c>
      <c r="H19" s="29" t="str">
        <f>IF(Offerteblad!E13=$C$16,"", Offerteblad!E13)</f>
        <v/>
      </c>
      <c r="I19" s="149" t="str">
        <f>IF(Offerteblad!H13= 0, "",Offerteblad!H13)</f>
        <v/>
      </c>
      <c r="J19" s="150" t="str">
        <f>IF(Offerteblad!I13= 0, "",Offerteblad!I13)</f>
        <v/>
      </c>
      <c r="K19" s="157" t="str">
        <f>IF(Offerteblad!K13= 0, "",Offerteblad!K13)</f>
        <v/>
      </c>
      <c r="L19" s="224"/>
      <c r="M19" s="228"/>
    </row>
    <row r="20" spans="1:17" ht="15">
      <c r="A20" s="161"/>
      <c r="B20" s="161"/>
      <c r="C20" s="160"/>
      <c r="D20" s="160"/>
      <c r="E20" s="147"/>
      <c r="F20" s="147"/>
      <c r="G20" s="159" t="str">
        <f>IF(Offerteblad!G14=0,"",Offerteblad!G14)</f>
        <v/>
      </c>
      <c r="H20" s="29" t="str">
        <f>IF(Offerteblad!E14=$C$16,"", Offerteblad!E14)</f>
        <v/>
      </c>
      <c r="I20" s="149" t="str">
        <f>IF(Offerteblad!H14= 0, "",Offerteblad!H14)</f>
        <v/>
      </c>
      <c r="J20" s="150" t="str">
        <f>IF(Offerteblad!I14= 0, "",Offerteblad!I14)</f>
        <v/>
      </c>
      <c r="K20" s="157" t="str">
        <f>IF(Offerteblad!K14= 0, "",Offerteblad!K14)</f>
        <v/>
      </c>
      <c r="L20" s="224"/>
      <c r="M20" s="228"/>
    </row>
    <row r="21" spans="1:17">
      <c r="A21" s="161"/>
      <c r="B21" s="161"/>
      <c r="C21" s="160"/>
      <c r="D21" s="160"/>
      <c r="E21" s="147"/>
      <c r="F21" s="147"/>
      <c r="G21" s="159" t="str">
        <f>IF(Offerteblad!G15=0,"",Offerteblad!G15)</f>
        <v/>
      </c>
      <c r="H21" s="29" t="str">
        <f>IF(Offerteblad!E15=$C$16,"", Offerteblad!E15)</f>
        <v/>
      </c>
      <c r="I21" s="149" t="str">
        <f>IF(Offerteblad!H15= 0, "",Offerteblad!H15)</f>
        <v/>
      </c>
      <c r="J21" s="150" t="str">
        <f>IF(Offerteblad!I15= 0, "",Offerteblad!I15)</f>
        <v/>
      </c>
      <c r="K21" s="157" t="str">
        <f>IF(Offerteblad!K15= 0, "",Offerteblad!K15)</f>
        <v/>
      </c>
      <c r="L21" s="224"/>
      <c r="M21" s="224"/>
    </row>
    <row r="22" spans="1:17">
      <c r="A22" s="161"/>
      <c r="B22" s="161"/>
      <c r="C22" s="160"/>
      <c r="D22" s="160"/>
      <c r="E22" s="147"/>
      <c r="F22" s="147"/>
      <c r="G22" s="159" t="str">
        <f>IF(Offerteblad!G16=0,"",Offerteblad!G16)</f>
        <v/>
      </c>
      <c r="H22" s="29" t="str">
        <f>IF(Offerteblad!E16=$C$16,"", Offerteblad!E16)</f>
        <v/>
      </c>
      <c r="I22" s="149" t="str">
        <f>IF(Offerteblad!H16= 0, "",Offerteblad!H16)</f>
        <v/>
      </c>
      <c r="J22" s="150" t="str">
        <f>IF(Offerteblad!I16= 0, "",Offerteblad!I16)</f>
        <v/>
      </c>
      <c r="K22" s="157" t="str">
        <f>IF(Offerteblad!K16= 0, "",Offerteblad!K16)</f>
        <v/>
      </c>
      <c r="L22" s="224"/>
      <c r="M22" s="224"/>
    </row>
    <row r="23" spans="1:17">
      <c r="A23" s="161"/>
      <c r="B23" s="161"/>
      <c r="C23" s="160"/>
      <c r="D23" s="160"/>
      <c r="E23" s="147"/>
      <c r="F23" s="147"/>
      <c r="G23" s="159" t="str">
        <f>IF(Offerteblad!G17=0,"",Offerteblad!G17)</f>
        <v/>
      </c>
      <c r="H23" s="29" t="str">
        <f>IF(Offerteblad!E17=$C$16,"", Offerteblad!E17)</f>
        <v/>
      </c>
      <c r="I23" s="149" t="str">
        <f>IF(Offerteblad!H17= 0, "",Offerteblad!H17)</f>
        <v/>
      </c>
      <c r="J23" s="150" t="str">
        <f>IF(Offerteblad!I17= 0, "",Offerteblad!I17)</f>
        <v/>
      </c>
      <c r="K23" s="157" t="str">
        <f>IF(Offerteblad!K17= 0, "",Offerteblad!K17)</f>
        <v/>
      </c>
      <c r="L23" s="224"/>
      <c r="M23" s="224"/>
    </row>
    <row r="24" spans="1:17">
      <c r="A24" s="161"/>
      <c r="B24" s="161"/>
      <c r="C24" s="160"/>
      <c r="D24" s="160"/>
      <c r="E24" s="147"/>
      <c r="F24" s="147"/>
      <c r="G24" s="159" t="str">
        <f>IF(Offerteblad!G18=0,"",Offerteblad!G18)</f>
        <v/>
      </c>
      <c r="H24" s="29" t="str">
        <f>IF(Offerteblad!E18=$C$16,"", Offerteblad!E18)</f>
        <v/>
      </c>
      <c r="I24" s="149" t="str">
        <f>IF(Offerteblad!H18= 0, "",Offerteblad!H18)</f>
        <v/>
      </c>
      <c r="J24" s="150" t="str">
        <f>IF(Offerteblad!I18= 0, "",Offerteblad!I18)</f>
        <v/>
      </c>
      <c r="K24" s="157" t="str">
        <f>IF(Offerteblad!K18= 0, "",Offerteblad!K18)</f>
        <v/>
      </c>
      <c r="L24" s="224"/>
      <c r="M24" s="224"/>
    </row>
    <row r="25" spans="1:17">
      <c r="A25" s="161"/>
      <c r="B25" s="161"/>
      <c r="C25" s="160"/>
      <c r="D25" s="160"/>
      <c r="E25" s="147"/>
      <c r="F25" s="147"/>
      <c r="G25" s="159" t="str">
        <f>IF(Offerteblad!G19=0,"",Offerteblad!G19)</f>
        <v/>
      </c>
      <c r="H25" s="29" t="str">
        <f>IF(Offerteblad!E19=$C$16,"", Offerteblad!E19)</f>
        <v/>
      </c>
      <c r="I25" s="149" t="str">
        <f>IF(Offerteblad!H19= 0, "",Offerteblad!H19)</f>
        <v/>
      </c>
      <c r="J25" s="150" t="str">
        <f>IF(Offerteblad!I19= 0, "",Offerteblad!I19)</f>
        <v/>
      </c>
      <c r="K25" s="157" t="str">
        <f>IF(Offerteblad!K19= 0, "",Offerteblad!K19)</f>
        <v/>
      </c>
      <c r="L25" s="224"/>
      <c r="M25" s="224"/>
    </row>
    <row r="26" spans="1:17">
      <c r="A26" s="161"/>
      <c r="B26" s="161"/>
      <c r="C26" s="160"/>
      <c r="D26" s="160"/>
      <c r="E26" s="147"/>
      <c r="F26" s="147"/>
      <c r="G26" s="159" t="str">
        <f>IF(Offerteblad!G20=0,"",Offerteblad!G20)</f>
        <v/>
      </c>
      <c r="H26" s="29" t="str">
        <f>IF(Offerteblad!E20=$C$16,"", Offerteblad!E20)</f>
        <v/>
      </c>
      <c r="I26" s="149" t="str">
        <f>IF(Offerteblad!H20= 0, "",Offerteblad!H20)</f>
        <v/>
      </c>
      <c r="J26" s="150" t="str">
        <f>IF(Offerteblad!I20= 0, "",Offerteblad!I20)</f>
        <v/>
      </c>
      <c r="K26" s="157" t="str">
        <f>IF(Offerteblad!K20= 0, "",Offerteblad!K20)</f>
        <v/>
      </c>
      <c r="L26" s="224"/>
      <c r="M26" s="224"/>
    </row>
    <row r="27" spans="1:17">
      <c r="A27" s="161"/>
      <c r="B27" s="161"/>
      <c r="C27" s="160"/>
      <c r="D27" s="160"/>
      <c r="E27" s="147"/>
      <c r="F27" s="147"/>
      <c r="G27" s="159" t="str">
        <f>IF(Offerteblad!G21=0,"",Offerteblad!G21)</f>
        <v/>
      </c>
      <c r="H27" s="29" t="str">
        <f>IF(Offerteblad!E21=$C$16,"", Offerteblad!E21)</f>
        <v/>
      </c>
      <c r="I27" s="149" t="str">
        <f>IF(Offerteblad!H21= 0, "",Offerteblad!H21)</f>
        <v/>
      </c>
      <c r="J27" s="150" t="str">
        <f>IF(Offerteblad!I21= 0, "",Offerteblad!I21)</f>
        <v/>
      </c>
      <c r="K27" s="157" t="str">
        <f>IF(Offerteblad!K21= 0, "",Offerteblad!K21)</f>
        <v/>
      </c>
      <c r="L27" s="224"/>
      <c r="M27" s="224"/>
    </row>
    <row r="28" spans="1:17">
      <c r="A28" s="161"/>
      <c r="B28" s="161"/>
      <c r="C28" s="160"/>
      <c r="D28" s="160"/>
      <c r="E28" s="147"/>
      <c r="F28" s="147"/>
      <c r="G28" s="159" t="str">
        <f>IF(Offerteblad!G22=0,"",Offerteblad!G22)</f>
        <v/>
      </c>
      <c r="H28" s="29" t="str">
        <f>IF(Offerteblad!E22=$C$16,"", Offerteblad!E22)</f>
        <v/>
      </c>
      <c r="I28" s="149" t="str">
        <f>IF(Offerteblad!H22= 0, "",Offerteblad!H22)</f>
        <v/>
      </c>
      <c r="J28" s="150" t="str">
        <f>IF(Offerteblad!I22= 0, "",Offerteblad!I22)</f>
        <v/>
      </c>
      <c r="K28" s="157" t="str">
        <f>IF(Offerteblad!K22= 0, "",Offerteblad!K22)</f>
        <v/>
      </c>
      <c r="L28" s="224"/>
      <c r="M28" s="224"/>
    </row>
    <row r="29" spans="1:17">
      <c r="A29" s="161"/>
      <c r="B29" s="161"/>
      <c r="C29" s="160"/>
      <c r="D29" s="160"/>
      <c r="E29" s="147"/>
      <c r="F29" s="147"/>
      <c r="G29" s="159" t="str">
        <f>IF(Offerteblad!G23=0,"",Offerteblad!G23)</f>
        <v/>
      </c>
      <c r="H29" s="29" t="str">
        <f>IF(Offerteblad!E23=$C$16,"", Offerteblad!E23)</f>
        <v/>
      </c>
      <c r="I29" s="149" t="str">
        <f>IF(Offerteblad!H23= 0, "",Offerteblad!H23)</f>
        <v/>
      </c>
      <c r="J29" s="150" t="str">
        <f>IF(Offerteblad!I23= 0, "",Offerteblad!I23)</f>
        <v/>
      </c>
      <c r="K29" s="157" t="str">
        <f>IF(Offerteblad!K23= 0, "",Offerteblad!K23)</f>
        <v/>
      </c>
      <c r="L29" s="224"/>
      <c r="M29" s="224"/>
    </row>
    <row r="30" spans="1:17">
      <c r="A30" s="161"/>
      <c r="B30" s="161"/>
      <c r="C30" s="160"/>
      <c r="D30" s="160"/>
      <c r="E30" s="147"/>
      <c r="F30" s="147"/>
      <c r="G30" s="159" t="str">
        <f>IF(Offerteblad!G24=0,"",Offerteblad!G24)</f>
        <v/>
      </c>
      <c r="H30" s="29" t="str">
        <f>IF(Offerteblad!E24=$C$16,"", Offerteblad!E24)</f>
        <v/>
      </c>
      <c r="I30" s="149" t="str">
        <f>IF(Offerteblad!H24= 0, "",Offerteblad!H24)</f>
        <v/>
      </c>
      <c r="J30" s="150" t="str">
        <f>IF(Offerteblad!I24= 0, "",Offerteblad!I24)</f>
        <v/>
      </c>
      <c r="K30" s="157" t="str">
        <f>IF(Offerteblad!K24= 0, "",Offerteblad!K24)</f>
        <v/>
      </c>
      <c r="L30" s="224"/>
      <c r="M30" s="224"/>
    </row>
    <row r="31" spans="1:17">
      <c r="A31" s="161"/>
      <c r="B31" s="161"/>
      <c r="C31" s="160"/>
      <c r="D31" s="160"/>
      <c r="E31" s="147"/>
      <c r="F31" s="147"/>
      <c r="G31" s="159" t="str">
        <f>IF(Offerteblad!G25=0,"",Offerteblad!G25)</f>
        <v/>
      </c>
      <c r="H31" s="29" t="str">
        <f>IF(Offerteblad!E25=$C$16,"", Offerteblad!E25)</f>
        <v/>
      </c>
      <c r="I31" s="149" t="str">
        <f>IF(Offerteblad!H25= 0, "",Offerteblad!H25)</f>
        <v/>
      </c>
      <c r="J31" s="150" t="str">
        <f>IF(Offerteblad!I25= 0, "",Offerteblad!I25)</f>
        <v/>
      </c>
      <c r="K31" s="157" t="str">
        <f>IF(Offerteblad!K25= 0, "",Offerteblad!K25)</f>
        <v/>
      </c>
      <c r="L31" s="224"/>
      <c r="M31" s="224"/>
    </row>
    <row r="32" spans="1:17" ht="15.75" customHeight="1">
      <c r="A32" s="161"/>
      <c r="B32" s="161"/>
      <c r="C32" s="160"/>
      <c r="D32" s="160"/>
      <c r="E32" s="147"/>
      <c r="F32" s="147"/>
      <c r="G32" s="159" t="str">
        <f>IF(Offerteblad!G26=0,"",Offerteblad!G26)</f>
        <v/>
      </c>
      <c r="H32" s="29" t="str">
        <f>IF(Offerteblad!E26=$C$16,"", Offerteblad!E26)</f>
        <v/>
      </c>
      <c r="I32" s="149" t="str">
        <f>IF(Offerteblad!H26= 0, "",Offerteblad!H26)</f>
        <v/>
      </c>
      <c r="J32" s="150" t="str">
        <f>IF(Offerteblad!I26= 0, "",Offerteblad!I26)</f>
        <v/>
      </c>
      <c r="K32" s="157" t="str">
        <f>IF(Offerteblad!K26= 0, "",Offerteblad!K26)</f>
        <v/>
      </c>
      <c r="L32" s="224"/>
      <c r="M32" s="224"/>
    </row>
    <row r="33" spans="1:13">
      <c r="A33" s="161"/>
      <c r="B33" s="161"/>
      <c r="C33" s="160"/>
      <c r="D33" s="160"/>
      <c r="E33" s="147"/>
      <c r="F33" s="147"/>
      <c r="G33" s="159" t="str">
        <f>IF(Offerteblad!G27=0,"",Offerteblad!G27)</f>
        <v/>
      </c>
      <c r="H33" s="29" t="str">
        <f>IF(Offerteblad!E27=$C$16,"", Offerteblad!E27)</f>
        <v/>
      </c>
      <c r="I33" s="149" t="str">
        <f>IF(Offerteblad!H27= 0, "",Offerteblad!H27)</f>
        <v/>
      </c>
      <c r="J33" s="150" t="str">
        <f>IF(Offerteblad!I27= 0, "",Offerteblad!I27)</f>
        <v/>
      </c>
      <c r="K33" s="157" t="str">
        <f>IF(Offerteblad!K27= 0, "",Offerteblad!K27)</f>
        <v/>
      </c>
      <c r="L33" s="224"/>
      <c r="M33" s="224"/>
    </row>
    <row r="34" spans="1:13" ht="12.75" customHeight="1">
      <c r="A34" s="161"/>
      <c r="B34" s="161"/>
      <c r="C34" s="160"/>
      <c r="D34" s="160"/>
      <c r="E34" s="147"/>
      <c r="F34" s="147"/>
      <c r="G34" s="159" t="str">
        <f>IF(Offerteblad!G28=0,"",Offerteblad!G28)</f>
        <v/>
      </c>
      <c r="H34" s="29" t="str">
        <f>IF(Offerteblad!E28=$C$16,"", Offerteblad!E28)</f>
        <v/>
      </c>
      <c r="I34" s="149" t="str">
        <f>IF(Offerteblad!H28= 0, "",Offerteblad!H28)</f>
        <v/>
      </c>
      <c r="J34" s="150" t="str">
        <f>IF(Offerteblad!I28= 0, "",Offerteblad!I28)</f>
        <v/>
      </c>
      <c r="K34" s="157" t="str">
        <f>IF(Offerteblad!K28= 0, "",Offerteblad!K28)</f>
        <v/>
      </c>
      <c r="L34" s="224"/>
      <c r="M34" s="224"/>
    </row>
    <row r="35" spans="1:13">
      <c r="A35" s="161"/>
      <c r="B35" s="161"/>
      <c r="C35" s="160"/>
      <c r="D35" s="160"/>
      <c r="E35" s="147"/>
      <c r="F35" s="147"/>
      <c r="G35" s="159" t="str">
        <f>IF(Offerteblad!G29=0,"",Offerteblad!G29)</f>
        <v/>
      </c>
      <c r="H35" s="29" t="str">
        <f>IF(Offerteblad!E29=$C$16,"", Offerteblad!E29)</f>
        <v/>
      </c>
      <c r="I35" s="149" t="str">
        <f>IF(Offerteblad!H29= 0, "",Offerteblad!H29)</f>
        <v/>
      </c>
      <c r="J35" s="150" t="str">
        <f>IF(Offerteblad!I29= 0, "",Offerteblad!I29)</f>
        <v/>
      </c>
      <c r="K35" s="157" t="str">
        <f>IF(Offerteblad!K29= 0, "",Offerteblad!K29)</f>
        <v/>
      </c>
      <c r="L35" s="224"/>
      <c r="M35" s="224"/>
    </row>
    <row r="36" spans="1:13" ht="13.5" thickBot="1">
      <c r="A36" s="161"/>
      <c r="B36" s="161"/>
      <c r="C36" s="160"/>
      <c r="D36" s="160"/>
      <c r="E36" s="147"/>
      <c r="F36" s="147"/>
      <c r="G36" s="237" t="str">
        <f>IF(Offerteblad!G30=0,"",Offerteblad!G30)</f>
        <v/>
      </c>
      <c r="H36" s="85" t="str">
        <f>IF(Offerteblad!E30=$C$16,"", Offerteblad!E30)</f>
        <v/>
      </c>
      <c r="I36" s="156" t="str">
        <f>IF(Offerteblad!H30= 0, "",Offerteblad!H30)</f>
        <v/>
      </c>
      <c r="J36" s="150" t="str">
        <f>IF(Offerteblad!I30= 0, "",Offerteblad!I30)</f>
        <v/>
      </c>
      <c r="K36" s="157" t="str">
        <f>IF(Offerteblad!K30= 0, "",Offerteblad!K30)</f>
        <v/>
      </c>
      <c r="L36" s="224"/>
      <c r="M36" s="224"/>
    </row>
    <row r="37" spans="1:13" ht="15.75" thickBot="1">
      <c r="A37" s="370" t="s">
        <v>127</v>
      </c>
      <c r="B37" s="371"/>
      <c r="C37" s="371"/>
      <c r="D37" s="371"/>
      <c r="E37" s="371"/>
      <c r="F37" s="371"/>
      <c r="G37" s="372"/>
      <c r="H37" s="371"/>
      <c r="I37" s="373"/>
      <c r="J37" s="368">
        <f>SUM(K18:K36)</f>
        <v>0</v>
      </c>
      <c r="K37" s="369"/>
      <c r="L37" s="224"/>
      <c r="M37" s="224"/>
    </row>
    <row r="38" spans="1:13">
      <c r="A38" s="389"/>
      <c r="B38" s="390"/>
      <c r="C38" s="390"/>
      <c r="D38" s="390"/>
      <c r="E38" s="390"/>
      <c r="F38" s="390"/>
      <c r="G38" s="390"/>
      <c r="H38" s="390"/>
      <c r="I38" s="391"/>
      <c r="J38" s="364"/>
      <c r="K38" s="365"/>
      <c r="L38" s="224"/>
      <c r="M38" s="224"/>
    </row>
    <row r="39" spans="1:13">
      <c r="A39" s="392" t="s">
        <v>51</v>
      </c>
      <c r="B39" s="393"/>
      <c r="C39" s="393"/>
      <c r="D39" s="393"/>
      <c r="E39" s="393"/>
      <c r="F39" s="393"/>
      <c r="G39" s="393"/>
      <c r="H39" s="393"/>
      <c r="I39" s="394"/>
      <c r="J39" s="366">
        <f>Offerteblad!K35</f>
        <v>0</v>
      </c>
      <c r="K39" s="367"/>
      <c r="L39" s="224"/>
      <c r="M39" s="224"/>
    </row>
    <row r="40" spans="1:13">
      <c r="A40" s="399" t="s">
        <v>158</v>
      </c>
      <c r="B40" s="400"/>
      <c r="C40" s="400"/>
      <c r="D40" s="400"/>
      <c r="E40" s="400"/>
      <c r="F40" s="400"/>
      <c r="G40" s="400"/>
      <c r="H40" s="400"/>
      <c r="I40" s="401"/>
      <c r="J40" s="402"/>
      <c r="K40" s="403"/>
      <c r="L40" s="224"/>
      <c r="M40" s="224"/>
    </row>
    <row r="41" spans="1:13">
      <c r="A41" s="374" t="str">
        <f>IF(Offerteblad!$F$39='blad 1'!A3, "", IF(Offerteblad!F36= 0, "",Offerteblad!F36))</f>
        <v/>
      </c>
      <c r="B41" s="374"/>
      <c r="C41" s="383" t="str">
        <f>Offerteblad!H36</f>
        <v xml:space="preserve"> </v>
      </c>
      <c r="D41" s="384"/>
      <c r="E41" s="384"/>
      <c r="F41" s="384"/>
      <c r="G41" s="384"/>
      <c r="H41" s="384"/>
      <c r="I41" s="385"/>
      <c r="J41" s="366" t="str">
        <f>Offerteblad!K36</f>
        <v/>
      </c>
      <c r="K41" s="367"/>
      <c r="L41" s="224"/>
      <c r="M41" s="224"/>
    </row>
    <row r="42" spans="1:13">
      <c r="A42" s="374" t="str">
        <f>IF(Offerteblad!$F$39='blad 1'!A4, "", IF(Offerteblad!F37= 0, "",Offerteblad!F37))</f>
        <v/>
      </c>
      <c r="B42" s="374"/>
      <c r="C42" s="383" t="str">
        <f>Offerteblad!H37</f>
        <v xml:space="preserve"> </v>
      </c>
      <c r="D42" s="384"/>
      <c r="E42" s="384"/>
      <c r="F42" s="384"/>
      <c r="G42" s="384"/>
      <c r="H42" s="384"/>
      <c r="I42" s="385"/>
      <c r="J42" s="366" t="str">
        <f>Offerteblad!K37</f>
        <v/>
      </c>
      <c r="K42" s="367"/>
      <c r="L42" s="224"/>
      <c r="M42" s="224"/>
    </row>
    <row r="43" spans="1:13">
      <c r="A43" s="374" t="str">
        <f>IF(Offerteblad!$F$39='blad 1'!A5, "", IF(Offerteblad!F38= 0, "",Offerteblad!F38))</f>
        <v/>
      </c>
      <c r="B43" s="374"/>
      <c r="C43" s="383" t="str">
        <f>Offerteblad!H38</f>
        <v xml:space="preserve"> </v>
      </c>
      <c r="D43" s="384"/>
      <c r="E43" s="384"/>
      <c r="F43" s="384"/>
      <c r="G43" s="384"/>
      <c r="H43" s="384"/>
      <c r="I43" s="385"/>
      <c r="J43" s="366" t="str">
        <f>Offerteblad!K38</f>
        <v/>
      </c>
      <c r="K43" s="367"/>
      <c r="L43" s="224"/>
      <c r="M43" s="224"/>
    </row>
    <row r="44" spans="1:13">
      <c r="A44" s="408" t="str">
        <f>IF(J45="","",IF(J45&gt;0,1,""))</f>
        <v/>
      </c>
      <c r="B44" s="409"/>
      <c r="C44" s="94" t="str">
        <f>Offerteblad!H39</f>
        <v>Bezorgkosten beglazingsmateriaal</v>
      </c>
      <c r="D44" s="95"/>
      <c r="E44" s="95"/>
      <c r="F44" s="95"/>
      <c r="G44" s="95"/>
      <c r="H44" s="95"/>
      <c r="I44" s="96"/>
      <c r="J44" s="366" t="str">
        <f>Offerteblad!K39</f>
        <v/>
      </c>
      <c r="K44" s="367"/>
      <c r="L44" s="224"/>
      <c r="M44" s="224"/>
    </row>
    <row r="45" spans="1:13">
      <c r="A45" s="404" t="s">
        <v>226</v>
      </c>
      <c r="B45" s="405"/>
      <c r="C45" s="405"/>
      <c r="D45" s="405"/>
      <c r="E45" s="405"/>
      <c r="F45" s="405"/>
      <c r="G45" s="405"/>
      <c r="H45" s="405"/>
      <c r="I45" s="406"/>
      <c r="J45" s="366" t="str">
        <f>Offerteblad!K40</f>
        <v/>
      </c>
      <c r="K45" s="367"/>
      <c r="L45" s="224"/>
      <c r="M45" s="224"/>
    </row>
    <row r="46" spans="1:13">
      <c r="A46" s="374" t="s">
        <v>156</v>
      </c>
      <c r="B46" s="374"/>
      <c r="C46" s="374"/>
      <c r="D46" s="222" t="str">
        <f>IF(Offerteblad!C57='blad 2'!T12, "",Offerteblad!C57)</f>
        <v>Bezorgen</v>
      </c>
      <c r="E46" s="396" t="str">
        <f>IF(Offerteblad!D57='blad 2'!T19, "", Offerteblad!D57)</f>
        <v>&lt; kies locatie &gt;</v>
      </c>
      <c r="F46" s="407"/>
      <c r="G46" s="407"/>
      <c r="H46" s="414" t="str">
        <f>CONCATENATE("Af: ",Offerteblad!H42)</f>
        <v>Af: Korting</v>
      </c>
      <c r="I46" s="414"/>
      <c r="J46" s="358" t="str">
        <f>IF(Offerteblad!K42=0,"",Offerteblad!K42)</f>
        <v/>
      </c>
      <c r="K46" s="359"/>
      <c r="L46" s="236"/>
      <c r="M46" s="224"/>
    </row>
    <row r="47" spans="1:13" ht="15.75">
      <c r="A47" s="379" t="s">
        <v>82</v>
      </c>
      <c r="B47" s="379"/>
      <c r="C47" s="379"/>
      <c r="D47" s="396" t="str">
        <f>IF(Offerteblad!C59="&lt;selecteer&gt;","Nee",Offerteblad!C59)</f>
        <v>Nee</v>
      </c>
      <c r="E47" s="396"/>
      <c r="F47" s="396"/>
      <c r="G47" s="397"/>
      <c r="H47" s="382" t="s">
        <v>55</v>
      </c>
      <c r="I47" s="382"/>
      <c r="J47" s="360">
        <f>Offerteblad!K44</f>
        <v>0</v>
      </c>
      <c r="K47" s="361"/>
      <c r="L47" s="224"/>
      <c r="M47" s="224"/>
    </row>
    <row r="48" spans="1:13" ht="15">
      <c r="A48" s="380" t="str">
        <f>IF(Offerteblad!C60=0,"",Offerteblad!C60)</f>
        <v/>
      </c>
      <c r="B48" s="381"/>
      <c r="C48" s="381"/>
      <c r="D48" s="378"/>
      <c r="E48" s="378"/>
      <c r="F48" s="378"/>
      <c r="G48" s="103"/>
      <c r="H48" s="375" t="s">
        <v>78</v>
      </c>
      <c r="I48" s="376"/>
      <c r="J48" s="362">
        <f>Offerteblad!K45</f>
        <v>0</v>
      </c>
      <c r="K48" s="363"/>
      <c r="L48" s="224"/>
      <c r="M48" s="224"/>
    </row>
    <row r="49" spans="1:13" ht="15.75">
      <c r="A49" s="377" t="str">
        <f>IF(Offerteblad!C61=0,"",Offerteblad!C61)</f>
        <v/>
      </c>
      <c r="B49" s="378"/>
      <c r="C49" s="378"/>
      <c r="D49" s="378"/>
      <c r="E49" s="378"/>
      <c r="F49" s="378"/>
      <c r="G49" s="62"/>
      <c r="H49" s="412" t="s">
        <v>30</v>
      </c>
      <c r="I49" s="413"/>
      <c r="J49" s="353">
        <f>Offerteblad!K46</f>
        <v>0</v>
      </c>
      <c r="K49" s="354"/>
      <c r="L49" s="224"/>
      <c r="M49" s="224"/>
    </row>
    <row r="50" spans="1:13" ht="15.75" customHeight="1">
      <c r="A50" s="377" t="str">
        <f>IF(Offerteblad!C62=0,"",Offerteblad!C62)</f>
        <v/>
      </c>
      <c r="B50" s="378"/>
      <c r="C50" s="378" t="str">
        <f>IF(Offerteblad!C63=0,"",Offerteblad!C63)</f>
        <v/>
      </c>
      <c r="D50" s="378"/>
      <c r="E50" s="378"/>
      <c r="F50" s="378"/>
      <c r="G50" s="62"/>
      <c r="H50" s="112"/>
      <c r="I50" s="411"/>
      <c r="J50" s="411"/>
      <c r="K50" s="411"/>
      <c r="L50" s="224"/>
      <c r="M50" s="224"/>
    </row>
    <row r="51" spans="1:13" ht="15">
      <c r="A51" s="86" t="s">
        <v>83</v>
      </c>
      <c r="B51" s="410" t="str">
        <f>IF(Offerteblad!C65=0, "",Offerteblad!C65)</f>
        <v/>
      </c>
      <c r="C51" s="410"/>
      <c r="D51" s="410"/>
      <c r="E51" s="410"/>
      <c r="F51" s="410"/>
      <c r="G51" s="223"/>
      <c r="H51" s="93"/>
      <c r="I51" s="93"/>
      <c r="J51" s="93"/>
      <c r="K51" s="93"/>
      <c r="L51" s="224"/>
      <c r="M51" s="224"/>
    </row>
    <row r="52" spans="1:13" ht="15" customHeight="1">
      <c r="A52" s="398"/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224"/>
      <c r="M52" s="224"/>
    </row>
    <row r="53" spans="1:13" ht="15">
      <c r="A53" s="108" t="s">
        <v>77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224"/>
      <c r="M53" s="224"/>
    </row>
    <row r="54" spans="1:13" ht="15">
      <c r="A54" s="110" t="s">
        <v>157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224"/>
      <c r="M54" s="224"/>
    </row>
    <row r="55" spans="1:13" ht="15">
      <c r="A55" s="33"/>
      <c r="L55" s="224"/>
      <c r="M55" s="224"/>
    </row>
    <row r="56" spans="1:13">
      <c r="A56" s="224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</row>
    <row r="57" spans="1:13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</row>
    <row r="58" spans="1:13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</row>
    <row r="59" spans="1:13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</row>
    <row r="60" spans="1:13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</row>
  </sheetData>
  <sheetProtection password="E729" sheet="1" objects="1" scenarios="1" selectLockedCells="1" selectUnlockedCells="1"/>
  <mergeCells count="56">
    <mergeCell ref="A52:K52"/>
    <mergeCell ref="I16:J16"/>
    <mergeCell ref="A46:C46"/>
    <mergeCell ref="D47:G47"/>
    <mergeCell ref="I50:K50"/>
    <mergeCell ref="B51:F51"/>
    <mergeCell ref="C43:I43"/>
    <mergeCell ref="J43:K43"/>
    <mergeCell ref="J44:K44"/>
    <mergeCell ref="A43:B43"/>
    <mergeCell ref="H48:I48"/>
    <mergeCell ref="A50:B50"/>
    <mergeCell ref="C50:F50"/>
    <mergeCell ref="A49:F49"/>
    <mergeCell ref="A47:C47"/>
    <mergeCell ref="A48:F48"/>
    <mergeCell ref="E12:F12"/>
    <mergeCell ref="G12:H12"/>
    <mergeCell ref="A13:B13"/>
    <mergeCell ref="C13:D13"/>
    <mergeCell ref="A14:B14"/>
    <mergeCell ref="C14:D14"/>
    <mergeCell ref="A15:B15"/>
    <mergeCell ref="C15:D15"/>
    <mergeCell ref="A42:B42"/>
    <mergeCell ref="C42:I42"/>
    <mergeCell ref="A40:I40"/>
    <mergeCell ref="A38:I38"/>
    <mergeCell ref="J40:K40"/>
    <mergeCell ref="A37:I37"/>
    <mergeCell ref="H47:I47"/>
    <mergeCell ref="J47:K47"/>
    <mergeCell ref="A45:I45"/>
    <mergeCell ref="E46:G46"/>
    <mergeCell ref="A44:B44"/>
    <mergeCell ref="I5:K5"/>
    <mergeCell ref="I6:K6"/>
    <mergeCell ref="I7:K7"/>
    <mergeCell ref="I8:K8"/>
    <mergeCell ref="I9:K9"/>
    <mergeCell ref="I10:K10"/>
    <mergeCell ref="E16:F16"/>
    <mergeCell ref="H49:I49"/>
    <mergeCell ref="C41:I41"/>
    <mergeCell ref="J41:K41"/>
    <mergeCell ref="J45:K45"/>
    <mergeCell ref="J46:K46"/>
    <mergeCell ref="J48:K48"/>
    <mergeCell ref="J49:K49"/>
    <mergeCell ref="H46:I46"/>
    <mergeCell ref="J42:K42"/>
    <mergeCell ref="J38:K38"/>
    <mergeCell ref="J39:K39"/>
    <mergeCell ref="A39:I39"/>
    <mergeCell ref="J37:K37"/>
    <mergeCell ref="A41:B41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 r:id="rId2"/>
  <headerFooter alignWithMargins="0">
    <oddFooter>&amp;CBTW-nr: NL8153.29.635.B01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1:Q55"/>
  <sheetViews>
    <sheetView topLeftCell="A28" workbookViewId="0">
      <selection activeCell="C13" sqref="C13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0.28515625" style="14" customWidth="1"/>
    <col min="5" max="5" width="3.42578125" style="14" customWidth="1"/>
    <col min="6" max="6" width="0.140625" style="14" customWidth="1"/>
    <col min="7" max="7" width="11.5703125" style="14" customWidth="1"/>
    <col min="8" max="8" width="27" style="14" customWidth="1"/>
    <col min="9" max="9" width="8.7109375" style="14" customWidth="1"/>
    <col min="10" max="10" width="9.85546875" style="14" customWidth="1"/>
    <col min="11" max="11" width="10.7109375" style="14" customWidth="1"/>
    <col min="12" max="12" width="12.85546875" style="14" customWidth="1"/>
    <col min="13" max="13" width="12.42578125" style="14" customWidth="1"/>
    <col min="14" max="14" width="6.42578125" style="14" customWidth="1"/>
    <col min="15" max="17" width="9.140625" style="14" hidden="1" customWidth="1"/>
    <col min="18" max="16384" width="11.42578125" style="14"/>
  </cols>
  <sheetData>
    <row r="1" spans="1:13" ht="18">
      <c r="A1" s="28" t="s">
        <v>162</v>
      </c>
      <c r="B1" s="16"/>
      <c r="C1" s="16"/>
      <c r="J1" s="15"/>
    </row>
    <row r="2" spans="1:13" ht="15.75">
      <c r="A2" s="35"/>
      <c r="B2" s="17"/>
      <c r="C2" s="17"/>
      <c r="D2" s="50"/>
    </row>
    <row r="3" spans="1:13">
      <c r="A3" s="37" t="s">
        <v>74</v>
      </c>
      <c r="B3" s="37"/>
      <c r="C3" s="37"/>
      <c r="D3" s="39">
        <f ca="1">TODAY()</f>
        <v>42227</v>
      </c>
    </row>
    <row r="4" spans="1:13">
      <c r="A4" s="37" t="s">
        <v>85</v>
      </c>
      <c r="B4" s="38"/>
      <c r="C4" s="38"/>
      <c r="D4" s="100">
        <f>Offerteblad!K3</f>
        <v>0</v>
      </c>
    </row>
    <row r="5" spans="1:13">
      <c r="A5" s="36" t="s">
        <v>163</v>
      </c>
      <c r="B5" s="38"/>
      <c r="C5" s="38"/>
      <c r="D5" s="39"/>
      <c r="I5" s="386" t="str">
        <f>offerte!I5</f>
        <v>Glasdiscount.nl</v>
      </c>
      <c r="J5" s="386"/>
      <c r="K5" s="386"/>
    </row>
    <row r="6" spans="1:13" ht="15.75">
      <c r="H6" s="18"/>
      <c r="I6" s="386" t="str">
        <f>offerte!I6</f>
        <v>Voorsterweg 20</v>
      </c>
      <c r="J6" s="386"/>
      <c r="K6" s="386"/>
    </row>
    <row r="7" spans="1:13" ht="15">
      <c r="C7" s="68" t="s">
        <v>73</v>
      </c>
      <c r="D7" s="68"/>
      <c r="E7" s="68"/>
      <c r="F7" s="68"/>
      <c r="G7" s="68"/>
      <c r="H7" s="19"/>
      <c r="I7" s="386" t="str">
        <f>offerte!I7</f>
        <v>7371 GC Loenen Gld.</v>
      </c>
      <c r="J7" s="386"/>
      <c r="K7" s="386"/>
    </row>
    <row r="8" spans="1:13" ht="15">
      <c r="C8" s="54" t="str">
        <f>IF(Offerteblad!C48="", "",Offerteblad!C48)</f>
        <v/>
      </c>
      <c r="D8" s="54"/>
      <c r="E8" s="68"/>
      <c r="F8" s="68"/>
      <c r="G8" s="68"/>
      <c r="H8" s="19"/>
      <c r="I8" s="386" t="str">
        <f>offerte!I8</f>
        <v>KvK: 08062381</v>
      </c>
      <c r="J8" s="386"/>
      <c r="K8" s="386"/>
    </row>
    <row r="9" spans="1:13" ht="15">
      <c r="C9" s="54" t="str">
        <f>IF(Offerteblad!C49="", "",Offerteblad!C49)</f>
        <v/>
      </c>
      <c r="D9" s="54"/>
      <c r="E9" s="68"/>
      <c r="F9" s="68"/>
      <c r="G9" s="68"/>
      <c r="H9" s="19"/>
      <c r="I9" s="387" t="s">
        <v>79</v>
      </c>
      <c r="J9" s="387"/>
      <c r="K9" s="387"/>
    </row>
    <row r="10" spans="1:13" ht="15">
      <c r="C10" s="54" t="str">
        <f>IF(Offerteblad!C50="", "",Offerteblad!C50)</f>
        <v/>
      </c>
      <c r="D10" s="54" t="str">
        <f>IF(Offerteblad!C51="", "",Offerteblad!C51)</f>
        <v/>
      </c>
      <c r="E10" s="54"/>
      <c r="F10" s="54"/>
      <c r="G10" s="54"/>
      <c r="H10" s="19"/>
      <c r="I10" s="355" t="s">
        <v>80</v>
      </c>
      <c r="J10" s="356"/>
      <c r="K10" s="356"/>
    </row>
    <row r="11" spans="1:13" ht="15">
      <c r="E11" s="20"/>
      <c r="F11" s="20"/>
      <c r="G11" s="20"/>
      <c r="H11" s="19"/>
      <c r="I11" s="19"/>
      <c r="J11" s="19"/>
    </row>
    <row r="12" spans="1:13" ht="15">
      <c r="C12" s="51"/>
      <c r="F12" s="20"/>
      <c r="G12" s="20"/>
      <c r="M12" s="19"/>
    </row>
    <row r="13" spans="1:13" ht="15">
      <c r="C13" s="21"/>
      <c r="D13" s="21"/>
      <c r="E13" s="20"/>
      <c r="F13" s="20"/>
      <c r="G13" s="20"/>
      <c r="M13" s="19"/>
    </row>
    <row r="14" spans="1:13" ht="15">
      <c r="C14" s="21"/>
      <c r="D14" s="21"/>
      <c r="E14" s="20"/>
      <c r="F14" s="20"/>
      <c r="G14" s="20"/>
      <c r="M14" s="19"/>
    </row>
    <row r="15" spans="1:13" ht="15">
      <c r="M15" s="19"/>
    </row>
    <row r="16" spans="1:13" ht="15">
      <c r="C16" s="22" t="s">
        <v>40</v>
      </c>
      <c r="E16" s="395"/>
      <c r="F16" s="395"/>
      <c r="G16" s="23"/>
      <c r="H16" s="142"/>
      <c r="I16" s="388" t="s">
        <v>76</v>
      </c>
      <c r="J16" s="388"/>
      <c r="K16" s="153"/>
      <c r="M16" s="19"/>
    </row>
    <row r="17" spans="1:17" ht="15" customHeight="1">
      <c r="A17" s="147"/>
      <c r="B17" s="147"/>
      <c r="C17" s="147"/>
      <c r="D17" s="147"/>
      <c r="E17" s="147"/>
      <c r="F17" s="147"/>
      <c r="G17" s="158" t="s">
        <v>9</v>
      </c>
      <c r="H17" s="155" t="s">
        <v>75</v>
      </c>
      <c r="I17" s="152" t="s">
        <v>46</v>
      </c>
      <c r="J17" s="152" t="s">
        <v>45</v>
      </c>
      <c r="K17" s="151" t="s">
        <v>227</v>
      </c>
      <c r="L17" s="26"/>
      <c r="M17" s="19"/>
      <c r="N17" s="27"/>
      <c r="Q17" s="28"/>
    </row>
    <row r="18" spans="1:17" ht="15">
      <c r="A18" s="161"/>
      <c r="B18" s="161"/>
      <c r="C18" s="160"/>
      <c r="D18" s="160"/>
      <c r="E18" s="147"/>
      <c r="F18" s="147"/>
      <c r="G18" s="159" t="str">
        <f>IF(Offerteblad!G12=0,"",Offerteblad!G12)</f>
        <v/>
      </c>
      <c r="H18" s="29" t="str">
        <f>IF(Offerteblad!E12=$C$16,"", Offerteblad!E12)</f>
        <v/>
      </c>
      <c r="I18" s="149" t="str">
        <f>IF(Offerteblad!H12= 0, "",Offerteblad!H12)</f>
        <v/>
      </c>
      <c r="J18" s="150" t="str">
        <f>IF(Offerteblad!I12= 0, "",Offerteblad!I12)</f>
        <v/>
      </c>
      <c r="K18" s="157" t="str">
        <f>IF(Offerteblad!K12= 0, "",Offerteblad!K12)</f>
        <v/>
      </c>
      <c r="M18" s="31"/>
    </row>
    <row r="19" spans="1:17" ht="15">
      <c r="A19" s="161"/>
      <c r="B19" s="161"/>
      <c r="C19" s="160"/>
      <c r="D19" s="160"/>
      <c r="E19" s="147"/>
      <c r="F19" s="147"/>
      <c r="G19" s="159" t="str">
        <f>IF(Offerteblad!G13=0,"",Offerteblad!G13)</f>
        <v/>
      </c>
      <c r="H19" s="29" t="str">
        <f>IF(Offerteblad!E13=$C$16,"", Offerteblad!E13)</f>
        <v/>
      </c>
      <c r="I19" s="149" t="str">
        <f>IF(Offerteblad!H13= 0, "",Offerteblad!H13)</f>
        <v/>
      </c>
      <c r="J19" s="150" t="str">
        <f>IF(Offerteblad!I13= 0, "",Offerteblad!I13)</f>
        <v/>
      </c>
      <c r="K19" s="157" t="str">
        <f>IF(Offerteblad!K13= 0, "",Offerteblad!K13)</f>
        <v/>
      </c>
      <c r="M19" s="19"/>
    </row>
    <row r="20" spans="1:17" ht="15">
      <c r="A20" s="161"/>
      <c r="B20" s="161"/>
      <c r="C20" s="160"/>
      <c r="D20" s="160"/>
      <c r="E20" s="147"/>
      <c r="F20" s="147"/>
      <c r="G20" s="159" t="str">
        <f>IF(Offerteblad!G14=0,"",Offerteblad!G14)</f>
        <v/>
      </c>
      <c r="H20" s="29" t="str">
        <f>IF(Offerteblad!E14=$C$16,"", Offerteblad!E14)</f>
        <v/>
      </c>
      <c r="I20" s="149" t="str">
        <f>IF(Offerteblad!H14= 0, "",Offerteblad!H14)</f>
        <v/>
      </c>
      <c r="J20" s="150" t="str">
        <f>IF(Offerteblad!I14= 0, "",Offerteblad!I14)</f>
        <v/>
      </c>
      <c r="K20" s="157" t="str">
        <f>IF(Offerteblad!K14= 0, "",Offerteblad!K14)</f>
        <v/>
      </c>
      <c r="M20" s="19"/>
    </row>
    <row r="21" spans="1:17">
      <c r="A21" s="161"/>
      <c r="B21" s="161"/>
      <c r="C21" s="160"/>
      <c r="D21" s="160"/>
      <c r="E21" s="147"/>
      <c r="F21" s="147"/>
      <c r="G21" s="159" t="str">
        <f>IF(Offerteblad!G15=0,"",Offerteblad!G15)</f>
        <v/>
      </c>
      <c r="H21" s="29" t="str">
        <f>IF(Offerteblad!E15=$C$16,"", Offerteblad!E15)</f>
        <v/>
      </c>
      <c r="I21" s="149" t="str">
        <f>IF(Offerteblad!H15= 0, "",Offerteblad!H15)</f>
        <v/>
      </c>
      <c r="J21" s="150" t="str">
        <f>IF(Offerteblad!I15= 0, "",Offerteblad!I15)</f>
        <v/>
      </c>
      <c r="K21" s="157" t="str">
        <f>IF(Offerteblad!K15= 0, "",Offerteblad!K15)</f>
        <v/>
      </c>
    </row>
    <row r="22" spans="1:17">
      <c r="A22" s="161"/>
      <c r="B22" s="161"/>
      <c r="C22" s="160"/>
      <c r="D22" s="160"/>
      <c r="E22" s="147"/>
      <c r="F22" s="147"/>
      <c r="G22" s="159" t="str">
        <f>IF(Offerteblad!G16=0,"",Offerteblad!G16)</f>
        <v/>
      </c>
      <c r="H22" s="29" t="str">
        <f>IF(Offerteblad!E16=$C$16,"", Offerteblad!E16)</f>
        <v/>
      </c>
      <c r="I22" s="149" t="str">
        <f>IF(Offerteblad!H16= 0, "",Offerteblad!H16)</f>
        <v/>
      </c>
      <c r="J22" s="150" t="str">
        <f>IF(Offerteblad!I16= 0, "",Offerteblad!I16)</f>
        <v/>
      </c>
      <c r="K22" s="157" t="str">
        <f>IF(Offerteblad!K16= 0, "",Offerteblad!K16)</f>
        <v/>
      </c>
    </row>
    <row r="23" spans="1:17">
      <c r="A23" s="161"/>
      <c r="B23" s="161"/>
      <c r="C23" s="160"/>
      <c r="D23" s="160"/>
      <c r="E23" s="147"/>
      <c r="F23" s="147"/>
      <c r="G23" s="159" t="str">
        <f>IF(Offerteblad!G17=0,"",Offerteblad!G17)</f>
        <v/>
      </c>
      <c r="H23" s="29" t="str">
        <f>IF(Offerteblad!E17=$C$16,"", Offerteblad!E17)</f>
        <v/>
      </c>
      <c r="I23" s="149" t="str">
        <f>IF(Offerteblad!H17= 0, "",Offerteblad!H17)</f>
        <v/>
      </c>
      <c r="J23" s="150" t="str">
        <f>IF(Offerteblad!I17= 0, "",Offerteblad!I17)</f>
        <v/>
      </c>
      <c r="K23" s="157" t="str">
        <f>IF(Offerteblad!K17= 0, "",Offerteblad!K17)</f>
        <v/>
      </c>
    </row>
    <row r="24" spans="1:17">
      <c r="A24" s="161"/>
      <c r="B24" s="161"/>
      <c r="C24" s="160"/>
      <c r="D24" s="160"/>
      <c r="E24" s="147"/>
      <c r="F24" s="147"/>
      <c r="G24" s="159" t="str">
        <f>IF(Offerteblad!G18=0,"",Offerteblad!G18)</f>
        <v/>
      </c>
      <c r="H24" s="29" t="str">
        <f>IF(Offerteblad!E18=$C$16,"", Offerteblad!E18)</f>
        <v/>
      </c>
      <c r="I24" s="149" t="str">
        <f>IF(Offerteblad!H18= 0, "",Offerteblad!H18)</f>
        <v/>
      </c>
      <c r="J24" s="150" t="str">
        <f>IF(Offerteblad!I18= 0, "",Offerteblad!I18)</f>
        <v/>
      </c>
      <c r="K24" s="157" t="str">
        <f>IF(Offerteblad!K18= 0, "",Offerteblad!K18)</f>
        <v/>
      </c>
    </row>
    <row r="25" spans="1:17">
      <c r="A25" s="161"/>
      <c r="B25" s="161"/>
      <c r="C25" s="160"/>
      <c r="D25" s="160"/>
      <c r="E25" s="147"/>
      <c r="F25" s="147"/>
      <c r="G25" s="159" t="str">
        <f>IF(Offerteblad!G19=0,"",Offerteblad!G19)</f>
        <v/>
      </c>
      <c r="H25" s="29" t="str">
        <f>IF(Offerteblad!E19=$C$16,"", Offerteblad!E19)</f>
        <v/>
      </c>
      <c r="I25" s="149" t="str">
        <f>IF(Offerteblad!H19= 0, "",Offerteblad!H19)</f>
        <v/>
      </c>
      <c r="J25" s="150" t="str">
        <f>IF(Offerteblad!I19= 0, "",Offerteblad!I19)</f>
        <v/>
      </c>
      <c r="K25" s="157" t="str">
        <f>IF(Offerteblad!K19= 0, "",Offerteblad!K19)</f>
        <v/>
      </c>
    </row>
    <row r="26" spans="1:17">
      <c r="A26" s="161"/>
      <c r="B26" s="161"/>
      <c r="C26" s="160"/>
      <c r="D26" s="160"/>
      <c r="E26" s="147"/>
      <c r="F26" s="147"/>
      <c r="G26" s="159" t="str">
        <f>IF(Offerteblad!G20=0,"",Offerteblad!G20)</f>
        <v/>
      </c>
      <c r="H26" s="29" t="str">
        <f>IF(Offerteblad!E20=$C$16,"", Offerteblad!E20)</f>
        <v/>
      </c>
      <c r="I26" s="149" t="str">
        <f>IF(Offerteblad!H20= 0, "",Offerteblad!H20)</f>
        <v/>
      </c>
      <c r="J26" s="150" t="str">
        <f>IF(Offerteblad!I20= 0, "",Offerteblad!I20)</f>
        <v/>
      </c>
      <c r="K26" s="157" t="str">
        <f>IF(Offerteblad!K20= 0, "",Offerteblad!K20)</f>
        <v/>
      </c>
    </row>
    <row r="27" spans="1:17">
      <c r="A27" s="161"/>
      <c r="B27" s="161"/>
      <c r="C27" s="160"/>
      <c r="D27" s="160"/>
      <c r="E27" s="147"/>
      <c r="F27" s="147"/>
      <c r="G27" s="159" t="str">
        <f>IF(Offerteblad!G21=0,"",Offerteblad!G21)</f>
        <v/>
      </c>
      <c r="H27" s="29" t="str">
        <f>IF(Offerteblad!E21=$C$16,"", Offerteblad!E21)</f>
        <v/>
      </c>
      <c r="I27" s="149" t="str">
        <f>IF(Offerteblad!H21= 0, "",Offerteblad!H21)</f>
        <v/>
      </c>
      <c r="J27" s="150" t="str">
        <f>IF(Offerteblad!I21= 0, "",Offerteblad!I21)</f>
        <v/>
      </c>
      <c r="K27" s="157" t="str">
        <f>IF(Offerteblad!K21= 0, "",Offerteblad!K21)</f>
        <v/>
      </c>
    </row>
    <row r="28" spans="1:17">
      <c r="A28" s="161"/>
      <c r="B28" s="161"/>
      <c r="C28" s="160"/>
      <c r="D28" s="160"/>
      <c r="E28" s="147"/>
      <c r="F28" s="147"/>
      <c r="G28" s="159" t="str">
        <f>IF(Offerteblad!G22=0,"",Offerteblad!G22)</f>
        <v/>
      </c>
      <c r="H28" s="29" t="str">
        <f>IF(Offerteblad!E22=$C$16,"", Offerteblad!E22)</f>
        <v/>
      </c>
      <c r="I28" s="149" t="str">
        <f>IF(Offerteblad!H22= 0, "",Offerteblad!H22)</f>
        <v/>
      </c>
      <c r="J28" s="150" t="str">
        <f>IF(Offerteblad!I22= 0, "",Offerteblad!I22)</f>
        <v/>
      </c>
      <c r="K28" s="157" t="str">
        <f>IF(Offerteblad!K22= 0, "",Offerteblad!K22)</f>
        <v/>
      </c>
    </row>
    <row r="29" spans="1:17">
      <c r="A29" s="161"/>
      <c r="B29" s="161"/>
      <c r="C29" s="160"/>
      <c r="D29" s="160"/>
      <c r="E29" s="147"/>
      <c r="F29" s="147"/>
      <c r="G29" s="159" t="str">
        <f>IF(Offerteblad!G23=0,"",Offerteblad!G23)</f>
        <v/>
      </c>
      <c r="H29" s="29" t="str">
        <f>IF(Offerteblad!E23=$C$16,"", Offerteblad!E23)</f>
        <v/>
      </c>
      <c r="I29" s="149" t="str">
        <f>IF(Offerteblad!H23= 0, "",Offerteblad!H23)</f>
        <v/>
      </c>
      <c r="J29" s="150" t="str">
        <f>IF(Offerteblad!I23= 0, "",Offerteblad!I23)</f>
        <v/>
      </c>
      <c r="K29" s="157" t="str">
        <f>IF(Offerteblad!K23= 0, "",Offerteblad!K23)</f>
        <v/>
      </c>
    </row>
    <row r="30" spans="1:17">
      <c r="A30" s="161"/>
      <c r="B30" s="161"/>
      <c r="C30" s="160"/>
      <c r="D30" s="160"/>
      <c r="E30" s="147"/>
      <c r="F30" s="147"/>
      <c r="G30" s="159" t="str">
        <f>IF(Offerteblad!G24=0,"",Offerteblad!G24)</f>
        <v/>
      </c>
      <c r="H30" s="29" t="str">
        <f>IF(Offerteblad!E24=$C$16,"", Offerteblad!E24)</f>
        <v/>
      </c>
      <c r="I30" s="149" t="str">
        <f>IF(Offerteblad!H24= 0, "",Offerteblad!H24)</f>
        <v/>
      </c>
      <c r="J30" s="150" t="str">
        <f>IF(Offerteblad!I24= 0, "",Offerteblad!I24)</f>
        <v/>
      </c>
      <c r="K30" s="157" t="str">
        <f>IF(Offerteblad!K24= 0, "",Offerteblad!K24)</f>
        <v/>
      </c>
    </row>
    <row r="31" spans="1:17">
      <c r="A31" s="161"/>
      <c r="B31" s="161"/>
      <c r="C31" s="160"/>
      <c r="D31" s="160"/>
      <c r="E31" s="147"/>
      <c r="F31" s="147"/>
      <c r="G31" s="159" t="str">
        <f>IF(Offerteblad!G25=0,"",Offerteblad!G25)</f>
        <v/>
      </c>
      <c r="H31" s="29" t="str">
        <f>IF(Offerteblad!E25=$C$16,"", Offerteblad!E25)</f>
        <v/>
      </c>
      <c r="I31" s="149" t="str">
        <f>IF(Offerteblad!H25= 0, "",Offerteblad!H25)</f>
        <v/>
      </c>
      <c r="J31" s="150" t="str">
        <f>IF(Offerteblad!I25= 0, "",Offerteblad!I25)</f>
        <v/>
      </c>
      <c r="K31" s="157" t="str">
        <f>IF(Offerteblad!K25= 0, "",Offerteblad!K25)</f>
        <v/>
      </c>
    </row>
    <row r="32" spans="1:17">
      <c r="A32" s="161"/>
      <c r="B32" s="161"/>
      <c r="C32" s="160"/>
      <c r="D32" s="160"/>
      <c r="E32" s="147"/>
      <c r="F32" s="147"/>
      <c r="G32" s="159" t="str">
        <f>IF(Offerteblad!G26=0,"",Offerteblad!G26)</f>
        <v/>
      </c>
      <c r="H32" s="29" t="str">
        <f>IF(Offerteblad!E26=$C$16,"", Offerteblad!E26)</f>
        <v/>
      </c>
      <c r="I32" s="149" t="str">
        <f>IF(Offerteblad!H26= 0, "",Offerteblad!H26)</f>
        <v/>
      </c>
      <c r="J32" s="150" t="str">
        <f>IF(Offerteblad!I26= 0, "",Offerteblad!I26)</f>
        <v/>
      </c>
      <c r="K32" s="157" t="str">
        <f>IF(Offerteblad!K26= 0, "",Offerteblad!K26)</f>
        <v/>
      </c>
    </row>
    <row r="33" spans="1:12">
      <c r="A33" s="161"/>
      <c r="B33" s="161"/>
      <c r="C33" s="160"/>
      <c r="D33" s="160"/>
      <c r="E33" s="147"/>
      <c r="F33" s="147"/>
      <c r="G33" s="159" t="str">
        <f>IF(Offerteblad!G27=0,"",Offerteblad!G27)</f>
        <v/>
      </c>
      <c r="H33" s="29" t="str">
        <f>IF(Offerteblad!E27=$C$16,"", Offerteblad!E27)</f>
        <v/>
      </c>
      <c r="I33" s="149" t="str">
        <f>IF(Offerteblad!H27= 0, "",Offerteblad!H27)</f>
        <v/>
      </c>
      <c r="J33" s="150" t="str">
        <f>IF(Offerteblad!I27= 0, "",Offerteblad!I27)</f>
        <v/>
      </c>
      <c r="K33" s="157" t="str">
        <f>IF(Offerteblad!K27= 0, "",Offerteblad!K27)</f>
        <v/>
      </c>
    </row>
    <row r="34" spans="1:12">
      <c r="A34" s="161"/>
      <c r="B34" s="161"/>
      <c r="C34" s="160"/>
      <c r="D34" s="160"/>
      <c r="E34" s="147"/>
      <c r="F34" s="147"/>
      <c r="G34" s="159" t="str">
        <f>IF(Offerteblad!G28=0,"",Offerteblad!G28)</f>
        <v/>
      </c>
      <c r="H34" s="29" t="str">
        <f>IF(Offerteblad!E28=$C$16,"", Offerteblad!E28)</f>
        <v/>
      </c>
      <c r="I34" s="149" t="str">
        <f>IF(Offerteblad!H28= 0, "",Offerteblad!H28)</f>
        <v/>
      </c>
      <c r="J34" s="150" t="str">
        <f>IF(Offerteblad!I28= 0, "",Offerteblad!I28)</f>
        <v/>
      </c>
      <c r="K34" s="157" t="str">
        <f>IF(Offerteblad!K28= 0, "",Offerteblad!K28)</f>
        <v/>
      </c>
    </row>
    <row r="35" spans="1:12">
      <c r="A35" s="161"/>
      <c r="B35" s="161"/>
      <c r="C35" s="160"/>
      <c r="D35" s="160"/>
      <c r="E35" s="147"/>
      <c r="F35" s="147"/>
      <c r="G35" s="159" t="str">
        <f>IF(Offerteblad!G29=0,"",Offerteblad!G29)</f>
        <v/>
      </c>
      <c r="H35" s="29" t="str">
        <f>IF(Offerteblad!E29=$C$16,"", Offerteblad!E29)</f>
        <v/>
      </c>
      <c r="I35" s="149" t="str">
        <f>IF(Offerteblad!H29= 0, "",Offerteblad!H29)</f>
        <v/>
      </c>
      <c r="J35" s="150" t="str">
        <f>IF(Offerteblad!I29= 0, "",Offerteblad!I29)</f>
        <v/>
      </c>
      <c r="K35" s="157" t="str">
        <f>IF(Offerteblad!K29= 0, "",Offerteblad!K29)</f>
        <v/>
      </c>
    </row>
    <row r="36" spans="1:12" ht="13.5" thickBot="1">
      <c r="A36" s="161"/>
      <c r="B36" s="161"/>
      <c r="C36" s="160"/>
      <c r="D36" s="160"/>
      <c r="E36" s="147"/>
      <c r="F36" s="147"/>
      <c r="G36" s="237" t="str">
        <f>IF(Offerteblad!G30=0,"",Offerteblad!G30)</f>
        <v/>
      </c>
      <c r="H36" s="85" t="str">
        <f>IF(Offerteblad!E30=$C$16,"", Offerteblad!E30)</f>
        <v/>
      </c>
      <c r="I36" s="156" t="str">
        <f>IF(Offerteblad!H30= 0, "",Offerteblad!H30)</f>
        <v/>
      </c>
      <c r="J36" s="150" t="str">
        <f>IF(Offerteblad!I30= 0, "",Offerteblad!I30)</f>
        <v/>
      </c>
      <c r="K36" s="157" t="str">
        <f>IF(Offerteblad!K30= 0, "",Offerteblad!K30)</f>
        <v/>
      </c>
    </row>
    <row r="37" spans="1:12" ht="15.75" thickBot="1">
      <c r="A37" s="370" t="s">
        <v>127</v>
      </c>
      <c r="B37" s="371"/>
      <c r="C37" s="371"/>
      <c r="D37" s="371"/>
      <c r="E37" s="371"/>
      <c r="F37" s="371"/>
      <c r="G37" s="372"/>
      <c r="H37" s="371"/>
      <c r="I37" s="373"/>
      <c r="J37" s="368">
        <f>SUM(K18:K36)</f>
        <v>0</v>
      </c>
      <c r="K37" s="369"/>
    </row>
    <row r="38" spans="1:12">
      <c r="A38" s="389"/>
      <c r="B38" s="390"/>
      <c r="C38" s="390"/>
      <c r="D38" s="390"/>
      <c r="E38" s="390"/>
      <c r="F38" s="390"/>
      <c r="G38" s="390"/>
      <c r="H38" s="390"/>
      <c r="I38" s="391"/>
      <c r="J38" s="364"/>
      <c r="K38" s="365"/>
    </row>
    <row r="39" spans="1:12">
      <c r="A39" s="392" t="s">
        <v>51</v>
      </c>
      <c r="B39" s="393"/>
      <c r="C39" s="393"/>
      <c r="D39" s="393"/>
      <c r="E39" s="393"/>
      <c r="F39" s="393"/>
      <c r="G39" s="393"/>
      <c r="H39" s="393"/>
      <c r="I39" s="394"/>
      <c r="J39" s="366">
        <f>Offerteblad!K35</f>
        <v>0</v>
      </c>
      <c r="K39" s="367"/>
    </row>
    <row r="40" spans="1:12">
      <c r="A40" s="399" t="s">
        <v>158</v>
      </c>
      <c r="B40" s="400"/>
      <c r="C40" s="400"/>
      <c r="D40" s="400"/>
      <c r="E40" s="400"/>
      <c r="F40" s="400"/>
      <c r="G40" s="400"/>
      <c r="H40" s="400"/>
      <c r="I40" s="401"/>
      <c r="J40" s="402"/>
      <c r="K40" s="403"/>
    </row>
    <row r="41" spans="1:12">
      <c r="A41" s="374" t="str">
        <f>IF(Offerteblad!$F$39='blad 1'!A3, "", IF(Offerteblad!F36= 0, "",Offerteblad!F36))</f>
        <v/>
      </c>
      <c r="B41" s="374"/>
      <c r="C41" s="383" t="str">
        <f>Offerteblad!H36</f>
        <v xml:space="preserve"> </v>
      </c>
      <c r="D41" s="384"/>
      <c r="E41" s="384"/>
      <c r="F41" s="384"/>
      <c r="G41" s="384"/>
      <c r="H41" s="384"/>
      <c r="I41" s="385"/>
      <c r="J41" s="366" t="str">
        <f>Offerteblad!K36</f>
        <v/>
      </c>
      <c r="K41" s="367"/>
    </row>
    <row r="42" spans="1:12">
      <c r="A42" s="374" t="str">
        <f>IF(Offerteblad!$F$39='blad 1'!A4, "", IF(Offerteblad!F37= 0, "",Offerteblad!F37))</f>
        <v/>
      </c>
      <c r="B42" s="374"/>
      <c r="C42" s="383" t="str">
        <f>Offerteblad!H37</f>
        <v xml:space="preserve"> </v>
      </c>
      <c r="D42" s="384"/>
      <c r="E42" s="384"/>
      <c r="F42" s="384"/>
      <c r="G42" s="384"/>
      <c r="H42" s="384"/>
      <c r="I42" s="385"/>
      <c r="J42" s="366" t="str">
        <f>Offerteblad!K37</f>
        <v/>
      </c>
      <c r="K42" s="367"/>
    </row>
    <row r="43" spans="1:12">
      <c r="A43" s="374" t="str">
        <f>IF(Offerteblad!$F$39='blad 1'!A5, "", IF(Offerteblad!F38= 0, "",Offerteblad!F38))</f>
        <v/>
      </c>
      <c r="B43" s="374"/>
      <c r="C43" s="383" t="str">
        <f>Offerteblad!H38</f>
        <v xml:space="preserve"> </v>
      </c>
      <c r="D43" s="384"/>
      <c r="E43" s="384"/>
      <c r="F43" s="384"/>
      <c r="G43" s="384"/>
      <c r="H43" s="384"/>
      <c r="I43" s="385"/>
      <c r="J43" s="366" t="str">
        <f>Offerteblad!K38</f>
        <v/>
      </c>
      <c r="K43" s="367"/>
    </row>
    <row r="44" spans="1:12">
      <c r="A44" s="408" t="str">
        <f>IF(J45="","",IF(J45&gt;0,1,""))</f>
        <v/>
      </c>
      <c r="B44" s="409"/>
      <c r="C44" s="94" t="str">
        <f>Offerteblad!H39</f>
        <v>Bezorgkosten beglazingsmateriaal</v>
      </c>
      <c r="D44" s="95"/>
      <c r="E44" s="95"/>
      <c r="F44" s="95"/>
      <c r="G44" s="95"/>
      <c r="H44" s="95"/>
      <c r="I44" s="96"/>
      <c r="J44" s="366" t="str">
        <f>Offerteblad!K39</f>
        <v/>
      </c>
      <c r="K44" s="367"/>
    </row>
    <row r="45" spans="1:12">
      <c r="A45" s="404" t="s">
        <v>226</v>
      </c>
      <c r="B45" s="405"/>
      <c r="C45" s="405"/>
      <c r="D45" s="405"/>
      <c r="E45" s="405"/>
      <c r="F45" s="405"/>
      <c r="G45" s="405"/>
      <c r="H45" s="405"/>
      <c r="I45" s="406"/>
      <c r="J45" s="366" t="str">
        <f>Offerteblad!K40</f>
        <v/>
      </c>
      <c r="K45" s="367"/>
    </row>
    <row r="46" spans="1:12">
      <c r="A46" s="374" t="s">
        <v>156</v>
      </c>
      <c r="B46" s="374"/>
      <c r="C46" s="374"/>
      <c r="D46" s="222" t="str">
        <f>IF(Offerteblad!C57='blad 2'!T12, "",Offerteblad!C57)</f>
        <v>Bezorgen</v>
      </c>
      <c r="E46" s="396" t="str">
        <f>IF(Offerteblad!D57='blad 2'!T19, "", Offerteblad!D57)</f>
        <v>&lt; kies locatie &gt;</v>
      </c>
      <c r="F46" s="407"/>
      <c r="G46" s="407"/>
      <c r="H46" s="414" t="str">
        <f>CONCATENATE("Af: ",Offerteblad!H42)</f>
        <v>Af: Korting</v>
      </c>
      <c r="I46" s="414"/>
      <c r="J46" s="358" t="str">
        <f>IF(Offerteblad!K42=0,"",Offerteblad!K42)</f>
        <v/>
      </c>
      <c r="K46" s="359"/>
      <c r="L46" s="34"/>
    </row>
    <row r="47" spans="1:12" ht="15.75">
      <c r="A47" s="379" t="s">
        <v>82</v>
      </c>
      <c r="B47" s="379"/>
      <c r="C47" s="379"/>
      <c r="D47" s="396" t="str">
        <f>IF(Offerteblad!C59="&lt;selecteer&gt;","Nee",Offerteblad!C59)</f>
        <v>Nee</v>
      </c>
      <c r="E47" s="396"/>
      <c r="F47" s="396"/>
      <c r="G47" s="397"/>
      <c r="H47" s="382" t="s">
        <v>55</v>
      </c>
      <c r="I47" s="382"/>
      <c r="J47" s="360">
        <f>Offerteblad!K44</f>
        <v>0</v>
      </c>
      <c r="K47" s="361"/>
    </row>
    <row r="48" spans="1:12" ht="15">
      <c r="A48" s="380" t="str">
        <f>IF(Offerteblad!C60=0,"",Offerteblad!C60)</f>
        <v/>
      </c>
      <c r="B48" s="381"/>
      <c r="C48" s="381"/>
      <c r="D48" s="378"/>
      <c r="E48" s="378"/>
      <c r="F48" s="378"/>
      <c r="G48" s="103"/>
      <c r="H48" s="375" t="s">
        <v>78</v>
      </c>
      <c r="I48" s="376"/>
      <c r="J48" s="362">
        <f>Offerteblad!K45</f>
        <v>0</v>
      </c>
      <c r="K48" s="363"/>
    </row>
    <row r="49" spans="1:11" ht="15.75">
      <c r="A49" s="377" t="str">
        <f>IF(Offerteblad!C61=0,"",Offerteblad!C61)</f>
        <v/>
      </c>
      <c r="B49" s="378"/>
      <c r="C49" s="378"/>
      <c r="D49" s="378"/>
      <c r="E49" s="378"/>
      <c r="F49" s="378"/>
      <c r="G49" s="62"/>
      <c r="H49" s="412" t="s">
        <v>30</v>
      </c>
      <c r="I49" s="413"/>
      <c r="J49" s="353">
        <f>Offerteblad!K46</f>
        <v>0</v>
      </c>
      <c r="K49" s="354"/>
    </row>
    <row r="50" spans="1:11" ht="15.75" customHeight="1">
      <c r="A50" s="377" t="str">
        <f>IF(Offerteblad!C62=0,"",Offerteblad!C62)</f>
        <v/>
      </c>
      <c r="B50" s="378"/>
      <c r="C50" s="378" t="str">
        <f>IF(Offerteblad!C63=0,"",Offerteblad!C63)</f>
        <v/>
      </c>
      <c r="D50" s="378"/>
      <c r="E50" s="378"/>
      <c r="F50" s="378"/>
      <c r="G50" s="62"/>
      <c r="H50" s="112"/>
      <c r="I50" s="411"/>
      <c r="J50" s="411"/>
      <c r="K50" s="411"/>
    </row>
    <row r="51" spans="1:11" ht="15">
      <c r="A51" s="86" t="s">
        <v>83</v>
      </c>
      <c r="B51" s="410" t="str">
        <f>IF(Offerteblad!C65=0, "",Offerteblad!C65)</f>
        <v/>
      </c>
      <c r="C51" s="410"/>
      <c r="D51" s="410"/>
      <c r="E51" s="410"/>
      <c r="F51" s="410"/>
      <c r="G51" s="223"/>
      <c r="H51" s="93"/>
      <c r="I51" s="93"/>
      <c r="J51" s="93"/>
      <c r="K51" s="93"/>
    </row>
    <row r="52" spans="1:11" ht="15" customHeight="1">
      <c r="A52" s="421"/>
      <c r="B52" s="421"/>
      <c r="C52" s="421"/>
      <c r="D52" s="421"/>
      <c r="E52" s="421"/>
      <c r="F52" s="421"/>
      <c r="G52" s="421"/>
      <c r="H52" s="421"/>
      <c r="I52" s="421"/>
      <c r="J52" s="421"/>
      <c r="K52" s="421"/>
    </row>
    <row r="53" spans="1:11" ht="15">
      <c r="A53" s="32" t="s">
        <v>77</v>
      </c>
    </row>
    <row r="54" spans="1:11" ht="15">
      <c r="A54" s="99" t="s">
        <v>157</v>
      </c>
    </row>
    <row r="55" spans="1:11" ht="15">
      <c r="A55" s="33"/>
    </row>
  </sheetData>
  <sheetProtection password="E729" sheet="1" objects="1" scenarios="1" selectLockedCells="1" selectUnlockedCells="1"/>
  <mergeCells count="48">
    <mergeCell ref="I16:J16"/>
    <mergeCell ref="A46:C46"/>
    <mergeCell ref="D47:G47"/>
    <mergeCell ref="I10:K10"/>
    <mergeCell ref="J39:K39"/>
    <mergeCell ref="A38:I38"/>
    <mergeCell ref="J37:K37"/>
    <mergeCell ref="J38:K38"/>
    <mergeCell ref="C42:I42"/>
    <mergeCell ref="C43:I43"/>
    <mergeCell ref="E16:F16"/>
    <mergeCell ref="I5:K5"/>
    <mergeCell ref="I6:K6"/>
    <mergeCell ref="I7:K7"/>
    <mergeCell ref="I8:K8"/>
    <mergeCell ref="I9:K9"/>
    <mergeCell ref="A37:I37"/>
    <mergeCell ref="J45:K45"/>
    <mergeCell ref="J46:K46"/>
    <mergeCell ref="J47:K47"/>
    <mergeCell ref="J48:K48"/>
    <mergeCell ref="A47:C47"/>
    <mergeCell ref="A48:F48"/>
    <mergeCell ref="A43:B43"/>
    <mergeCell ref="A39:I39"/>
    <mergeCell ref="H47:I47"/>
    <mergeCell ref="A52:K52"/>
    <mergeCell ref="A40:I40"/>
    <mergeCell ref="J40:K40"/>
    <mergeCell ref="A45:I45"/>
    <mergeCell ref="E46:G46"/>
    <mergeCell ref="A44:B44"/>
    <mergeCell ref="A50:B50"/>
    <mergeCell ref="C50:F50"/>
    <mergeCell ref="I50:K50"/>
    <mergeCell ref="J42:K42"/>
    <mergeCell ref="J43:K43"/>
    <mergeCell ref="H46:I46"/>
    <mergeCell ref="J49:K49"/>
    <mergeCell ref="A49:F49"/>
    <mergeCell ref="A41:B41"/>
    <mergeCell ref="A42:B42"/>
    <mergeCell ref="B51:F51"/>
    <mergeCell ref="J44:K44"/>
    <mergeCell ref="C41:I41"/>
    <mergeCell ref="J41:K41"/>
    <mergeCell ref="H49:I49"/>
    <mergeCell ref="H48:I48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 r:id="rId2"/>
  <headerFooter alignWithMargins="0">
    <oddFooter>&amp;CBTW-nr: NL8153.29.635.B01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N4"/>
  <sheetViews>
    <sheetView workbookViewId="0">
      <selection activeCell="A3" sqref="A3"/>
    </sheetView>
  </sheetViews>
  <sheetFormatPr defaultColWidth="11.42578125" defaultRowHeight="14.25"/>
  <cols>
    <col min="1" max="16384" width="11.42578125" style="114"/>
  </cols>
  <sheetData>
    <row r="1" spans="1:14">
      <c r="A1" s="113" t="s">
        <v>172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4">
      <c r="A3" s="113" t="s">
        <v>37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14">
      <c r="A4" s="113" t="s">
        <v>173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</sheetData>
  <sheetProtection password="E729" sheet="1" objects="1" scenario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>
    <pageSetUpPr fitToPage="1"/>
  </sheetPr>
  <dimension ref="A1:R40"/>
  <sheetViews>
    <sheetView workbookViewId="0">
      <selection activeCell="I23" sqref="I23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3" style="14" customWidth="1"/>
    <col min="5" max="5" width="9" style="14" customWidth="1"/>
    <col min="6" max="6" width="6.42578125" style="14" customWidth="1"/>
    <col min="7" max="7" width="6.140625" style="14" customWidth="1"/>
    <col min="8" max="8" width="22" style="14" customWidth="1"/>
    <col min="9" max="9" width="5.28515625" style="14" customWidth="1"/>
    <col min="10" max="10" width="9" style="14" customWidth="1"/>
    <col min="11" max="11" width="9.42578125" style="14" customWidth="1"/>
    <col min="12" max="12" width="12.85546875" style="14" customWidth="1"/>
    <col min="13" max="13" width="19.28515625" style="14" customWidth="1"/>
    <col min="14" max="14" width="17" style="14" customWidth="1"/>
    <col min="15" max="17" width="9.140625" style="14" hidden="1" customWidth="1"/>
    <col min="18" max="16384" width="11.42578125" style="14"/>
  </cols>
  <sheetData>
    <row r="1" spans="1:13" ht="18">
      <c r="A1" s="28" t="s">
        <v>98</v>
      </c>
      <c r="B1" s="16"/>
      <c r="C1" s="16"/>
      <c r="J1" s="15"/>
    </row>
    <row r="2" spans="1:13" ht="15.75">
      <c r="A2" s="35"/>
      <c r="B2" s="17"/>
      <c r="C2" s="17"/>
      <c r="D2" s="50"/>
    </row>
    <row r="3" spans="1:13">
      <c r="A3" s="37"/>
      <c r="B3" s="37"/>
      <c r="C3" s="37"/>
      <c r="D3" s="39"/>
    </row>
    <row r="4" spans="1:13">
      <c r="A4" s="37" t="s">
        <v>74</v>
      </c>
      <c r="B4" s="38"/>
      <c r="C4" s="52"/>
      <c r="D4" s="39">
        <f ca="1">TODAY()</f>
        <v>42227</v>
      </c>
    </row>
    <row r="5" spans="1:13">
      <c r="A5" s="36" t="s">
        <v>85</v>
      </c>
      <c r="B5" s="38"/>
      <c r="C5" s="38"/>
      <c r="D5" s="53">
        <f>Offerteblad!K3</f>
        <v>0</v>
      </c>
      <c r="I5" s="386" t="str">
        <f>offerte!I6</f>
        <v>Voorsterweg 20</v>
      </c>
      <c r="J5" s="386"/>
      <c r="K5" s="386"/>
    </row>
    <row r="6" spans="1:13" ht="15.75">
      <c r="H6" s="18"/>
      <c r="I6" s="386" t="str">
        <f>offerte!I7</f>
        <v>7371 GC Loenen Gld.</v>
      </c>
      <c r="J6" s="386"/>
      <c r="K6" s="386"/>
    </row>
    <row r="7" spans="1:13" ht="15">
      <c r="A7" s="14" t="s">
        <v>97</v>
      </c>
      <c r="D7" s="69" t="str">
        <f>IF(Offerteblad!C56="", "zsm",Offerteblad!C56)</f>
        <v>zsm</v>
      </c>
      <c r="H7" s="19"/>
      <c r="I7" s="415" t="s">
        <v>196</v>
      </c>
      <c r="J7" s="387"/>
      <c r="K7" s="387"/>
    </row>
    <row r="8" spans="1:13" ht="15">
      <c r="H8" s="19"/>
      <c r="I8" s="387" t="s">
        <v>276</v>
      </c>
      <c r="J8" s="387"/>
      <c r="K8" s="387"/>
    </row>
    <row r="9" spans="1:13" ht="15">
      <c r="A9" s="14" t="s">
        <v>81</v>
      </c>
      <c r="D9" s="55">
        <f>IF(Offerteblad!C60="",Offerteblad!C48,Offerteblad!C60)</f>
        <v>0</v>
      </c>
      <c r="E9" s="56"/>
      <c r="F9" s="56"/>
      <c r="G9" s="103"/>
      <c r="H9" s="19"/>
      <c r="I9" s="387" t="s">
        <v>167</v>
      </c>
      <c r="J9" s="387"/>
      <c r="K9" s="387"/>
    </row>
    <row r="10" spans="1:13" ht="15">
      <c r="C10" s="20"/>
      <c r="D10" s="57">
        <f>IF(Offerteblad!C61="",Offerteblad!C49,Offerteblad!C61)</f>
        <v>0</v>
      </c>
      <c r="E10" s="19"/>
      <c r="F10" s="19"/>
      <c r="G10" s="58"/>
      <c r="H10" s="19"/>
      <c r="I10" s="355" t="s">
        <v>80</v>
      </c>
      <c r="J10" s="356"/>
      <c r="K10" s="356"/>
    </row>
    <row r="11" spans="1:13" ht="15">
      <c r="C11" s="20"/>
      <c r="D11" s="59">
        <f>IF(Offerteblad!C62="", Offerteblad!C50,Offerteblad!C62)</f>
        <v>0</v>
      </c>
      <c r="E11" s="102">
        <f>IF(Offerteblad!C63="",Offerteblad!C51,Offerteblad!C63)</f>
        <v>0</v>
      </c>
      <c r="F11" s="102"/>
      <c r="G11" s="238"/>
      <c r="H11" s="102"/>
      <c r="I11" s="19"/>
      <c r="J11" s="19"/>
    </row>
    <row r="12" spans="1:13" ht="15">
      <c r="A12" s="386" t="s">
        <v>99</v>
      </c>
      <c r="B12" s="386"/>
      <c r="C12" s="386"/>
      <c r="D12" s="60">
        <f>IF(Offerteblad!C65="",Offerteblad!C53,Offerteblad!C65)</f>
        <v>0</v>
      </c>
      <c r="E12" s="61"/>
      <c r="F12" s="19"/>
      <c r="G12" s="58"/>
      <c r="H12" s="61"/>
      <c r="M12" s="19"/>
    </row>
    <row r="13" spans="1:13" ht="15">
      <c r="C13" s="21"/>
      <c r="D13" s="63">
        <f>Offerteblad!C54</f>
        <v>0</v>
      </c>
      <c r="E13" s="64"/>
      <c r="F13" s="64"/>
      <c r="G13" s="104"/>
      <c r="H13" s="61"/>
      <c r="M13" s="19"/>
    </row>
    <row r="14" spans="1:13" ht="15">
      <c r="C14" s="21"/>
      <c r="D14" s="21"/>
      <c r="E14" s="20"/>
      <c r="F14" s="20"/>
      <c r="G14" s="20"/>
      <c r="M14" s="118"/>
    </row>
    <row r="15" spans="1:13">
      <c r="M15" s="118"/>
    </row>
    <row r="16" spans="1:13">
      <c r="C16" s="22" t="s">
        <v>40</v>
      </c>
      <c r="E16" s="407" t="s">
        <v>76</v>
      </c>
      <c r="F16" s="407"/>
      <c r="G16" s="23" t="s">
        <v>6</v>
      </c>
      <c r="H16" s="24" t="s">
        <v>40</v>
      </c>
      <c r="J16" s="395"/>
      <c r="K16" s="428"/>
    </row>
    <row r="17" spans="1:18">
      <c r="A17" s="427" t="s">
        <v>9</v>
      </c>
      <c r="B17" s="427"/>
      <c r="C17" s="427" t="s">
        <v>75</v>
      </c>
      <c r="D17" s="427"/>
      <c r="E17" s="25" t="s">
        <v>46</v>
      </c>
      <c r="F17" s="25" t="s">
        <v>45</v>
      </c>
      <c r="G17" s="219"/>
      <c r="H17" s="219"/>
      <c r="I17" s="219"/>
      <c r="J17" s="65"/>
      <c r="K17" s="65"/>
      <c r="L17" s="26"/>
      <c r="M17" s="125"/>
      <c r="N17" s="26"/>
      <c r="O17" s="26"/>
      <c r="P17" s="26"/>
      <c r="Q17" s="26"/>
      <c r="R17" s="26"/>
    </row>
    <row r="18" spans="1:18">
      <c r="A18" s="426" t="str">
        <f>IF(Offerteblad!G12=0,"",Offerteblad!G12)</f>
        <v/>
      </c>
      <c r="B18" s="426"/>
      <c r="C18" s="422" t="str">
        <f>IF(Offerteblad!E12=$C$16,"", Offerteblad!E12)</f>
        <v/>
      </c>
      <c r="D18" s="422"/>
      <c r="E18" s="29" t="str">
        <f>IF(Offerteblad!H12= 0, "",Offerteblad!H12)</f>
        <v/>
      </c>
      <c r="F18" s="29" t="str">
        <f>IF(Offerteblad!I12= 0, "",Offerteblad!I12-R18)</f>
        <v/>
      </c>
      <c r="G18" s="61"/>
      <c r="H18" s="220"/>
      <c r="I18" s="61"/>
      <c r="J18" s="66"/>
      <c r="K18" s="66"/>
      <c r="M18" s="126"/>
      <c r="N18" s="26"/>
      <c r="O18" s="26"/>
      <c r="P18" s="26"/>
      <c r="Q18" s="26"/>
      <c r="R18" s="26"/>
    </row>
    <row r="19" spans="1:18">
      <c r="A19" s="426" t="str">
        <f>IF(Offerteblad!G13=0,"",Offerteblad!G13)</f>
        <v/>
      </c>
      <c r="B19" s="426"/>
      <c r="C19" s="422" t="str">
        <f>IF(Offerteblad!E13=$C$16,"", Offerteblad!E13)</f>
        <v/>
      </c>
      <c r="D19" s="422"/>
      <c r="E19" s="29" t="str">
        <f>IF(Offerteblad!H13= 0, "",Offerteblad!H13)</f>
        <v/>
      </c>
      <c r="F19" s="29" t="str">
        <f>IF(Offerteblad!I13= 0, "",Offerteblad!I13-R19)</f>
        <v/>
      </c>
      <c r="G19" s="61"/>
      <c r="H19" s="220"/>
      <c r="I19" s="61"/>
      <c r="J19" s="66"/>
      <c r="K19" s="66"/>
      <c r="M19" s="126"/>
      <c r="N19" s="26"/>
      <c r="O19" s="26"/>
      <c r="P19" s="26"/>
      <c r="Q19" s="26"/>
      <c r="R19" s="26"/>
    </row>
    <row r="20" spans="1:18">
      <c r="A20" s="426" t="str">
        <f>IF(Offerteblad!G14=0,"",Offerteblad!G14)</f>
        <v/>
      </c>
      <c r="B20" s="426"/>
      <c r="C20" s="422" t="str">
        <f>IF(Offerteblad!E14=$C$16,"", Offerteblad!E14)</f>
        <v/>
      </c>
      <c r="D20" s="422"/>
      <c r="E20" s="29" t="str">
        <f>IF(Offerteblad!H14= 0, "",Offerteblad!H14)</f>
        <v/>
      </c>
      <c r="F20" s="29" t="str">
        <f>IF(Offerteblad!I14= 0, "",Offerteblad!I14-R20)</f>
        <v/>
      </c>
      <c r="G20" s="61"/>
      <c r="H20" s="220"/>
      <c r="I20" s="61"/>
      <c r="J20" s="66"/>
      <c r="K20" s="66"/>
      <c r="M20" s="126"/>
      <c r="N20" s="26"/>
      <c r="O20" s="26"/>
      <c r="P20" s="26"/>
      <c r="Q20" s="26"/>
      <c r="R20" s="26"/>
    </row>
    <row r="21" spans="1:18">
      <c r="A21" s="426" t="str">
        <f>IF(Offerteblad!G15=0,"",Offerteblad!G15)</f>
        <v/>
      </c>
      <c r="B21" s="426"/>
      <c r="C21" s="422" t="str">
        <f>IF(Offerteblad!E15=$C$16,"", Offerteblad!E15)</f>
        <v/>
      </c>
      <c r="D21" s="422"/>
      <c r="E21" s="29" t="str">
        <f>IF(Offerteblad!H15= 0, "",Offerteblad!H15)</f>
        <v/>
      </c>
      <c r="F21" s="29" t="str">
        <f>IF(Offerteblad!I15= 0, "",Offerteblad!I15-R21)</f>
        <v/>
      </c>
      <c r="G21" s="61"/>
      <c r="H21" s="220"/>
      <c r="I21" s="61"/>
      <c r="J21" s="66"/>
      <c r="K21" s="66"/>
      <c r="M21" s="126"/>
      <c r="N21" s="26"/>
      <c r="O21" s="26"/>
      <c r="P21" s="26"/>
      <c r="Q21" s="26"/>
      <c r="R21" s="26"/>
    </row>
    <row r="22" spans="1:18">
      <c r="A22" s="426" t="str">
        <f>IF(Offerteblad!G16=0,"",Offerteblad!G16)</f>
        <v/>
      </c>
      <c r="B22" s="426"/>
      <c r="C22" s="422" t="str">
        <f>IF(Offerteblad!E16=$C$16,"", Offerteblad!E16)</f>
        <v/>
      </c>
      <c r="D22" s="422"/>
      <c r="E22" s="29" t="str">
        <f>IF(Offerteblad!H16= 0, "",Offerteblad!H16)</f>
        <v/>
      </c>
      <c r="F22" s="29" t="str">
        <f>IF(Offerteblad!I16= 0, "",Offerteblad!I16-R22)</f>
        <v/>
      </c>
      <c r="G22" s="61"/>
      <c r="H22" s="220"/>
      <c r="I22" s="61"/>
      <c r="J22" s="66"/>
      <c r="K22" s="66"/>
      <c r="M22" s="126"/>
      <c r="N22" s="26"/>
      <c r="O22" s="26"/>
      <c r="P22" s="26"/>
      <c r="Q22" s="26"/>
      <c r="R22" s="26"/>
    </row>
    <row r="23" spans="1:18">
      <c r="A23" s="426" t="str">
        <f>IF(Offerteblad!G17=0,"",Offerteblad!G17)</f>
        <v/>
      </c>
      <c r="B23" s="426"/>
      <c r="C23" s="422" t="str">
        <f>IF(Offerteblad!E17=$C$16,"", Offerteblad!E17)</f>
        <v/>
      </c>
      <c r="D23" s="422"/>
      <c r="E23" s="29" t="str">
        <f>IF(Offerteblad!H17= 0, "",Offerteblad!H17)</f>
        <v/>
      </c>
      <c r="F23" s="29" t="str">
        <f>IF(Offerteblad!I17= 0, "",Offerteblad!I17-R23)</f>
        <v/>
      </c>
      <c r="G23" s="61"/>
      <c r="H23" s="220"/>
      <c r="I23" s="61"/>
      <c r="J23" s="66"/>
      <c r="K23" s="66"/>
      <c r="M23" s="126"/>
      <c r="N23" s="26"/>
      <c r="O23" s="26"/>
      <c r="P23" s="26"/>
      <c r="Q23" s="26"/>
      <c r="R23" s="26"/>
    </row>
    <row r="24" spans="1:18">
      <c r="A24" s="426" t="str">
        <f>IF(Offerteblad!G18=0,"",Offerteblad!G18)</f>
        <v/>
      </c>
      <c r="B24" s="426"/>
      <c r="C24" s="422" t="str">
        <f>IF(Offerteblad!E18=$C$16,"", Offerteblad!E18)</f>
        <v/>
      </c>
      <c r="D24" s="422"/>
      <c r="E24" s="29" t="str">
        <f>IF(Offerteblad!H18= 0, "",Offerteblad!H18)</f>
        <v/>
      </c>
      <c r="F24" s="29" t="str">
        <f>IF(Offerteblad!I18= 0, "",Offerteblad!I18-R24)</f>
        <v/>
      </c>
      <c r="G24" s="61"/>
      <c r="H24" s="220"/>
      <c r="I24" s="61"/>
      <c r="J24" s="66"/>
      <c r="K24" s="66"/>
      <c r="M24" s="126"/>
      <c r="N24" s="26"/>
      <c r="O24" s="26"/>
      <c r="P24" s="26"/>
      <c r="Q24" s="26"/>
      <c r="R24" s="26"/>
    </row>
    <row r="25" spans="1:18">
      <c r="A25" s="426" t="str">
        <f>IF(Offerteblad!G19=0,"",Offerteblad!G19)</f>
        <v/>
      </c>
      <c r="B25" s="426"/>
      <c r="C25" s="422" t="str">
        <f>IF(Offerteblad!E19=$C$16,"", Offerteblad!E19)</f>
        <v/>
      </c>
      <c r="D25" s="422"/>
      <c r="E25" s="29" t="str">
        <f>IF(Offerteblad!H19= 0, "",Offerteblad!H19)</f>
        <v/>
      </c>
      <c r="F25" s="29" t="str">
        <f>IF(Offerteblad!I19= 0, "",Offerteblad!I19-R25)</f>
        <v/>
      </c>
      <c r="G25" s="61"/>
      <c r="H25" s="220"/>
      <c r="I25" s="61"/>
      <c r="J25" s="66"/>
      <c r="K25" s="66"/>
      <c r="M25" s="126"/>
      <c r="N25" s="26"/>
      <c r="O25" s="26"/>
      <c r="P25" s="26"/>
      <c r="Q25" s="26"/>
      <c r="R25" s="26"/>
    </row>
    <row r="26" spans="1:18">
      <c r="A26" s="426" t="str">
        <f>IF(Offerteblad!G20=0,"",Offerteblad!G20)</f>
        <v/>
      </c>
      <c r="B26" s="426"/>
      <c r="C26" s="422" t="str">
        <f>IF(Offerteblad!E20=$C$16,"", Offerteblad!E20)</f>
        <v/>
      </c>
      <c r="D26" s="422"/>
      <c r="E26" s="29" t="str">
        <f>IF(Offerteblad!H20= 0, "",Offerteblad!H20)</f>
        <v/>
      </c>
      <c r="F26" s="29" t="str">
        <f>IF(Offerteblad!I20= 0, "",Offerteblad!I20-R26)</f>
        <v/>
      </c>
      <c r="G26" s="61"/>
      <c r="H26" s="220"/>
      <c r="I26" s="61"/>
      <c r="J26" s="66"/>
      <c r="K26" s="66"/>
      <c r="M26" s="126"/>
      <c r="N26" s="26"/>
      <c r="O26" s="26"/>
      <c r="P26" s="26"/>
      <c r="Q26" s="26"/>
      <c r="R26" s="26"/>
    </row>
    <row r="27" spans="1:18">
      <c r="A27" s="426" t="str">
        <f>IF(Offerteblad!G21=0,"",Offerteblad!G21)</f>
        <v/>
      </c>
      <c r="B27" s="426"/>
      <c r="C27" s="422" t="str">
        <f>IF(Offerteblad!E21=$C$16,"", Offerteblad!E21)</f>
        <v/>
      </c>
      <c r="D27" s="422"/>
      <c r="E27" s="29" t="str">
        <f>IF(Offerteblad!H21= 0, "",Offerteblad!H21)</f>
        <v/>
      </c>
      <c r="F27" s="29" t="str">
        <f>IF(Offerteblad!I21= 0, "",Offerteblad!I21-R27)</f>
        <v/>
      </c>
      <c r="G27" s="61"/>
      <c r="H27" s="220"/>
      <c r="I27" s="61"/>
      <c r="J27" s="66"/>
      <c r="K27" s="66"/>
      <c r="M27" s="126"/>
      <c r="N27" s="26"/>
      <c r="O27" s="26"/>
      <c r="P27" s="26"/>
      <c r="Q27" s="26"/>
      <c r="R27" s="26"/>
    </row>
    <row r="28" spans="1:18">
      <c r="A28" s="426" t="str">
        <f>IF(Offerteblad!G22=0,"",Offerteblad!G22)</f>
        <v/>
      </c>
      <c r="B28" s="426"/>
      <c r="C28" s="422" t="str">
        <f>IF(Offerteblad!E22=$C$16,"", Offerteblad!E22)</f>
        <v/>
      </c>
      <c r="D28" s="422"/>
      <c r="E28" s="29" t="str">
        <f>IF(Offerteblad!H22= 0, "",Offerteblad!H22)</f>
        <v/>
      </c>
      <c r="F28" s="29" t="str">
        <f>IF(Offerteblad!I22= 0, "",Offerteblad!I22-R28)</f>
        <v/>
      </c>
      <c r="G28" s="61"/>
      <c r="H28" s="220"/>
      <c r="I28" s="61"/>
      <c r="J28" s="66"/>
      <c r="K28" s="66"/>
      <c r="M28" s="126"/>
      <c r="N28" s="26"/>
      <c r="O28" s="26"/>
      <c r="P28" s="26"/>
      <c r="Q28" s="26"/>
      <c r="R28" s="26"/>
    </row>
    <row r="29" spans="1:18">
      <c r="A29" s="426" t="str">
        <f>IF(Offerteblad!G23=0,"",Offerteblad!G23)</f>
        <v/>
      </c>
      <c r="B29" s="426"/>
      <c r="C29" s="422" t="str">
        <f>IF(Offerteblad!E23=$C$16,"", Offerteblad!E23)</f>
        <v/>
      </c>
      <c r="D29" s="422"/>
      <c r="E29" s="29" t="str">
        <f>IF(Offerteblad!H23= 0, "",Offerteblad!H23)</f>
        <v/>
      </c>
      <c r="F29" s="29" t="str">
        <f>IF(Offerteblad!I23= 0, "",Offerteblad!I23-R29)</f>
        <v/>
      </c>
      <c r="G29" s="61"/>
      <c r="H29" s="220"/>
      <c r="I29" s="61"/>
      <c r="J29" s="66"/>
      <c r="K29" s="66"/>
      <c r="M29" s="126"/>
      <c r="N29" s="26"/>
      <c r="O29" s="26"/>
      <c r="P29" s="26"/>
      <c r="Q29" s="26"/>
      <c r="R29" s="26"/>
    </row>
    <row r="30" spans="1:18">
      <c r="A30" s="426" t="str">
        <f>IF(Offerteblad!G24=0,"",Offerteblad!G24)</f>
        <v/>
      </c>
      <c r="B30" s="426"/>
      <c r="C30" s="422" t="str">
        <f>IF(Offerteblad!E24=$C$16,"", Offerteblad!E24)</f>
        <v/>
      </c>
      <c r="D30" s="422"/>
      <c r="E30" s="29" t="str">
        <f>IF(Offerteblad!H24= 0, "",Offerteblad!H24)</f>
        <v/>
      </c>
      <c r="F30" s="29" t="str">
        <f>IF(Offerteblad!I24= 0, "",Offerteblad!I24-R30)</f>
        <v/>
      </c>
      <c r="G30" s="61"/>
      <c r="H30" s="220"/>
      <c r="I30" s="61"/>
      <c r="J30" s="66"/>
      <c r="K30" s="66"/>
      <c r="M30" s="126"/>
      <c r="N30" s="26"/>
      <c r="O30" s="26"/>
      <c r="P30" s="26"/>
      <c r="Q30" s="26"/>
      <c r="R30" s="26"/>
    </row>
    <row r="31" spans="1:18">
      <c r="A31" s="426" t="str">
        <f>IF(Offerteblad!G25=0,"",Offerteblad!G25)</f>
        <v/>
      </c>
      <c r="B31" s="426"/>
      <c r="C31" s="422" t="str">
        <f>IF(Offerteblad!E25=$C$16,"", Offerteblad!E25)</f>
        <v/>
      </c>
      <c r="D31" s="422"/>
      <c r="E31" s="29" t="str">
        <f>IF(Offerteblad!H25= 0, "",Offerteblad!H25)</f>
        <v/>
      </c>
      <c r="F31" s="29" t="str">
        <f>IF(Offerteblad!I25= 0, "",Offerteblad!I25-R31)</f>
        <v/>
      </c>
      <c r="G31" s="61"/>
      <c r="H31" s="220"/>
      <c r="I31" s="61"/>
      <c r="J31" s="66"/>
      <c r="K31" s="66"/>
      <c r="M31" s="126"/>
      <c r="N31" s="26"/>
      <c r="O31" s="26"/>
      <c r="P31" s="26"/>
      <c r="Q31" s="26"/>
      <c r="R31" s="26"/>
    </row>
    <row r="32" spans="1:18">
      <c r="A32" s="426" t="str">
        <f>IF(Offerteblad!G26=0,"",Offerteblad!G26)</f>
        <v/>
      </c>
      <c r="B32" s="426"/>
      <c r="C32" s="422" t="str">
        <f>IF(Offerteblad!E26=$C$16,"", Offerteblad!E26)</f>
        <v/>
      </c>
      <c r="D32" s="422"/>
      <c r="E32" s="29" t="str">
        <f>IF(Offerteblad!H26= 0, "",Offerteblad!H26)</f>
        <v/>
      </c>
      <c r="F32" s="29" t="str">
        <f>IF(Offerteblad!I26= 0, "",Offerteblad!I26-R32)</f>
        <v/>
      </c>
      <c r="G32" s="61"/>
      <c r="H32" s="220"/>
      <c r="I32" s="61"/>
      <c r="J32" s="66"/>
      <c r="K32" s="66"/>
      <c r="M32" s="126"/>
      <c r="N32" s="26"/>
      <c r="O32" s="26"/>
      <c r="P32" s="26"/>
      <c r="Q32" s="26"/>
      <c r="R32" s="26"/>
    </row>
    <row r="33" spans="1:18">
      <c r="A33" s="426" t="str">
        <f>IF(Offerteblad!G27=0,"",Offerteblad!G27)</f>
        <v/>
      </c>
      <c r="B33" s="426"/>
      <c r="C33" s="422" t="str">
        <f>IF(Offerteblad!E27=$C$16,"", Offerteblad!E27)</f>
        <v/>
      </c>
      <c r="D33" s="422"/>
      <c r="E33" s="29" t="str">
        <f>IF(Offerteblad!H27= 0, "",Offerteblad!H27)</f>
        <v/>
      </c>
      <c r="F33" s="29" t="str">
        <f>IF(Offerteblad!I27= 0, "",Offerteblad!I27-R33)</f>
        <v/>
      </c>
      <c r="G33" s="61"/>
      <c r="H33" s="220"/>
      <c r="I33" s="61"/>
      <c r="J33" s="66"/>
      <c r="K33" s="66"/>
      <c r="M33" s="126"/>
      <c r="N33" s="26"/>
      <c r="O33" s="26"/>
      <c r="P33" s="26"/>
      <c r="Q33" s="26"/>
      <c r="R33" s="26"/>
    </row>
    <row r="34" spans="1:18">
      <c r="A34" s="426" t="str">
        <f>IF(Offerteblad!G28=0,"",Offerteblad!G28)</f>
        <v/>
      </c>
      <c r="B34" s="426"/>
      <c r="C34" s="422" t="str">
        <f>IF(Offerteblad!E28=$C$16,"", Offerteblad!E28)</f>
        <v/>
      </c>
      <c r="D34" s="422"/>
      <c r="E34" s="29" t="str">
        <f>IF(Offerteblad!H28= 0, "",Offerteblad!H28)</f>
        <v/>
      </c>
      <c r="F34" s="29" t="str">
        <f>IF(Offerteblad!I28= 0, "",Offerteblad!I28-R34)</f>
        <v/>
      </c>
      <c r="G34" s="61"/>
      <c r="H34" s="220"/>
      <c r="I34" s="61"/>
      <c r="J34" s="66"/>
      <c r="K34" s="66"/>
      <c r="M34" s="126"/>
      <c r="N34" s="26"/>
      <c r="O34" s="26"/>
      <c r="P34" s="26"/>
      <c r="Q34" s="26"/>
      <c r="R34" s="26"/>
    </row>
    <row r="35" spans="1:18">
      <c r="A35" s="426" t="str">
        <f>IF(Offerteblad!G29=0,"",Offerteblad!G29)</f>
        <v/>
      </c>
      <c r="B35" s="426"/>
      <c r="C35" s="422" t="str">
        <f>IF(Offerteblad!E29=$C$16,"", Offerteblad!E29)</f>
        <v/>
      </c>
      <c r="D35" s="422"/>
      <c r="E35" s="29" t="str">
        <f>IF(Offerteblad!H29= 0, "",Offerteblad!H29)</f>
        <v/>
      </c>
      <c r="F35" s="29" t="str">
        <f>IF(Offerteblad!I29= 0, "",Offerteblad!I29-R35)</f>
        <v/>
      </c>
      <c r="G35" s="61"/>
      <c r="H35" s="220"/>
      <c r="I35" s="61"/>
      <c r="J35" s="66"/>
      <c r="K35" s="66"/>
      <c r="M35" s="126"/>
      <c r="N35" s="26"/>
      <c r="O35" s="26"/>
      <c r="P35" s="26"/>
      <c r="Q35" s="26"/>
      <c r="R35" s="26"/>
    </row>
    <row r="36" spans="1:18">
      <c r="A36" s="426" t="str">
        <f>IF(Offerteblad!G30=0,"",Offerteblad!G30)</f>
        <v/>
      </c>
      <c r="B36" s="426"/>
      <c r="C36" s="422" t="str">
        <f>IF(Offerteblad!E30=$C$16,"", Offerteblad!E30)</f>
        <v/>
      </c>
      <c r="D36" s="422"/>
      <c r="E36" s="29" t="str">
        <f>IF(Offerteblad!H30= 0, "",Offerteblad!H30)</f>
        <v/>
      </c>
      <c r="F36" s="29" t="str">
        <f>IF(Offerteblad!I30= 0, "",Offerteblad!I30-R36)</f>
        <v/>
      </c>
      <c r="G36" s="61"/>
      <c r="H36" s="220"/>
      <c r="I36" s="61"/>
      <c r="J36" s="66"/>
      <c r="K36" s="66"/>
      <c r="M36" s="126"/>
      <c r="N36" s="26"/>
      <c r="O36" s="26"/>
      <c r="P36" s="26"/>
      <c r="Q36" s="26"/>
      <c r="R36" s="26"/>
    </row>
    <row r="37" spans="1:18">
      <c r="C37" s="24" t="s">
        <v>6</v>
      </c>
      <c r="H37" s="425"/>
      <c r="I37" s="425"/>
      <c r="J37" s="67"/>
      <c r="K37" s="67"/>
    </row>
    <row r="38" spans="1:18">
      <c r="C38" s="23"/>
      <c r="H38" s="424"/>
      <c r="I38" s="424"/>
      <c r="J38" s="423"/>
      <c r="K38" s="423"/>
    </row>
    <row r="39" spans="1:18">
      <c r="A39" s="127"/>
    </row>
    <row r="40" spans="1:18" ht="15">
      <c r="A40" s="32"/>
    </row>
  </sheetData>
  <sheetProtection password="E729" sheet="1" objects="1" scenarios="1" selectLockedCells="1" selectUnlockedCells="1"/>
  <mergeCells count="52">
    <mergeCell ref="J16:K16"/>
    <mergeCell ref="E16:F16"/>
    <mergeCell ref="I5:K5"/>
    <mergeCell ref="I6:K6"/>
    <mergeCell ref="I7:K7"/>
    <mergeCell ref="I8:K8"/>
    <mergeCell ref="I10:K10"/>
    <mergeCell ref="I9:K9"/>
    <mergeCell ref="A29:B29"/>
    <mergeCell ref="A12:C12"/>
    <mergeCell ref="C28:D28"/>
    <mergeCell ref="C22:D22"/>
    <mergeCell ref="C23:D23"/>
    <mergeCell ref="A23:B23"/>
    <mergeCell ref="A24:B24"/>
    <mergeCell ref="A22:B22"/>
    <mergeCell ref="A17:B17"/>
    <mergeCell ref="C17:D17"/>
    <mergeCell ref="C20:D20"/>
    <mergeCell ref="C21:D21"/>
    <mergeCell ref="A20:B20"/>
    <mergeCell ref="A21:B21"/>
    <mergeCell ref="A30:B30"/>
    <mergeCell ref="A31:B31"/>
    <mergeCell ref="C18:D18"/>
    <mergeCell ref="C19:D19"/>
    <mergeCell ref="A26:B26"/>
    <mergeCell ref="A27:B27"/>
    <mergeCell ref="A18:B18"/>
    <mergeCell ref="A19:B19"/>
    <mergeCell ref="C29:D29"/>
    <mergeCell ref="C30:D30"/>
    <mergeCell ref="A25:B25"/>
    <mergeCell ref="C24:D24"/>
    <mergeCell ref="C25:D25"/>
    <mergeCell ref="C26:D26"/>
    <mergeCell ref="C27:D27"/>
    <mergeCell ref="A28:B28"/>
    <mergeCell ref="A36:B36"/>
    <mergeCell ref="A34:B34"/>
    <mergeCell ref="A35:B35"/>
    <mergeCell ref="A32:B32"/>
    <mergeCell ref="A33:B33"/>
    <mergeCell ref="C34:D34"/>
    <mergeCell ref="C32:D32"/>
    <mergeCell ref="C31:D31"/>
    <mergeCell ref="C33:D33"/>
    <mergeCell ref="J38:K38"/>
    <mergeCell ref="H38:I38"/>
    <mergeCell ref="C35:D35"/>
    <mergeCell ref="H37:I37"/>
    <mergeCell ref="C36:D36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33</vt:i4>
      </vt:variant>
    </vt:vector>
  </HeadingPairs>
  <TitlesOfParts>
    <vt:vector size="42" baseType="lpstr">
      <vt:lpstr>Offerteblad</vt:lpstr>
      <vt:lpstr>Factuur</vt:lpstr>
      <vt:lpstr>blad 1</vt:lpstr>
      <vt:lpstr>blad 2</vt:lpstr>
      <vt:lpstr>blad3</vt:lpstr>
      <vt:lpstr>offerte</vt:lpstr>
      <vt:lpstr>Opdrachtbevestiging</vt:lpstr>
      <vt:lpstr>Copyright</vt:lpstr>
      <vt:lpstr>Bestelling glas</vt:lpstr>
      <vt:lpstr>'Bestelling glas'!Afdrukbereik</vt:lpstr>
      <vt:lpstr>Factuur!Afdrukbereik</vt:lpstr>
      <vt:lpstr>offerte!Afdrukbereik</vt:lpstr>
      <vt:lpstr>Offerteblad!Afdrukbereik</vt:lpstr>
      <vt:lpstr>Opdrachtbevestiging!Afdrukbereik</vt:lpstr>
      <vt:lpstr>afhalen</vt:lpstr>
      <vt:lpstr>Artikel</vt:lpstr>
      <vt:lpstr>artikellijst</vt:lpstr>
      <vt:lpstr>betaalselectie</vt:lpstr>
      <vt:lpstr>betaalwijze</vt:lpstr>
      <vt:lpstr>bezorgen</vt:lpstr>
      <vt:lpstr>bezorgenafhalen</vt:lpstr>
      <vt:lpstr>bezorgkosten</vt:lpstr>
      <vt:lpstr>bezorgkosten2</vt:lpstr>
      <vt:lpstr>gereedschap</vt:lpstr>
      <vt:lpstr>glaslatten</vt:lpstr>
      <vt:lpstr>janeeselectie</vt:lpstr>
      <vt:lpstr>keuzeglaslat</vt:lpstr>
      <vt:lpstr>kit</vt:lpstr>
      <vt:lpstr>kitkleur</vt:lpstr>
      <vt:lpstr>kitten</vt:lpstr>
      <vt:lpstr>Offerteblad!Ophalen</vt:lpstr>
      <vt:lpstr>prijslijsoverig</vt:lpstr>
      <vt:lpstr>prijslijst</vt:lpstr>
      <vt:lpstr>Provincie</vt:lpstr>
      <vt:lpstr>Rooster</vt:lpstr>
      <vt:lpstr>roosterprijslijst</vt:lpstr>
      <vt:lpstr>soortglas</vt:lpstr>
      <vt:lpstr>soortkit</vt:lpstr>
      <vt:lpstr>soortrooster</vt:lpstr>
      <vt:lpstr>Soortsamenstelling</vt:lpstr>
      <vt:lpstr>spouw</vt:lpstr>
      <vt:lpstr>spouwbreedte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Jurian Voigt</cp:lastModifiedBy>
  <cp:lastPrinted>2013-09-02T12:30:27Z</cp:lastPrinted>
  <dcterms:created xsi:type="dcterms:W3CDTF">2004-09-01T06:34:16Z</dcterms:created>
  <dcterms:modified xsi:type="dcterms:W3CDTF">2015-08-11T12:05:19Z</dcterms:modified>
</cp:coreProperties>
</file>