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workbookProtection workbookAlgorithmName="SHA-512" workbookHashValue="v/152WKG8zlAJ0kA1evv0jbo7lMqD1J0xFG9DB5BGC9KIUBe+/QBUfyl6Ps/0AnuTmDKxwF73P/ZvYQHvB8Omw==" workbookSaltValue="RszbruWvrUaTsrGmc7BTkg==" workbookSpinCount="100000" lockStructure="1"/>
  <bookViews>
    <workbookView xWindow="0" yWindow="0" windowWidth="24000" windowHeight="10320" tabRatio="721"/>
  </bookViews>
  <sheets>
    <sheet name="Offerteblad" sheetId="1" r:id="rId1"/>
    <sheet name="Offerte" sheetId="19" r:id="rId2"/>
    <sheet name="Opdrachtbevestiging" sheetId="20" r:id="rId3"/>
    <sheet name="Factuur" sheetId="21" r:id="rId4"/>
    <sheet name="Bestellijst glas" sheetId="22" state="hidden" r:id="rId5"/>
    <sheet name="Bestellijst roosters" sheetId="23" state="hidden" r:id="rId6"/>
    <sheet name="© Copyright" sheetId="4" r:id="rId7"/>
    <sheet name="_Prijzenblad" sheetId="3" state="hidden" r:id="rId8"/>
    <sheet name="_Gegevensblad" sheetId="2" state="hidden" r:id="rId9"/>
    <sheet name="_Rekenblad" sheetId="5" state="hidden" r:id="rId10"/>
  </sheets>
  <definedNames>
    <definedName name="_xlnm._FilterDatabase" localSheetId="8" hidden="1">_Gegevensblad!$B$24:$B$26</definedName>
    <definedName name="_xlnm._FilterDatabase" localSheetId="0" hidden="1">Offerteblad!$K$16:$K$67</definedName>
    <definedName name="adres_land">_Gegevensblad!$T$4:$T$7</definedName>
    <definedName name="_xlnm.Print_Area" localSheetId="4">'Bestellijst glas'!$B$2:$L$63</definedName>
    <definedName name="_xlnm.Print_Area" localSheetId="5">'Bestellijst roosters'!$B$2:$L$63</definedName>
    <definedName name="_xlnm.Print_Area" localSheetId="3">Factuur!$B$2:$L$65</definedName>
    <definedName name="_xlnm.Print_Area" localSheetId="1">Offerte!$B$2:$L$65</definedName>
    <definedName name="_xlnm.Print_Area" localSheetId="0">Offerteblad!$B$2:$M$92</definedName>
    <definedName name="_xlnm.Print_Area" localSheetId="2">Opdrachtbevestiging!$B$2:$L$65</definedName>
    <definedName name="afhaallocatie">_Gegevensblad!$P$4:$P$16</definedName>
    <definedName name="afhalen_bezorgen">_Gegevensblad!$R$4:$R$7</definedName>
    <definedName name="btw_hoog">_Gegevensblad!$L$4</definedName>
    <definedName name="btw_laag">_Gegevensblad!$L$5</definedName>
    <definedName name="isoglas">_Prijzenblad!$B$5:$C$61</definedName>
    <definedName name="isoglas_artikel">_Prijzenblad!$B$5:$B$61</definedName>
    <definedName name="isoglas_korting">_Gegevensblad!$F$4:$I$8</definedName>
    <definedName name="isoglas_prijs">_Prijzenblad!$C$5:$C$61</definedName>
    <definedName name="isoglas_spouw">_Gegevensblad!$B$4:$B$13</definedName>
    <definedName name="ja_nee_selectie">_Gegevensblad!$V$4:$V$7</definedName>
    <definedName name="toebehoren_band">_Prijzenblad!$K$4</definedName>
    <definedName name="toebehoren_blokjes">_Prijzenblad!$K$5</definedName>
    <definedName name="toebehoren_kit">_Prijzenblad!$K$3</definedName>
    <definedName name="vent.rooster">_Prijzenblad!$E$5:$H$36</definedName>
    <definedName name="vent.rooster_artikel">_Prijzenblad!$E$5:$E$36</definedName>
    <definedName name="vent.rooster_glasaftrek">_Prijzenblad!$H$5:$H$36</definedName>
    <definedName name="vent.rooster_kleur">_Gegevensblad!$D$4:$D$6</definedName>
    <definedName name="vent.rooster_prijstot500">_Prijzenblad!$F$5:$F$36</definedName>
    <definedName name="vent.rooster_prijsvanaf500">_Prijzenblad!$G$5:$G$36</definedName>
    <definedName name="verzend_hoog">_Prijzenblad!$O$3</definedName>
    <definedName name="verzend_laag">_Prijzenblad!$O$4</definedName>
    <definedName name="verzend_tot">_Prijzenblad!$O$6+_Prijzenblad!$P$3</definedName>
  </definedNames>
  <calcPr calcId="145621"/>
</workbook>
</file>

<file path=xl/calcChain.xml><?xml version="1.0" encoding="utf-8"?>
<calcChain xmlns="http://schemas.openxmlformats.org/spreadsheetml/2006/main">
  <c r="I6" i="2" l="1"/>
  <c r="H78" i="1" l="1"/>
  <c r="H77" i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6" i="1"/>
  <c r="H65" i="1"/>
  <c r="H8" i="20" s="1"/>
  <c r="H8" i="23" l="1"/>
  <c r="H8" i="21"/>
  <c r="H8" i="19"/>
  <c r="H8" i="22"/>
  <c r="N55" i="20" l="1"/>
  <c r="N55" i="21"/>
  <c r="N55" i="19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26" i="22"/>
  <c r="J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6" i="5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26" i="23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26" i="20"/>
  <c r="J26" i="21"/>
  <c r="J26" i="19"/>
  <c r="J59" i="1"/>
  <c r="J63" i="20" s="1"/>
  <c r="J58" i="1"/>
  <c r="J62" i="21" s="1"/>
  <c r="H49" i="1"/>
  <c r="C53" i="21" s="1"/>
  <c r="L24" i="1"/>
  <c r="L34" i="20" s="1"/>
  <c r="L25" i="1"/>
  <c r="L35" i="21" s="1"/>
  <c r="L26" i="1"/>
  <c r="L36" i="19" s="1"/>
  <c r="L27" i="1"/>
  <c r="L37" i="21" s="1"/>
  <c r="L28" i="1"/>
  <c r="L38" i="19" s="1"/>
  <c r="L29" i="1"/>
  <c r="L39" i="19" s="1"/>
  <c r="L30" i="1"/>
  <c r="L40" i="21" s="1"/>
  <c r="L31" i="1"/>
  <c r="L41" i="19" s="1"/>
  <c r="L32" i="1"/>
  <c r="L42" i="21" s="1"/>
  <c r="L33" i="1"/>
  <c r="L43" i="19" s="1"/>
  <c r="L34" i="1"/>
  <c r="B48" i="1"/>
  <c r="B47" i="1"/>
  <c r="B46" i="1"/>
  <c r="E48" i="1"/>
  <c r="E47" i="1"/>
  <c r="E46" i="1"/>
  <c r="J53" i="1"/>
  <c r="K59" i="1"/>
  <c r="K63" i="21" s="1"/>
  <c r="N63" i="21" s="1"/>
  <c r="F7" i="2"/>
  <c r="I7" i="2" s="1"/>
  <c r="F5" i="2"/>
  <c r="I5" i="2" s="1"/>
  <c r="J17" i="1"/>
  <c r="N17" i="1" s="1"/>
  <c r="J18" i="1"/>
  <c r="F7" i="5" s="1"/>
  <c r="G7" i="5" s="1"/>
  <c r="J19" i="1"/>
  <c r="N19" i="1" s="1"/>
  <c r="J20" i="1"/>
  <c r="N20" i="1" s="1"/>
  <c r="J21" i="1"/>
  <c r="F10" i="5" s="1"/>
  <c r="G10" i="5" s="1"/>
  <c r="J22" i="1"/>
  <c r="F11" i="5" s="1"/>
  <c r="G11" i="5" s="1"/>
  <c r="J23" i="1"/>
  <c r="H12" i="5" s="1"/>
  <c r="J24" i="1"/>
  <c r="N24" i="1" s="1"/>
  <c r="J25" i="1"/>
  <c r="H14" i="5" s="1"/>
  <c r="J26" i="1"/>
  <c r="F15" i="5" s="1"/>
  <c r="G15" i="5" s="1"/>
  <c r="J27" i="1"/>
  <c r="N27" i="1" s="1"/>
  <c r="J28" i="1"/>
  <c r="K28" i="1" s="1"/>
  <c r="K38" i="21" s="1"/>
  <c r="J29" i="1"/>
  <c r="N29" i="1" s="1"/>
  <c r="J30" i="1"/>
  <c r="N30" i="1" s="1"/>
  <c r="J31" i="1"/>
  <c r="K31" i="1" s="1"/>
  <c r="J32" i="1"/>
  <c r="N32" i="1" s="1"/>
  <c r="J33" i="1"/>
  <c r="M33" i="1" s="1"/>
  <c r="J34" i="1"/>
  <c r="F23" i="5" s="1"/>
  <c r="G23" i="5" s="1"/>
  <c r="J16" i="1"/>
  <c r="H5" i="5" s="1"/>
  <c r="B7" i="5"/>
  <c r="C7" i="5"/>
  <c r="D7" i="5"/>
  <c r="F21" i="5"/>
  <c r="G21" i="5" s="1"/>
  <c r="F19" i="5"/>
  <c r="G19" i="5" s="1"/>
  <c r="F13" i="5"/>
  <c r="G13" i="5" s="1"/>
  <c r="N25" i="1"/>
  <c r="N23" i="1"/>
  <c r="N18" i="1"/>
  <c r="H21" i="5"/>
  <c r="K29" i="1"/>
  <c r="K39" i="19" s="1"/>
  <c r="M29" i="1"/>
  <c r="H20" i="5"/>
  <c r="H18" i="5"/>
  <c r="K32" i="1"/>
  <c r="K42" i="21" s="1"/>
  <c r="M32" i="1"/>
  <c r="K25" i="1"/>
  <c r="K35" i="19" s="1"/>
  <c r="M25" i="1"/>
  <c r="M18" i="1"/>
  <c r="F12" i="5"/>
  <c r="G12" i="5" s="1"/>
  <c r="K22" i="1"/>
  <c r="K32" i="20" s="1"/>
  <c r="K19" i="1"/>
  <c r="K29" i="19" s="1"/>
  <c r="G38" i="22"/>
  <c r="G40" i="22"/>
  <c r="G42" i="22"/>
  <c r="G44" i="22"/>
  <c r="I20" i="20"/>
  <c r="I20" i="21"/>
  <c r="I20" i="22"/>
  <c r="I20" i="23"/>
  <c r="I20" i="19"/>
  <c r="H13" i="20"/>
  <c r="H13" i="21"/>
  <c r="H13" i="22"/>
  <c r="H13" i="23"/>
  <c r="H13" i="19"/>
  <c r="B13" i="20"/>
  <c r="B13" i="21"/>
  <c r="B13" i="22"/>
  <c r="B13" i="23"/>
  <c r="B13" i="19"/>
  <c r="B97" i="1"/>
  <c r="B96" i="1"/>
  <c r="B95" i="1"/>
  <c r="M72" i="1"/>
  <c r="M71" i="1"/>
  <c r="M70" i="1"/>
  <c r="M69" i="1"/>
  <c r="M68" i="1"/>
  <c r="M67" i="1"/>
  <c r="D5" i="23"/>
  <c r="D5" i="22"/>
  <c r="D5" i="21"/>
  <c r="D5" i="20"/>
  <c r="C4" i="1"/>
  <c r="B68" i="23"/>
  <c r="B68" i="22"/>
  <c r="B67" i="23"/>
  <c r="B67" i="22"/>
  <c r="B66" i="23"/>
  <c r="B66" i="22"/>
  <c r="B69" i="20"/>
  <c r="B69" i="21"/>
  <c r="B69" i="19"/>
  <c r="B70" i="20"/>
  <c r="B70" i="21"/>
  <c r="B70" i="19"/>
  <c r="B68" i="20"/>
  <c r="B68" i="21"/>
  <c r="B68" i="19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26" i="23"/>
  <c r="C28" i="23"/>
  <c r="G28" i="22"/>
  <c r="O28" i="22"/>
  <c r="H28" i="22"/>
  <c r="F28" i="22"/>
  <c r="C28" i="22"/>
  <c r="B28" i="22"/>
  <c r="H28" i="20"/>
  <c r="G28" i="20"/>
  <c r="F28" i="20"/>
  <c r="E28" i="20"/>
  <c r="C28" i="20"/>
  <c r="B28" i="20"/>
  <c r="H28" i="21"/>
  <c r="G28" i="21"/>
  <c r="F28" i="21"/>
  <c r="E28" i="21"/>
  <c r="C28" i="21"/>
  <c r="B28" i="21"/>
  <c r="H28" i="19"/>
  <c r="G28" i="19"/>
  <c r="F28" i="19"/>
  <c r="E28" i="19"/>
  <c r="C28" i="19"/>
  <c r="B28" i="19"/>
  <c r="G27" i="22"/>
  <c r="G29" i="22"/>
  <c r="G30" i="22"/>
  <c r="G31" i="22"/>
  <c r="G32" i="22"/>
  <c r="G33" i="22"/>
  <c r="G34" i="22"/>
  <c r="G35" i="22"/>
  <c r="G36" i="22"/>
  <c r="G37" i="22"/>
  <c r="G39" i="22"/>
  <c r="G41" i="22"/>
  <c r="G43" i="22"/>
  <c r="G26" i="22"/>
  <c r="O27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26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F27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26" i="22"/>
  <c r="H27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26" i="22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27" i="23"/>
  <c r="C26" i="23"/>
  <c r="H20" i="23"/>
  <c r="B15" i="23"/>
  <c r="H14" i="23"/>
  <c r="E14" i="23"/>
  <c r="B14" i="23"/>
  <c r="I12" i="23"/>
  <c r="H12" i="23"/>
  <c r="D12" i="23"/>
  <c r="B12" i="23"/>
  <c r="H11" i="23"/>
  <c r="B11" i="23"/>
  <c r="H10" i="23"/>
  <c r="B10" i="23"/>
  <c r="D4" i="23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C27" i="22"/>
  <c r="B27" i="22"/>
  <c r="C26" i="22"/>
  <c r="B26" i="22"/>
  <c r="H20" i="22"/>
  <c r="B15" i="22"/>
  <c r="H14" i="22"/>
  <c r="E14" i="22"/>
  <c r="B14" i="22"/>
  <c r="I12" i="22"/>
  <c r="H12" i="22"/>
  <c r="D12" i="22"/>
  <c r="B12" i="22"/>
  <c r="H11" i="22"/>
  <c r="B11" i="22"/>
  <c r="H10" i="22"/>
  <c r="B10" i="22"/>
  <c r="D4" i="22"/>
  <c r="H44" i="21"/>
  <c r="G44" i="21"/>
  <c r="F44" i="21"/>
  <c r="E44" i="21"/>
  <c r="C44" i="21"/>
  <c r="B44" i="21"/>
  <c r="H43" i="21"/>
  <c r="G43" i="21"/>
  <c r="F43" i="21"/>
  <c r="E43" i="21"/>
  <c r="C43" i="21"/>
  <c r="B43" i="21"/>
  <c r="H42" i="21"/>
  <c r="G42" i="21"/>
  <c r="F42" i="21"/>
  <c r="E42" i="21"/>
  <c r="C42" i="21"/>
  <c r="B42" i="21"/>
  <c r="H41" i="21"/>
  <c r="G41" i="21"/>
  <c r="F41" i="21"/>
  <c r="E41" i="21"/>
  <c r="C41" i="21"/>
  <c r="B41" i="21"/>
  <c r="H40" i="21"/>
  <c r="G40" i="21"/>
  <c r="F40" i="21"/>
  <c r="E40" i="21"/>
  <c r="C40" i="21"/>
  <c r="B40" i="21"/>
  <c r="H39" i="21"/>
  <c r="G39" i="21"/>
  <c r="F39" i="21"/>
  <c r="E39" i="21"/>
  <c r="C39" i="21"/>
  <c r="B39" i="21"/>
  <c r="H38" i="21"/>
  <c r="G38" i="21"/>
  <c r="F38" i="21"/>
  <c r="E38" i="21"/>
  <c r="C38" i="21"/>
  <c r="B38" i="21"/>
  <c r="H37" i="21"/>
  <c r="G37" i="21"/>
  <c r="F37" i="21"/>
  <c r="E37" i="21"/>
  <c r="C37" i="21"/>
  <c r="B37" i="21"/>
  <c r="H36" i="21"/>
  <c r="G36" i="21"/>
  <c r="F36" i="21"/>
  <c r="E36" i="21"/>
  <c r="C36" i="21"/>
  <c r="B36" i="21"/>
  <c r="H35" i="21"/>
  <c r="G35" i="21"/>
  <c r="F35" i="21"/>
  <c r="E35" i="21"/>
  <c r="C35" i="21"/>
  <c r="B35" i="21"/>
  <c r="H34" i="21"/>
  <c r="G34" i="21"/>
  <c r="F34" i="21"/>
  <c r="E34" i="21"/>
  <c r="C34" i="21"/>
  <c r="B34" i="21"/>
  <c r="H33" i="21"/>
  <c r="G33" i="21"/>
  <c r="F33" i="21"/>
  <c r="E33" i="21"/>
  <c r="C33" i="21"/>
  <c r="B33" i="21"/>
  <c r="H32" i="21"/>
  <c r="G32" i="21"/>
  <c r="F32" i="21"/>
  <c r="E32" i="21"/>
  <c r="C32" i="21"/>
  <c r="B32" i="21"/>
  <c r="H31" i="21"/>
  <c r="G31" i="21"/>
  <c r="F31" i="21"/>
  <c r="E31" i="21"/>
  <c r="C31" i="21"/>
  <c r="B31" i="21"/>
  <c r="H30" i="21"/>
  <c r="G30" i="21"/>
  <c r="F30" i="21"/>
  <c r="E30" i="21"/>
  <c r="C30" i="21"/>
  <c r="B30" i="21"/>
  <c r="H29" i="21"/>
  <c r="G29" i="21"/>
  <c r="F29" i="21"/>
  <c r="E29" i="21"/>
  <c r="C29" i="21"/>
  <c r="B29" i="21"/>
  <c r="H27" i="21"/>
  <c r="G27" i="21"/>
  <c r="F27" i="21"/>
  <c r="E27" i="21"/>
  <c r="C27" i="21"/>
  <c r="B27" i="21"/>
  <c r="H26" i="21"/>
  <c r="G26" i="21"/>
  <c r="F26" i="21"/>
  <c r="E26" i="21"/>
  <c r="C26" i="21"/>
  <c r="B26" i="21"/>
  <c r="H20" i="21"/>
  <c r="B15" i="21"/>
  <c r="H14" i="21"/>
  <c r="E14" i="21"/>
  <c r="B14" i="21"/>
  <c r="I12" i="21"/>
  <c r="H12" i="21"/>
  <c r="D12" i="21"/>
  <c r="B12" i="21"/>
  <c r="H11" i="21"/>
  <c r="B11" i="21"/>
  <c r="H10" i="21"/>
  <c r="B10" i="21"/>
  <c r="D4" i="21"/>
  <c r="H4" i="21" s="1"/>
  <c r="H44" i="20"/>
  <c r="G44" i="20"/>
  <c r="F44" i="20"/>
  <c r="E44" i="20"/>
  <c r="C44" i="20"/>
  <c r="B44" i="20"/>
  <c r="H43" i="20"/>
  <c r="G43" i="20"/>
  <c r="F43" i="20"/>
  <c r="E43" i="20"/>
  <c r="C43" i="20"/>
  <c r="B43" i="20"/>
  <c r="H42" i="20"/>
  <c r="G42" i="20"/>
  <c r="F42" i="20"/>
  <c r="E42" i="20"/>
  <c r="C42" i="20"/>
  <c r="B42" i="20"/>
  <c r="H41" i="20"/>
  <c r="G41" i="20"/>
  <c r="F41" i="20"/>
  <c r="E41" i="20"/>
  <c r="C41" i="20"/>
  <c r="B41" i="20"/>
  <c r="H40" i="20"/>
  <c r="G40" i="20"/>
  <c r="F40" i="20"/>
  <c r="E40" i="20"/>
  <c r="C40" i="20"/>
  <c r="B40" i="20"/>
  <c r="H39" i="20"/>
  <c r="G39" i="20"/>
  <c r="F39" i="20"/>
  <c r="E39" i="20"/>
  <c r="C39" i="20"/>
  <c r="B39" i="20"/>
  <c r="H38" i="20"/>
  <c r="G38" i="20"/>
  <c r="F38" i="20"/>
  <c r="E38" i="20"/>
  <c r="C38" i="20"/>
  <c r="B38" i="20"/>
  <c r="H37" i="20"/>
  <c r="G37" i="20"/>
  <c r="F37" i="20"/>
  <c r="E37" i="20"/>
  <c r="C37" i="20"/>
  <c r="B37" i="20"/>
  <c r="H36" i="20"/>
  <c r="G36" i="20"/>
  <c r="F36" i="20"/>
  <c r="E36" i="20"/>
  <c r="C36" i="20"/>
  <c r="B36" i="20"/>
  <c r="H35" i="20"/>
  <c r="G35" i="20"/>
  <c r="F35" i="20"/>
  <c r="E35" i="20"/>
  <c r="C35" i="20"/>
  <c r="B35" i="20"/>
  <c r="H34" i="20"/>
  <c r="G34" i="20"/>
  <c r="F34" i="20"/>
  <c r="E34" i="20"/>
  <c r="C34" i="20"/>
  <c r="B34" i="20"/>
  <c r="H33" i="20"/>
  <c r="G33" i="20"/>
  <c r="F33" i="20"/>
  <c r="E33" i="20"/>
  <c r="C33" i="20"/>
  <c r="B33" i="20"/>
  <c r="H32" i="20"/>
  <c r="G32" i="20"/>
  <c r="F32" i="20"/>
  <c r="E32" i="20"/>
  <c r="C32" i="20"/>
  <c r="B32" i="20"/>
  <c r="H31" i="20"/>
  <c r="G31" i="20"/>
  <c r="F31" i="20"/>
  <c r="E31" i="20"/>
  <c r="C31" i="20"/>
  <c r="B31" i="20"/>
  <c r="H30" i="20"/>
  <c r="G30" i="20"/>
  <c r="F30" i="20"/>
  <c r="E30" i="20"/>
  <c r="C30" i="20"/>
  <c r="B30" i="20"/>
  <c r="H29" i="20"/>
  <c r="G29" i="20"/>
  <c r="F29" i="20"/>
  <c r="E29" i="20"/>
  <c r="C29" i="20"/>
  <c r="B29" i="20"/>
  <c r="H27" i="20"/>
  <c r="G27" i="20"/>
  <c r="F27" i="20"/>
  <c r="E27" i="20"/>
  <c r="C27" i="20"/>
  <c r="B27" i="20"/>
  <c r="H26" i="20"/>
  <c r="G26" i="20"/>
  <c r="F26" i="20"/>
  <c r="E26" i="20"/>
  <c r="C26" i="20"/>
  <c r="B26" i="20"/>
  <c r="H20" i="20"/>
  <c r="B15" i="20"/>
  <c r="H14" i="20"/>
  <c r="E14" i="20"/>
  <c r="B14" i="20"/>
  <c r="I12" i="20"/>
  <c r="H12" i="20"/>
  <c r="D12" i="20"/>
  <c r="B12" i="20"/>
  <c r="H11" i="20"/>
  <c r="B11" i="20"/>
  <c r="H10" i="20"/>
  <c r="B10" i="20"/>
  <c r="D4" i="20"/>
  <c r="H27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26" i="19"/>
  <c r="G27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26" i="19"/>
  <c r="F27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26" i="19"/>
  <c r="E26" i="19"/>
  <c r="C27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E27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C26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26" i="19"/>
  <c r="B15" i="19"/>
  <c r="B12" i="19"/>
  <c r="B11" i="19"/>
  <c r="B10" i="19"/>
  <c r="H20" i="19"/>
  <c r="H14" i="19"/>
  <c r="I12" i="19"/>
  <c r="H12" i="19"/>
  <c r="H11" i="19"/>
  <c r="H10" i="19"/>
  <c r="E14" i="19"/>
  <c r="B14" i="19"/>
  <c r="D12" i="19"/>
  <c r="D4" i="19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5" i="5"/>
  <c r="L5" i="5" s="1"/>
  <c r="K5" i="5" s="1"/>
  <c r="L16" i="1" s="1"/>
  <c r="D5" i="5"/>
  <c r="C6" i="5"/>
  <c r="L6" i="5" s="1"/>
  <c r="K6" i="5" s="1"/>
  <c r="D6" i="5"/>
  <c r="C8" i="5"/>
  <c r="L8" i="5" s="1"/>
  <c r="K8" i="5" s="1"/>
  <c r="D8" i="5"/>
  <c r="C9" i="5"/>
  <c r="L9" i="5" s="1"/>
  <c r="K9" i="5" s="1"/>
  <c r="D9" i="5"/>
  <c r="C10" i="5"/>
  <c r="L10" i="5" s="1"/>
  <c r="K10" i="5" s="1"/>
  <c r="D10" i="5"/>
  <c r="C11" i="5"/>
  <c r="L11" i="5" s="1"/>
  <c r="K11" i="5" s="1"/>
  <c r="D11" i="5"/>
  <c r="C12" i="5"/>
  <c r="L12" i="5" s="1"/>
  <c r="K12" i="5" s="1"/>
  <c r="D12" i="5"/>
  <c r="C13" i="5"/>
  <c r="L13" i="5" s="1"/>
  <c r="K13" i="5" s="1"/>
  <c r="D13" i="5"/>
  <c r="C14" i="5"/>
  <c r="L14" i="5" s="1"/>
  <c r="K14" i="5" s="1"/>
  <c r="D14" i="5"/>
  <c r="C15" i="5"/>
  <c r="L15" i="5" s="1"/>
  <c r="K15" i="5" s="1"/>
  <c r="D15" i="5"/>
  <c r="C16" i="5"/>
  <c r="L16" i="5" s="1"/>
  <c r="K16" i="5" s="1"/>
  <c r="D16" i="5"/>
  <c r="C17" i="5"/>
  <c r="L17" i="5" s="1"/>
  <c r="K17" i="5" s="1"/>
  <c r="D17" i="5"/>
  <c r="C18" i="5"/>
  <c r="L18" i="5" s="1"/>
  <c r="K18" i="5" s="1"/>
  <c r="D18" i="5"/>
  <c r="C19" i="5"/>
  <c r="L19" i="5" s="1"/>
  <c r="K19" i="5" s="1"/>
  <c r="D19" i="5"/>
  <c r="C20" i="5"/>
  <c r="L20" i="5" s="1"/>
  <c r="K20" i="5" s="1"/>
  <c r="D20" i="5"/>
  <c r="C21" i="5"/>
  <c r="L21" i="5" s="1"/>
  <c r="K21" i="5" s="1"/>
  <c r="D21" i="5"/>
  <c r="C22" i="5"/>
  <c r="L22" i="5" s="1"/>
  <c r="K22" i="5" s="1"/>
  <c r="D22" i="5"/>
  <c r="C23" i="5"/>
  <c r="L23" i="5" s="1"/>
  <c r="K23" i="5" s="1"/>
  <c r="D23" i="5"/>
  <c r="L22" i="1"/>
  <c r="L32" i="19" s="1"/>
  <c r="L17" i="1"/>
  <c r="L27" i="21" s="1"/>
  <c r="L21" i="1"/>
  <c r="L31" i="19" s="1"/>
  <c r="L23" i="1"/>
  <c r="L33" i="21" s="1"/>
  <c r="L19" i="1"/>
  <c r="L29" i="20" s="1"/>
  <c r="L20" i="1"/>
  <c r="L30" i="21" s="1"/>
  <c r="C53" i="19"/>
  <c r="F16" i="5" l="1"/>
  <c r="G16" i="5" s="1"/>
  <c r="H10" i="5"/>
  <c r="N21" i="1"/>
  <c r="L39" i="20"/>
  <c r="H13" i="2"/>
  <c r="H12" i="2"/>
  <c r="M19" i="1"/>
  <c r="F8" i="5"/>
  <c r="G8" i="5" s="1"/>
  <c r="H6" i="5"/>
  <c r="F6" i="5"/>
  <c r="G6" i="5" s="1"/>
  <c r="E12" i="5"/>
  <c r="E18" i="5"/>
  <c r="K21" i="1"/>
  <c r="K31" i="21" s="1"/>
  <c r="K17" i="1"/>
  <c r="K27" i="19" s="1"/>
  <c r="M17" i="1"/>
  <c r="M21" i="1"/>
  <c r="F14" i="5"/>
  <c r="G14" i="5" s="1"/>
  <c r="M23" i="1"/>
  <c r="K23" i="1"/>
  <c r="K33" i="20" s="1"/>
  <c r="H8" i="5"/>
  <c r="M30" i="1"/>
  <c r="K30" i="1"/>
  <c r="K40" i="20" s="1"/>
  <c r="H16" i="5"/>
  <c r="F18" i="5"/>
  <c r="G18" i="5" s="1"/>
  <c r="M27" i="1"/>
  <c r="K27" i="1"/>
  <c r="K37" i="21" s="1"/>
  <c r="H19" i="5"/>
  <c r="J62" i="20"/>
  <c r="L43" i="20"/>
  <c r="L39" i="21"/>
  <c r="L35" i="20"/>
  <c r="L43" i="21"/>
  <c r="L41" i="20"/>
  <c r="L35" i="19"/>
  <c r="L30" i="19"/>
  <c r="L42" i="19"/>
  <c r="L41" i="21"/>
  <c r="L37" i="19"/>
  <c r="L37" i="20"/>
  <c r="K35" i="20"/>
  <c r="K42" i="19"/>
  <c r="K27" i="21"/>
  <c r="J63" i="21"/>
  <c r="J63" i="19"/>
  <c r="K63" i="19"/>
  <c r="N63" i="19" s="1"/>
  <c r="K63" i="20"/>
  <c r="N63" i="20" s="1"/>
  <c r="K29" i="20"/>
  <c r="L32" i="20"/>
  <c r="L38" i="20"/>
  <c r="E6" i="5"/>
  <c r="K35" i="21"/>
  <c r="L29" i="21"/>
  <c r="L42" i="20"/>
  <c r="L29" i="19"/>
  <c r="L36" i="20"/>
  <c r="E19" i="5"/>
  <c r="K24" i="1"/>
  <c r="K34" i="20" s="1"/>
  <c r="M28" i="1"/>
  <c r="F20" i="5"/>
  <c r="G20" i="5" s="1"/>
  <c r="N26" i="1"/>
  <c r="K41" i="19"/>
  <c r="K41" i="21"/>
  <c r="K41" i="20"/>
  <c r="E15" i="5"/>
  <c r="E9" i="5"/>
  <c r="L40" i="20"/>
  <c r="L32" i="21"/>
  <c r="K39" i="20"/>
  <c r="K39" i="21"/>
  <c r="L34" i="19"/>
  <c r="K29" i="21"/>
  <c r="E22" i="5"/>
  <c r="M24" i="1"/>
  <c r="H13" i="5"/>
  <c r="F22" i="5"/>
  <c r="G22" i="5" s="1"/>
  <c r="K38" i="20"/>
  <c r="K38" i="19"/>
  <c r="L7" i="5"/>
  <c r="K7" i="5" s="1"/>
  <c r="L18" i="1" s="1"/>
  <c r="L28" i="21" s="1"/>
  <c r="E7" i="5"/>
  <c r="N34" i="1"/>
  <c r="K34" i="1"/>
  <c r="M34" i="1"/>
  <c r="L44" i="21"/>
  <c r="L44" i="20"/>
  <c r="L44" i="19"/>
  <c r="L33" i="19"/>
  <c r="L27" i="19"/>
  <c r="L27" i="20"/>
  <c r="K42" i="20"/>
  <c r="L28" i="20"/>
  <c r="L30" i="20"/>
  <c r="L38" i="21"/>
  <c r="L36" i="21"/>
  <c r="L40" i="19"/>
  <c r="L34" i="21"/>
  <c r="E11" i="5"/>
  <c r="L31" i="21"/>
  <c r="L31" i="20"/>
  <c r="K32" i="19"/>
  <c r="K32" i="21"/>
  <c r="H23" i="5"/>
  <c r="N33" i="1"/>
  <c r="K33" i="1"/>
  <c r="H22" i="5"/>
  <c r="N31" i="1"/>
  <c r="M31" i="1"/>
  <c r="F17" i="5"/>
  <c r="G17" i="5" s="1"/>
  <c r="N28" i="1"/>
  <c r="H17" i="5"/>
  <c r="H15" i="5"/>
  <c r="K26" i="1"/>
  <c r="M26" i="1"/>
  <c r="N22" i="1"/>
  <c r="H11" i="5"/>
  <c r="M22" i="1"/>
  <c r="H9" i="5"/>
  <c r="M20" i="1"/>
  <c r="F9" i="5"/>
  <c r="G9" i="5" s="1"/>
  <c r="K20" i="1"/>
  <c r="H7" i="5"/>
  <c r="K18" i="1"/>
  <c r="J62" i="19"/>
  <c r="E23" i="5"/>
  <c r="E21" i="5"/>
  <c r="E17" i="5"/>
  <c r="E13" i="5"/>
  <c r="E20" i="5"/>
  <c r="E16" i="5"/>
  <c r="E14" i="5"/>
  <c r="E10" i="5"/>
  <c r="E8" i="5"/>
  <c r="B25" i="5"/>
  <c r="C29" i="5" s="1"/>
  <c r="L33" i="20"/>
  <c r="C53" i="20"/>
  <c r="E5" i="5"/>
  <c r="F5" i="5"/>
  <c r="G5" i="5" s="1"/>
  <c r="L26" i="19"/>
  <c r="L26" i="20"/>
  <c r="L26" i="21"/>
  <c r="M16" i="1"/>
  <c r="K16" i="1"/>
  <c r="N16" i="1"/>
  <c r="L36" i="1"/>
  <c r="K33" i="21" l="1"/>
  <c r="K31" i="19"/>
  <c r="K33" i="19"/>
  <c r="L28" i="19"/>
  <c r="F48" i="1"/>
  <c r="H48" i="1" s="1"/>
  <c r="C52" i="19" s="1"/>
  <c r="K31" i="20"/>
  <c r="K37" i="19"/>
  <c r="K27" i="20"/>
  <c r="K37" i="20"/>
  <c r="K40" i="19"/>
  <c r="K40" i="21"/>
  <c r="K34" i="19"/>
  <c r="K34" i="21"/>
  <c r="H25" i="5"/>
  <c r="K30" i="19"/>
  <c r="K30" i="20"/>
  <c r="K30" i="21"/>
  <c r="K36" i="21"/>
  <c r="K36" i="20"/>
  <c r="K36" i="19"/>
  <c r="K43" i="19"/>
  <c r="K43" i="21"/>
  <c r="K43" i="20"/>
  <c r="K44" i="21"/>
  <c r="K44" i="19"/>
  <c r="K44" i="20"/>
  <c r="K28" i="19"/>
  <c r="K28" i="20"/>
  <c r="K28" i="21"/>
  <c r="K36" i="1"/>
  <c r="E25" i="5"/>
  <c r="C28" i="5" s="1"/>
  <c r="F47" i="1" s="1"/>
  <c r="K26" i="21"/>
  <c r="K26" i="20"/>
  <c r="K26" i="19"/>
  <c r="C52" i="20" l="1"/>
  <c r="K37" i="1"/>
  <c r="K54" i="1"/>
  <c r="C52" i="21"/>
  <c r="L48" i="1"/>
  <c r="J54" i="1"/>
  <c r="J58" i="20" s="1"/>
  <c r="K46" i="19"/>
  <c r="K46" i="21"/>
  <c r="C27" i="5"/>
  <c r="F46" i="1" s="1"/>
  <c r="K46" i="20"/>
  <c r="H47" i="1"/>
  <c r="L47" i="1"/>
  <c r="K52" i="20" l="1"/>
  <c r="B52" i="20" s="1"/>
  <c r="K52" i="21"/>
  <c r="B52" i="21" s="1"/>
  <c r="K52" i="19"/>
  <c r="B52" i="19" s="1"/>
  <c r="J58" i="19"/>
  <c r="J58" i="21"/>
  <c r="L46" i="1"/>
  <c r="K53" i="1" s="1"/>
  <c r="C51" i="21"/>
  <c r="C51" i="20"/>
  <c r="C51" i="19"/>
  <c r="K51" i="20"/>
  <c r="B51" i="20" s="1"/>
  <c r="K51" i="21"/>
  <c r="B51" i="21" s="1"/>
  <c r="K51" i="19"/>
  <c r="B51" i="19" s="1"/>
  <c r="H46" i="1" l="1"/>
  <c r="C50" i="20" s="1"/>
  <c r="K50" i="20"/>
  <c r="B50" i="20" s="1"/>
  <c r="K50" i="19"/>
  <c r="B50" i="19" s="1"/>
  <c r="K50" i="21"/>
  <c r="B50" i="21" s="1"/>
  <c r="K57" i="19"/>
  <c r="L49" i="1"/>
  <c r="K51" i="1" s="1"/>
  <c r="K57" i="21"/>
  <c r="K57" i="20"/>
  <c r="C50" i="19" l="1"/>
  <c r="K53" i="19"/>
  <c r="B53" i="19" s="1"/>
  <c r="C50" i="21"/>
  <c r="K53" i="20"/>
  <c r="B53" i="20" s="1"/>
  <c r="K53" i="21"/>
  <c r="B53" i="21" s="1"/>
  <c r="K55" i="19"/>
  <c r="K58" i="21"/>
  <c r="K58" i="20"/>
  <c r="K58" i="19"/>
  <c r="K56" i="1"/>
  <c r="K55" i="21" l="1"/>
  <c r="K55" i="20"/>
  <c r="K60" i="21"/>
  <c r="K60" i="20"/>
  <c r="K58" i="1"/>
  <c r="K61" i="1" s="1"/>
  <c r="K60" i="19"/>
  <c r="K65" i="19" l="1"/>
  <c r="K65" i="20"/>
  <c r="K65" i="21"/>
  <c r="K62" i="19"/>
  <c r="K62" i="21"/>
  <c r="K62" i="20"/>
</calcChain>
</file>

<file path=xl/sharedStrings.xml><?xml version="1.0" encoding="utf-8"?>
<sst xmlns="http://schemas.openxmlformats.org/spreadsheetml/2006/main" count="524" uniqueCount="304">
  <si>
    <t>Glasdiscount.nl
Voorsterweg 20
7371 GC  Loenen (Gld.)
Tel.:  055- 843 42 02
info@glasdiscount.nl</t>
  </si>
  <si>
    <t>Datum:</t>
  </si>
  <si>
    <t>Offerteprogramma</t>
  </si>
  <si>
    <t>Ordernr.:</t>
  </si>
  <si>
    <t>……</t>
  </si>
  <si>
    <r>
      <t xml:space="preserve">Stel zelf uw offerte samen door onderstaand formulier in te vullen. Wilt u bestellen, mail het Excel-bestand dan naar info@glasdiscount.nl.
Alleen de blauw gekleurde vakken zijn invoervelden. De overige velden zijn beveiligd. Waar &lt;selecteer&gt; staat kunt u uit een lijst selecteren.
Indien u niet voldoende regels heeft, kunt u een tweede formulier invullen. Als er nog vragen zijn, neem dan contact met ons op.
</t>
    </r>
    <r>
      <rPr>
        <i/>
        <sz val="10"/>
        <color rgb="FF06506F"/>
        <rFont val="Arial"/>
        <family val="2"/>
      </rPr>
      <t>Prijzen zijn exclusief btw en inclusief transportverzekering, verwijderingsbijdrage en energietoeslag.</t>
    </r>
  </si>
  <si>
    <t>STAP 1: Voer de gegevens van de beglazing in</t>
  </si>
  <si>
    <t>Geen glasaftrek bij roosters toepassen</t>
  </si>
  <si>
    <t>Isolatieglas</t>
  </si>
  <si>
    <t>Spouw</t>
  </si>
  <si>
    <t>Aantal</t>
  </si>
  <si>
    <t>Breedte</t>
  </si>
  <si>
    <t>Hoogte</t>
  </si>
  <si>
    <t>Ventilatierooster</t>
  </si>
  <si>
    <t>Opp. ruit</t>
  </si>
  <si>
    <t>Prijs glas</t>
  </si>
  <si>
    <t>Prijs rooster(s)</t>
  </si>
  <si>
    <t>soort en samenstelling</t>
  </si>
  <si>
    <t>mm</t>
  </si>
  <si>
    <t>€</t>
  </si>
  <si>
    <t>stuks</t>
  </si>
  <si>
    <t>Type</t>
  </si>
  <si>
    <t>Kleur</t>
  </si>
  <si>
    <t>m2</t>
  </si>
  <si>
    <t xml:space="preserve">  &lt;selecteer&gt;</t>
  </si>
  <si>
    <t>&lt;selecteer&gt;</t>
  </si>
  <si>
    <t>*1 = Prijs gebaseerd minimaal 0,5 m2 per ruit</t>
  </si>
  <si>
    <t>Subtotalen glas en roosters</t>
  </si>
  <si>
    <t>*2 = Ruit &gt; 5 m2, neem contact op met Glasdiscount.nl</t>
  </si>
  <si>
    <t>Subtotaal</t>
  </si>
  <si>
    <t>STAP 2: Selecteer de benodigde beglazingsproducten</t>
  </si>
  <si>
    <t>Voor de montage van de hierboven opgegeven beglazing heeft u onderstaand beglazingsmateriaal nodig. U kunt de aantallen zelf aanpassen.</t>
  </si>
  <si>
    <t>In onze webshop is een meer uitgebreide keuze aan glastoebehoren te vinden.
Bezoek voor meer informatie onze website www.glasdiscount.nl.</t>
  </si>
  <si>
    <t>Benodigde producten</t>
  </si>
  <si>
    <t>Prijs/eh.</t>
  </si>
  <si>
    <t>Gekozen beglazingsproducten</t>
  </si>
  <si>
    <t>Prijs</t>
  </si>
  <si>
    <t>===&gt;</t>
  </si>
  <si>
    <t>Beglazingsmateriaal bestellen?</t>
  </si>
  <si>
    <t>Totaal excl. btw</t>
  </si>
  <si>
    <t>Op al onze leveringen zijn de leveringsvoorwaarden van
Glasdiscount.nl van toepassing.
Deze voorwaarden kunt u lezen of downloaden op onze
website www.glasdiscount.nl.</t>
  </si>
  <si>
    <t>Arbeidsdeel van het bedrag in €</t>
  </si>
  <si>
    <t>Totaal incl. btw</t>
  </si>
  <si>
    <t>STAP 3: Vul uw contactgegevens in</t>
  </si>
  <si>
    <t>Factuuradres</t>
  </si>
  <si>
    <t xml:space="preserve">Naam: </t>
  </si>
  <si>
    <t>*</t>
  </si>
  <si>
    <t>Straat en huisnummer:</t>
  </si>
  <si>
    <t>Postcode:</t>
  </si>
  <si>
    <t>Woonplaats:</t>
  </si>
  <si>
    <t>Land:</t>
  </si>
  <si>
    <t>Telefoonnummer 1:</t>
  </si>
  <si>
    <t>Telefoonnummer:</t>
  </si>
  <si>
    <t>Telefoonnummer 2:</t>
  </si>
  <si>
    <t>E-mail</t>
  </si>
  <si>
    <t>* = Verplicht invoerveld</t>
  </si>
  <si>
    <t>Afwijkend afleveradres?</t>
  </si>
  <si>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===&gt;</t>
    </r>
  </si>
  <si>
    <t>Bezorgen of afhalen?</t>
  </si>
  <si>
    <t>&lt;kies locatie&gt;</t>
  </si>
  <si>
    <t>STAP 4: Eventuele opmerkingen</t>
  </si>
  <si>
    <t>Offerte</t>
  </si>
  <si>
    <t>Offertenr.:</t>
  </si>
  <si>
    <t>Glasssoort</t>
  </si>
  <si>
    <t>Glas</t>
  </si>
  <si>
    <t>Rooster</t>
  </si>
  <si>
    <t>Beglazingsmaterialen</t>
  </si>
  <si>
    <t>Opmerkingen:</t>
  </si>
  <si>
    <t>Verzending en afhandeling</t>
  </si>
  <si>
    <t>Op al onze leveringen zijn de leveringsvoorwaarden van Glasdiscount.nl van toepassing.
Deze voorwaarden kunt u lezen of downloaden op onze website www.glasdiscount.nl</t>
  </si>
  <si>
    <t>Opdrachtbevestiging</t>
  </si>
  <si>
    <t>Vervaldatum:</t>
  </si>
  <si>
    <t>Factuur</t>
  </si>
  <si>
    <t>Bij betaling het ordernummer vermelden.</t>
  </si>
  <si>
    <t>Bestellijst glas</t>
  </si>
  <si>
    <r>
      <t xml:space="preserve">LET OP!!
Bij de glasafmetingen is de aftrek voor roosters al toegepast.
In onderstaande tabel staat de gerekende aftrek.
Deze tabel komt </t>
    </r>
    <r>
      <rPr>
        <i/>
        <u/>
        <sz val="10"/>
        <color indexed="10"/>
        <rFont val="Arial Narrow"/>
        <family val="2"/>
      </rPr>
      <t>niet</t>
    </r>
    <r>
      <rPr>
        <i/>
        <sz val="10"/>
        <color indexed="10"/>
        <rFont val="Arial Narrow"/>
        <family val="2"/>
      </rPr>
      <t xml:space="preserve"> op de print.</t>
    </r>
  </si>
  <si>
    <t>Zo spoedig mogelijk</t>
  </si>
  <si>
    <t>Opmerkingen</t>
  </si>
  <si>
    <t>Rooster-</t>
  </si>
  <si>
    <t>aftrek</t>
  </si>
  <si>
    <t>Opmerkingen algemeen:</t>
  </si>
  <si>
    <t>!!Opgegeven maatvoering zijn glasmaten!!
Bij toepassing van ventilatieroosters is er al rekening gehouden met glasaftrek.</t>
  </si>
  <si>
    <t>Bestellijst roosters</t>
  </si>
  <si>
    <t>!!Roosters compleet leveren met beglazingsrubber!!</t>
  </si>
  <si>
    <t>Deze spreadsheet is eigendom van Glasdiscount.nl en mag uitsluitend gebruikt worden door (potentiële) relaties en klanten van Glasdiscount.nl</t>
  </si>
  <si>
    <t>Op geen enkele wijze mag dit programma gekopieerd of hergebruikt worden tenzij schriftelijke toestemming is verleend door Glasdiscount.nl</t>
  </si>
  <si>
    <t>ISOLATIEGLAS</t>
  </si>
  <si>
    <t>VENTILATIEROOSTERS</t>
  </si>
  <si>
    <t>TOEBEHOREN GLAS</t>
  </si>
  <si>
    <t>VERZENDKOSTEN</t>
  </si>
  <si>
    <t>isoglas</t>
  </si>
  <si>
    <t>vent.rooster</t>
  </si>
  <si>
    <t>materiaal</t>
  </si>
  <si>
    <t>prijs</t>
  </si>
  <si>
    <t>bedrag</t>
  </si>
  <si>
    <t>tot €</t>
  </si>
  <si>
    <t>isoglas_artikel</t>
  </si>
  <si>
    <t>isoglas_prijs</t>
  </si>
  <si>
    <t>vent.rooster_artikel</t>
  </si>
  <si>
    <t>vent.rooster_prijstot500</t>
  </si>
  <si>
    <t>vent.rooster_prijsvanaf500</t>
  </si>
  <si>
    <t>vent.rooster_glasaftrek</t>
  </si>
  <si>
    <t>toebehoren_kit</t>
  </si>
  <si>
    <t>verzend_hoog</t>
  </si>
  <si>
    <t>verzend-tot</t>
  </si>
  <si>
    <t>verkoopprijs per m2</t>
  </si>
  <si>
    <t>&lt; 500 mm</t>
  </si>
  <si>
    <t>&gt; 500 mm per 100 mm</t>
  </si>
  <si>
    <t>glasaftrek</t>
  </si>
  <si>
    <t>toebehoren_band</t>
  </si>
  <si>
    <t>Beglazingsband 9x3 mm wit, rol á 25 m1</t>
  </si>
  <si>
    <t>verzend_laag</t>
  </si>
  <si>
    <t>toebehoren_blokjes</t>
  </si>
  <si>
    <t>Beglazingsblokjes, set per ruit</t>
  </si>
  <si>
    <t xml:space="preserve">  HR++ 5 - 4* (standaard)</t>
  </si>
  <si>
    <t>Ducoline 10/17/23 F1 Alu</t>
  </si>
  <si>
    <t xml:space="preserve">  Stand. Iso 5 - 4 (standaard)</t>
  </si>
  <si>
    <t xml:space="preserve">Ducoline 10/17/23 RAL niet standaard </t>
  </si>
  <si>
    <t xml:space="preserve">  ZHR++ 6* -  4 (standaard)</t>
  </si>
  <si>
    <t>Ducoline 10/17/23 RAL standaard</t>
  </si>
  <si>
    <t>HR++ 4 - 4*</t>
  </si>
  <si>
    <t>Ducoline 10/17/23 ZR F1 Alu</t>
  </si>
  <si>
    <t>HR++ 5 - 4*</t>
  </si>
  <si>
    <t>Ducoline 10/17/23 ZR RAL niet standaar</t>
  </si>
  <si>
    <t>HR++ 6 - 4*</t>
  </si>
  <si>
    <t>Ducoline 10/17/23 ZR RAL standaard</t>
  </si>
  <si>
    <t>HR++ 6 - 5*</t>
  </si>
  <si>
    <t>Ducoton 10 F1 Alu</t>
  </si>
  <si>
    <t xml:space="preserve">Ducoton 10 RAL niet standaard </t>
  </si>
  <si>
    <t>Ducoton 10 RAL standaard</t>
  </si>
  <si>
    <t xml:space="preserve">HR++ gelaagd bi 4 - 33.1* </t>
  </si>
  <si>
    <t>Ducoton 10 ZR F1 Alu</t>
  </si>
  <si>
    <t xml:space="preserve">HR++ gelaagd bi 5 - 33.1* </t>
  </si>
  <si>
    <t xml:space="preserve">Ducoton 10 ZR RAL niet standaard </t>
  </si>
  <si>
    <t>Ducoton 18 F1 Alu</t>
  </si>
  <si>
    <t xml:space="preserve">Ducoton 18 RAL niet standaard </t>
  </si>
  <si>
    <t>Ducoton 18 RAL standaard</t>
  </si>
  <si>
    <t>Buva Fitstream 11 F1 Alu</t>
  </si>
  <si>
    <t xml:space="preserve">Buva Fitstream 11 RAL niet standaard </t>
  </si>
  <si>
    <t>Buva Fitstream 11 RAL standaard</t>
  </si>
  <si>
    <t>Buva Fitstream 14 F1 Alu</t>
  </si>
  <si>
    <t xml:space="preserve">Buva Fitstream 14 RAL niet standaard </t>
  </si>
  <si>
    <t>Buva Fitstream 14 RAL standaard</t>
  </si>
  <si>
    <t>Buva Fitstream 16 F1 Alu</t>
  </si>
  <si>
    <t xml:space="preserve">Buva Fitstream 16 RAL niet standaard </t>
  </si>
  <si>
    <t>Buva Fitstream 16 RAL standaard</t>
  </si>
  <si>
    <t>Buva Fitstream 21 F1 Alu</t>
  </si>
  <si>
    <t xml:space="preserve">Buva Fitstream 21 RAL niet standaard </t>
  </si>
  <si>
    <t>Buva Fitstream 21 RAL standaard</t>
  </si>
  <si>
    <t>Buva Slidestream F1 Alu</t>
  </si>
  <si>
    <t xml:space="preserve">Buva Slidestream RAL niet standaard </t>
  </si>
  <si>
    <t>Buva Slidestream RAL standaard</t>
  </si>
  <si>
    <t>Stand. Iso 4 - 4</t>
  </si>
  <si>
    <t>Stand. Iso 5 - 4</t>
  </si>
  <si>
    <t>Stand. Iso 6 - 4</t>
  </si>
  <si>
    <t>Stand. Iso 6 - 5</t>
  </si>
  <si>
    <t>Stand. Iso 8 - 6</t>
  </si>
  <si>
    <t>Stand. Iso gelaagd 4 - 33.1</t>
  </si>
  <si>
    <t>Stand. Iso gelaagd 5 - 33.1</t>
  </si>
  <si>
    <t>Stand. Iso gelaagd 5 - 44.2</t>
  </si>
  <si>
    <t>Stand. Iso gelaagd 6 - 33.1</t>
  </si>
  <si>
    <t>Stand. Iso gelaagd 6 - 44.2</t>
  </si>
  <si>
    <t>Stand. Iso gelaagd 44.2 - 44.2</t>
  </si>
  <si>
    <t>KORTING % ISOLATIEGLAS</t>
  </si>
  <si>
    <t>ADRES LAND</t>
  </si>
  <si>
    <t>BEZORGEN/AFHALEN</t>
  </si>
  <si>
    <t>AFHAALOCATIE</t>
  </si>
  <si>
    <t>JA/NEE SELECTIE</t>
  </si>
  <si>
    <t>BTW</t>
  </si>
  <si>
    <t>isoglas_spouw</t>
  </si>
  <si>
    <t>vent.rooster_kleur</t>
  </si>
  <si>
    <t>isoglas_korting</t>
  </si>
  <si>
    <t>adres_land</t>
  </si>
  <si>
    <t>afhalen_bezorgen</t>
  </si>
  <si>
    <t>afhaallocatie</t>
  </si>
  <si>
    <t>ja_nee_selectie</t>
  </si>
  <si>
    <t>spouwbreedte</t>
  </si>
  <si>
    <t>kleur ventilatierooster</t>
  </si>
  <si>
    <t>van m2</t>
  </si>
  <si>
    <t>tot m2</t>
  </si>
  <si>
    <t>korting %</t>
  </si>
  <si>
    <t>Omschrijving</t>
  </si>
  <si>
    <t>land</t>
  </si>
  <si>
    <t>Ja of Nee</t>
  </si>
  <si>
    <t>btw type</t>
  </si>
  <si>
    <t>%</t>
  </si>
  <si>
    <t>RAL 9001</t>
  </si>
  <si>
    <t>0% korting</t>
  </si>
  <si>
    <t>Btw hoog</t>
  </si>
  <si>
    <t>btw_hoog</t>
  </si>
  <si>
    <t xml:space="preserve">  9 mm</t>
  </si>
  <si>
    <t>RAL 9010</t>
  </si>
  <si>
    <t>Nederland</t>
  </si>
  <si>
    <t>Bezorgen</t>
  </si>
  <si>
    <t>Ja</t>
  </si>
  <si>
    <t>Btw laag</t>
  </si>
  <si>
    <t>btw_laag</t>
  </si>
  <si>
    <t>12 mm</t>
  </si>
  <si>
    <t>België</t>
  </si>
  <si>
    <t>Afhalen</t>
  </si>
  <si>
    <t>Almelo</t>
  </si>
  <si>
    <t>Nee</t>
  </si>
  <si>
    <t>13 mm</t>
  </si>
  <si>
    <t>Amsterdam</t>
  </si>
  <si>
    <t>14 mm</t>
  </si>
  <si>
    <t>meer</t>
  </si>
  <si>
    <t>Arnhem</t>
  </si>
  <si>
    <t>15 mm</t>
  </si>
  <si>
    <t>Den Helder</t>
  </si>
  <si>
    <t>18 mm</t>
  </si>
  <si>
    <t>Test korting %</t>
  </si>
  <si>
    <t>Eindhoven</t>
  </si>
  <si>
    <t>Aantal m2</t>
  </si>
  <si>
    <t>Emmen</t>
  </si>
  <si>
    <t>Kortings%</t>
  </si>
  <si>
    <t>Groningen</t>
  </si>
  <si>
    <t>Loenen</t>
  </si>
  <si>
    <t>Rijswijk</t>
  </si>
  <si>
    <t>Zwolle</t>
  </si>
  <si>
    <t>aantal</t>
  </si>
  <si>
    <t>breedte</t>
  </si>
  <si>
    <t>hoogte</t>
  </si>
  <si>
    <t>omtrek</t>
  </si>
  <si>
    <t>opp./ruit</t>
  </si>
  <si>
    <t>m2 glas t.b.v.</t>
  </si>
  <si>
    <t>opp. Totaal</t>
  </si>
  <si>
    <t>&lt;500 mm</t>
  </si>
  <si>
    <t>&gt;500 mm</t>
  </si>
  <si>
    <t>500 mm +</t>
  </si>
  <si>
    <r>
      <rPr>
        <b/>
        <i/>
        <sz val="8"/>
        <color rgb="FFFF0000"/>
        <rFont val="Arial Narrow"/>
        <family val="2"/>
      </rPr>
      <t>X</t>
    </r>
    <r>
      <rPr>
        <b/>
        <i/>
        <sz val="8"/>
        <rFont val="Arial Narrow"/>
        <family val="2"/>
      </rPr>
      <t>*100 mm</t>
    </r>
  </si>
  <si>
    <t>m1</t>
  </si>
  <si>
    <t>Kit</t>
  </si>
  <si>
    <t>kokers á 310 ml</t>
  </si>
  <si>
    <t>Band</t>
  </si>
  <si>
    <t>rollen á 25 m1</t>
  </si>
  <si>
    <t>Blokjes</t>
  </si>
  <si>
    <t>setjes</t>
  </si>
  <si>
    <t>Beglazingskit Easyseal XPS wit, koker á 310 ml</t>
  </si>
  <si>
    <t>© 2004 - 2019 Glasdiscount.nl</t>
  </si>
  <si>
    <t>Betaalwijze</t>
  </si>
  <si>
    <t>Verzendwijze</t>
  </si>
  <si>
    <t>ADVIES BEGLAZINGSMATERIAAL:</t>
  </si>
  <si>
    <t>Gewenste leverdatum</t>
  </si>
  <si>
    <t>Stand. Iso gelaagd 33.1 - 33.1</t>
  </si>
  <si>
    <t>Stand. Iso gelaagd 4 - 44.2</t>
  </si>
  <si>
    <t>ZHR++ zonwerend 6* - 33.1</t>
  </si>
  <si>
    <t>ZHR++ zonwerend 6* - 44.2</t>
  </si>
  <si>
    <t>ZHR++ zonwerend 6* - 5</t>
  </si>
  <si>
    <t>ZHR++ zonwerend 6* - 4</t>
  </si>
  <si>
    <t>ZHR++ zonwerend 6* - 6</t>
  </si>
  <si>
    <t>Driedubbel glas 4*-12-4-12-4*</t>
  </si>
  <si>
    <t>Driedubbel glas 5*-12-4-12-4*</t>
  </si>
  <si>
    <t>Driedubbel glas 6*-12-4-12-5*</t>
  </si>
  <si>
    <t>Driedubbel glas 6*-12-4-12-6*</t>
  </si>
  <si>
    <t>Driedubbel glas 4*-12-4-12-33.1*</t>
  </si>
  <si>
    <t>Driedubbel glas 5*-12-4-12-33.1*</t>
  </si>
  <si>
    <t>Driedubbel glas 6*-12-4-12-33.1*</t>
  </si>
  <si>
    <t>Driedubbel glas 6*-12-4-12-44.2*</t>
  </si>
  <si>
    <t>Driedubbel glas 33.1*-12-4-12-33.1*</t>
  </si>
  <si>
    <t>Driedubbel glas 44.2*-12-4-12-44.2*</t>
  </si>
  <si>
    <t>HR++ 5 - 5*</t>
  </si>
  <si>
    <t>HR++ 6 - 6*</t>
  </si>
  <si>
    <t xml:space="preserve">HR++ gelaagd bi 6 - 33.1* </t>
  </si>
  <si>
    <t xml:space="preserve">HR++ gelaagd bi 4 - 44.2* </t>
  </si>
  <si>
    <t xml:space="preserve">HR++ gelaagd bi 5 - 44.2* </t>
  </si>
  <si>
    <t xml:space="preserve">HR++ gelaagd bi 6 - 44.2* </t>
  </si>
  <si>
    <t>HR++ gelaagd bui 33.1 - 4*</t>
  </si>
  <si>
    <t>HR++ gelaagd bui 44.2 - 4*</t>
  </si>
  <si>
    <t>HR++ gelaagd bui 33.1 - 5*</t>
  </si>
  <si>
    <t>HR++ gelaagd bui 44.2 - 5*</t>
  </si>
  <si>
    <t>HR++ gelaagd bui 33.1 - 6*</t>
  </si>
  <si>
    <t>HR++ gelaagd bui 44.2 - 6*</t>
  </si>
  <si>
    <t>Stand. Iso figuur 4 - 33.1 mat</t>
  </si>
  <si>
    <t>HR++ figuur 4 byzantijns fijn - 33.1*</t>
  </si>
  <si>
    <t>HR++ figuur 33.1 mat - 33.1*</t>
  </si>
  <si>
    <t>HR++ figuur 4 klar - 33.1*</t>
  </si>
  <si>
    <t>HR++ figuur 4 kathedraal - 33.1*</t>
  </si>
  <si>
    <t>HR++ figuur 4 satinovo - 33.1*</t>
  </si>
  <si>
    <t>klar=??</t>
  </si>
  <si>
    <t>HR++ figuur 33.1 mat - 4*</t>
  </si>
  <si>
    <t>HR++ figuur 4 byzantijns fijn - 4*</t>
  </si>
  <si>
    <t>HR++ figuur 4 byzantijns grof - 4*</t>
  </si>
  <si>
    <t>HR++ figuur 4 chinchilla grof - 4*</t>
  </si>
  <si>
    <t>HR++ figuur 4 delta mat - 4*</t>
  </si>
  <si>
    <t>HR++ figuur 4 kathedraal - 4*</t>
  </si>
  <si>
    <t>HR++ figuur 4 klar - 4*</t>
  </si>
  <si>
    <t>HR++ figuur 4 satinovo - 4*</t>
  </si>
  <si>
    <t>HR++ figuur 4 klar - 5*</t>
  </si>
  <si>
    <t>HR++ figuur 4 satinovo - 5*</t>
  </si>
  <si>
    <t>Stand. Iso figuur 4 - 4 byzantijns fijn</t>
  </si>
  <si>
    <t>Stand. Iso figuur 4 - 4 satinovo</t>
  </si>
  <si>
    <t>Stand. Iso figuur 5 - 4 satinovo</t>
  </si>
  <si>
    <t>Ducoton 10 ZR RAL standaard</t>
  </si>
  <si>
    <t xml:space="preserve">  7 mm</t>
  </si>
  <si>
    <t>tarieven</t>
  </si>
  <si>
    <t>m²</t>
  </si>
  <si>
    <t>Prijs/m²</t>
  </si>
  <si>
    <t>Stand. Iso gelaagd 44.2 - 33.1</t>
  </si>
  <si>
    <t>HR++ gelaagd bui/bi 33.1 - 33.1*</t>
  </si>
  <si>
    <t>HR++ gelaagd bui/bu 44.2 - 33.1*</t>
  </si>
  <si>
    <t>HR++ gelaagd bu/bi 33.1 - 44.2*</t>
  </si>
  <si>
    <t>HR++ gelaagd bui/bi 44.2 - 44.2*</t>
  </si>
  <si>
    <t>16 mm</t>
  </si>
  <si>
    <t>Glasdiscount.nl
Hoofdweg 60
7371 AJ  Loenen (Gld.)
Tel.:  055- 843 42 02
info@glasdiscount.nl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</si>
</sst>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€&quot;\ * #,##0.00_ ;_ &quot;€&quot;\ * \-#,##0.00_ ;_ &quot;€&quot;\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&quot;€&quot;\ * #,##0.00_-;_-&quot;€&quot;\ * #,##0.00\-;_-&quot;€&quot;\ * &quot;-&quot;??_-;_-@_-"/>
    <numFmt numFmtId="167" formatCode="&quot;€&quot;\ #,##0.00_-"/>
    <numFmt numFmtId="168" formatCode="0.000"/>
    <numFmt numFmtId="169" formatCode="0#########"/>
    <numFmt numFmtId="170" formatCode="&quot;€&quot;\ #,##0.00"/>
    <numFmt numFmtId="171" formatCode="[$-413]d\ mmmm\ yyyy;@"/>
    <numFmt numFmtId="172" formatCode="[$-F800]dddd\,\ mmmm\ dd\,\ yyyy"/>
    <numFmt numFmtId="173" formatCode="#,##0.000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i/>
      <sz val="10"/>
      <color indexed="10"/>
      <name val="Arial Narrow"/>
      <family val="2"/>
    </font>
    <font>
      <i/>
      <u/>
      <sz val="10"/>
      <color indexed="10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i/>
      <sz val="10"/>
      <color rgb="FF06506F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 Narrow"/>
      <family val="2"/>
    </font>
    <font>
      <sz val="22"/>
      <color theme="0"/>
      <name val="Arial"/>
      <family val="2"/>
    </font>
    <font>
      <i/>
      <sz val="10"/>
      <color rgb="FFFF0000"/>
      <name val="Arial"/>
      <family val="2"/>
    </font>
    <font>
      <sz val="10"/>
      <color rgb="FF06506F"/>
      <name val="Arial"/>
      <family val="2"/>
    </font>
    <font>
      <b/>
      <sz val="12"/>
      <color rgb="FF06506F"/>
      <name val="Arial"/>
      <family val="2"/>
    </font>
    <font>
      <b/>
      <sz val="10"/>
      <color rgb="FF06506F"/>
      <name val="Arial"/>
      <family val="2"/>
    </font>
    <font>
      <i/>
      <sz val="8"/>
      <color rgb="FFFF0000"/>
      <name val="Arial"/>
      <family val="2"/>
    </font>
    <font>
      <i/>
      <sz val="10"/>
      <color rgb="FF06506F"/>
      <name val="Arial Narrow"/>
      <family val="2"/>
    </font>
    <font>
      <b/>
      <i/>
      <sz val="8"/>
      <name val="Arial Narrow"/>
      <family val="2"/>
    </font>
    <font>
      <b/>
      <i/>
      <sz val="8"/>
      <color rgb="FFFF0000"/>
      <name val="Arial Narrow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506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18">
    <xf numFmtId="0" fontId="0" fillId="0" borderId="0" xfId="0"/>
    <xf numFmtId="0" fontId="1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14" fillId="2" borderId="0" xfId="0" applyFont="1" applyFill="1"/>
    <xf numFmtId="0" fontId="15" fillId="2" borderId="0" xfId="0" applyFont="1" applyFill="1"/>
    <xf numFmtId="0" fontId="0" fillId="3" borderId="0" xfId="0" applyFill="1"/>
    <xf numFmtId="0" fontId="1" fillId="3" borderId="0" xfId="0" applyFont="1" applyFill="1"/>
    <xf numFmtId="0" fontId="21" fillId="4" borderId="0" xfId="0" applyFont="1" applyFill="1" applyBorder="1"/>
    <xf numFmtId="0" fontId="0" fillId="3" borderId="0" xfId="0" applyFill="1" applyBorder="1"/>
    <xf numFmtId="0" fontId="1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Border="1" applyAlignment="1"/>
    <xf numFmtId="170" fontId="0" fillId="3" borderId="0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center"/>
    </xf>
    <xf numFmtId="170" fontId="0" fillId="3" borderId="0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0" fillId="3" borderId="2" xfId="0" applyFill="1" applyBorder="1"/>
    <xf numFmtId="0" fontId="16" fillId="6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5" xfId="0" applyFont="1" applyFill="1" applyBorder="1"/>
    <xf numFmtId="170" fontId="12" fillId="3" borderId="5" xfId="0" applyNumberFormat="1" applyFont="1" applyFill="1" applyBorder="1"/>
    <xf numFmtId="170" fontId="12" fillId="3" borderId="6" xfId="0" applyNumberFormat="1" applyFont="1" applyFill="1" applyBorder="1"/>
    <xf numFmtId="0" fontId="12" fillId="3" borderId="7" xfId="0" applyFont="1" applyFill="1" applyBorder="1"/>
    <xf numFmtId="0" fontId="12" fillId="3" borderId="3" xfId="0" applyFont="1" applyFill="1" applyBorder="1"/>
    <xf numFmtId="170" fontId="12" fillId="3" borderId="8" xfId="0" applyNumberFormat="1" applyFont="1" applyFill="1" applyBorder="1"/>
    <xf numFmtId="170" fontId="12" fillId="3" borderId="9" xfId="0" applyNumberFormat="1" applyFont="1" applyFill="1" applyBorder="1"/>
    <xf numFmtId="0" fontId="1" fillId="6" borderId="10" xfId="0" applyFont="1" applyFill="1" applyBorder="1" applyAlignment="1">
      <alignment horizontal="left" indent="1"/>
    </xf>
    <xf numFmtId="0" fontId="1" fillId="6" borderId="11" xfId="0" applyFont="1" applyFill="1" applyBorder="1" applyAlignment="1">
      <alignment horizontal="left" indent="1"/>
    </xf>
    <xf numFmtId="0" fontId="0" fillId="6" borderId="11" xfId="0" applyFill="1" applyBorder="1"/>
    <xf numFmtId="0" fontId="0" fillId="6" borderId="12" xfId="0" applyFill="1" applyBorder="1"/>
    <xf numFmtId="0" fontId="21" fillId="4" borderId="13" xfId="0" applyFont="1" applyFill="1" applyBorder="1" applyAlignment="1">
      <alignment horizontal="left" indent="1"/>
    </xf>
    <xf numFmtId="0" fontId="21" fillId="4" borderId="14" xfId="0" applyFont="1" applyFill="1" applyBorder="1" applyAlignment="1">
      <alignment horizontal="left" indent="1"/>
    </xf>
    <xf numFmtId="0" fontId="21" fillId="4" borderId="14" xfId="0" applyFont="1" applyFill="1" applyBorder="1"/>
    <xf numFmtId="0" fontId="21" fillId="4" borderId="15" xfId="0" applyFont="1" applyFill="1" applyBorder="1"/>
    <xf numFmtId="0" fontId="21" fillId="4" borderId="16" xfId="0" applyFont="1" applyFill="1" applyBorder="1" applyAlignment="1">
      <alignment horizontal="left" indent="1"/>
    </xf>
    <xf numFmtId="0" fontId="21" fillId="4" borderId="17" xfId="0" applyFont="1" applyFill="1" applyBorder="1" applyAlignment="1">
      <alignment horizontal="left" indent="1"/>
    </xf>
    <xf numFmtId="0" fontId="21" fillId="4" borderId="17" xfId="0" applyNumberFormat="1" applyFont="1" applyFill="1" applyBorder="1"/>
    <xf numFmtId="0" fontId="21" fillId="4" borderId="17" xfId="0" applyFont="1" applyFill="1" applyBorder="1"/>
    <xf numFmtId="0" fontId="21" fillId="4" borderId="18" xfId="0" applyFont="1" applyFill="1" applyBorder="1"/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right" vertical="center" indent="1"/>
    </xf>
    <xf numFmtId="170" fontId="10" fillId="3" borderId="11" xfId="0" applyNumberFormat="1" applyFont="1" applyFill="1" applyBorder="1" applyAlignment="1">
      <alignment horizontal="right" vertical="center"/>
    </xf>
    <xf numFmtId="0" fontId="22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right" vertical="center" indent="1"/>
    </xf>
    <xf numFmtId="0" fontId="21" fillId="4" borderId="0" xfId="0" applyFont="1" applyFill="1" applyBorder="1" applyAlignment="1">
      <alignment horizontal="left"/>
    </xf>
    <xf numFmtId="0" fontId="9" fillId="3" borderId="0" xfId="0" applyFont="1" applyFill="1" applyAlignment="1">
      <alignment horizontal="right" vertical="center" indent="1"/>
    </xf>
    <xf numFmtId="0" fontId="2" fillId="3" borderId="23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right"/>
    </xf>
    <xf numFmtId="0" fontId="2" fillId="3" borderId="25" xfId="0" applyFont="1" applyFill="1" applyBorder="1" applyAlignment="1">
      <alignment horizontal="right"/>
    </xf>
    <xf numFmtId="0" fontId="2" fillId="3" borderId="23" xfId="0" applyFont="1" applyFill="1" applyBorder="1" applyAlignment="1"/>
    <xf numFmtId="14" fontId="1" fillId="3" borderId="0" xfId="0" applyNumberFormat="1" applyFont="1" applyFill="1" applyBorder="1" applyAlignment="1">
      <alignment horizontal="left" indent="1"/>
    </xf>
    <xf numFmtId="0" fontId="12" fillId="3" borderId="0" xfId="0" applyFont="1" applyFill="1" applyBorder="1"/>
    <xf numFmtId="0" fontId="0" fillId="3" borderId="2" xfId="0" applyFill="1" applyBorder="1" applyAlignment="1"/>
    <xf numFmtId="0" fontId="20" fillId="3" borderId="2" xfId="0" applyFont="1" applyFill="1" applyBorder="1" applyAlignment="1"/>
    <xf numFmtId="0" fontId="0" fillId="3" borderId="27" xfId="0" applyFill="1" applyBorder="1"/>
    <xf numFmtId="0" fontId="0" fillId="3" borderId="28" xfId="0" applyFill="1" applyBorder="1"/>
    <xf numFmtId="0" fontId="12" fillId="2" borderId="27" xfId="1" applyFont="1" applyFill="1" applyBorder="1" applyAlignment="1" applyProtection="1">
      <protection hidden="1"/>
    </xf>
    <xf numFmtId="0" fontId="12" fillId="2" borderId="28" xfId="0" applyFont="1" applyFill="1" applyBorder="1" applyProtection="1">
      <protection hidden="1"/>
    </xf>
    <xf numFmtId="0" fontId="0" fillId="3" borderId="29" xfId="0" applyFill="1" applyBorder="1"/>
    <xf numFmtId="0" fontId="0" fillId="3" borderId="30" xfId="0" applyFill="1" applyBorder="1"/>
    <xf numFmtId="0" fontId="1" fillId="6" borderId="31" xfId="0" applyFont="1" applyFill="1" applyBorder="1" applyAlignment="1">
      <alignment horizontal="center" wrapText="1"/>
    </xf>
    <xf numFmtId="0" fontId="1" fillId="6" borderId="3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6" fillId="6" borderId="33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2" fillId="3" borderId="35" xfId="0" applyFont="1" applyFill="1" applyBorder="1"/>
    <xf numFmtId="3" fontId="2" fillId="3" borderId="36" xfId="0" applyNumberFormat="1" applyFont="1" applyFill="1" applyBorder="1" applyAlignment="1">
      <alignment horizontal="right"/>
    </xf>
    <xf numFmtId="0" fontId="12" fillId="3" borderId="37" xfId="0" applyFont="1" applyFill="1" applyBorder="1"/>
    <xf numFmtId="0" fontId="8" fillId="3" borderId="0" xfId="0" applyFont="1" applyFill="1" applyBorder="1" applyAlignment="1" applyProtection="1">
      <alignment vertical="top" wrapText="1"/>
    </xf>
    <xf numFmtId="0" fontId="13" fillId="3" borderId="0" xfId="0" applyFont="1" applyFill="1" applyBorder="1" applyAlignment="1" applyProtection="1">
      <alignment horizontal="left" vertical="top" wrapText="1" indent="1"/>
    </xf>
    <xf numFmtId="0" fontId="12" fillId="3" borderId="35" xfId="0" applyFont="1" applyFill="1" applyBorder="1" applyAlignment="1"/>
    <xf numFmtId="0" fontId="12" fillId="3" borderId="37" xfId="0" applyFont="1" applyFill="1" applyBorder="1" applyAlignment="1"/>
    <xf numFmtId="0" fontId="12" fillId="3" borderId="6" xfId="0" applyFont="1" applyFill="1" applyBorder="1" applyAlignment="1"/>
    <xf numFmtId="0" fontId="2" fillId="3" borderId="26" xfId="0" applyNumberFormat="1" applyFont="1" applyFill="1" applyBorder="1" applyAlignment="1">
      <alignment horizontal="right"/>
    </xf>
    <xf numFmtId="0" fontId="12" fillId="3" borderId="38" xfId="0" applyFont="1" applyFill="1" applyBorder="1" applyAlignment="1"/>
    <xf numFmtId="0" fontId="16" fillId="6" borderId="19" xfId="0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/>
    <xf numFmtId="0" fontId="23" fillId="2" borderId="0" xfId="0" applyFont="1" applyFill="1"/>
    <xf numFmtId="4" fontId="1" fillId="3" borderId="38" xfId="0" applyNumberFormat="1" applyFont="1" applyFill="1" applyBorder="1" applyProtection="1"/>
    <xf numFmtId="0" fontId="1" fillId="3" borderId="0" xfId="0" applyFont="1" applyFill="1" applyBorder="1" applyAlignment="1" applyProtection="1"/>
    <xf numFmtId="168" fontId="1" fillId="3" borderId="0" xfId="0" applyNumberFormat="1" applyFont="1" applyFill="1" applyBorder="1" applyAlignment="1" applyProtection="1">
      <alignment horizontal="right" vertical="center" indent="1"/>
    </xf>
    <xf numFmtId="0" fontId="2" fillId="7" borderId="23" xfId="0" applyFont="1" applyFill="1" applyBorder="1" applyProtection="1">
      <protection locked="0"/>
    </xf>
    <xf numFmtId="0" fontId="2" fillId="7" borderId="40" xfId="0" applyFont="1" applyFill="1" applyBorder="1" applyProtection="1">
      <protection locked="0"/>
    </xf>
    <xf numFmtId="0" fontId="2" fillId="7" borderId="36" xfId="0" applyFont="1" applyFill="1" applyBorder="1" applyProtection="1">
      <protection locked="0"/>
    </xf>
    <xf numFmtId="49" fontId="1" fillId="3" borderId="0" xfId="0" applyNumberFormat="1" applyFont="1" applyFill="1" applyBorder="1" applyAlignment="1" applyProtection="1"/>
    <xf numFmtId="169" fontId="1" fillId="3" borderId="0" xfId="0" applyNumberFormat="1" applyFont="1" applyFill="1" applyBorder="1" applyAlignment="1" applyProtection="1"/>
    <xf numFmtId="0" fontId="2" fillId="3" borderId="0" xfId="0" applyFont="1" applyFill="1" applyBorder="1" applyAlignment="1" applyProtection="1">
      <alignment horizontal="left"/>
    </xf>
    <xf numFmtId="164" fontId="1" fillId="3" borderId="0" xfId="0" applyNumberFormat="1" applyFont="1" applyFill="1" applyBorder="1" applyAlignment="1" applyProtection="1">
      <alignment vertical="center"/>
    </xf>
    <xf numFmtId="14" fontId="20" fillId="3" borderId="0" xfId="0" applyNumberFormat="1" applyFont="1" applyFill="1" applyBorder="1" applyAlignment="1" applyProtection="1"/>
    <xf numFmtId="0" fontId="20" fillId="3" borderId="0" xfId="0" applyFont="1" applyFill="1" applyBorder="1" applyAlignment="1" applyProtection="1"/>
    <xf numFmtId="49" fontId="20" fillId="3" borderId="0" xfId="0" applyNumberFormat="1" applyFont="1" applyFill="1" applyBorder="1" applyAlignment="1" applyProtection="1"/>
    <xf numFmtId="169" fontId="20" fillId="3" borderId="0" xfId="0" applyNumberFormat="1" applyFont="1" applyFill="1" applyBorder="1" applyAlignment="1" applyProtection="1"/>
    <xf numFmtId="3" fontId="2" fillId="7" borderId="25" xfId="0" applyNumberFormat="1" applyFont="1" applyFill="1" applyBorder="1" applyProtection="1">
      <protection locked="0"/>
    </xf>
    <xf numFmtId="3" fontId="2" fillId="7" borderId="26" xfId="0" applyNumberFormat="1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0" fillId="5" borderId="0" xfId="0" applyFill="1" applyProtection="1"/>
    <xf numFmtId="0" fontId="0" fillId="8" borderId="0" xfId="0" applyFill="1" applyProtection="1"/>
    <xf numFmtId="0" fontId="0" fillId="3" borderId="0" xfId="0" applyFill="1" applyProtection="1"/>
    <xf numFmtId="0" fontId="21" fillId="4" borderId="13" xfId="0" applyFont="1" applyFill="1" applyBorder="1" applyAlignment="1" applyProtection="1">
      <alignment horizontal="left" indent="1"/>
    </xf>
    <xf numFmtId="0" fontId="21" fillId="4" borderId="14" xfId="0" applyFont="1" applyFill="1" applyBorder="1" applyAlignment="1" applyProtection="1">
      <alignment horizontal="left" indent="1"/>
    </xf>
    <xf numFmtId="0" fontId="21" fillId="4" borderId="14" xfId="0" applyFont="1" applyFill="1" applyBorder="1" applyProtection="1"/>
    <xf numFmtId="0" fontId="21" fillId="4" borderId="15" xfId="0" applyFont="1" applyFill="1" applyBorder="1" applyProtection="1"/>
    <xf numFmtId="0" fontId="21" fillId="3" borderId="0" xfId="0" applyFont="1" applyFill="1" applyBorder="1" applyProtection="1"/>
    <xf numFmtId="0" fontId="21" fillId="4" borderId="46" xfId="0" applyFont="1" applyFill="1" applyBorder="1" applyAlignment="1" applyProtection="1">
      <alignment horizontal="right"/>
    </xf>
    <xf numFmtId="0" fontId="21" fillId="4" borderId="0" xfId="0" applyFont="1" applyFill="1" applyBorder="1" applyAlignment="1" applyProtection="1">
      <alignment horizontal="left"/>
    </xf>
    <xf numFmtId="0" fontId="21" fillId="4" borderId="0" xfId="0" applyFont="1" applyFill="1" applyBorder="1" applyProtection="1"/>
    <xf numFmtId="0" fontId="25" fillId="3" borderId="0" xfId="0" applyFont="1" applyFill="1" applyBorder="1" applyAlignment="1" applyProtection="1">
      <alignment horizontal="right" vertical="center" indent="1"/>
    </xf>
    <xf numFmtId="0" fontId="21" fillId="4" borderId="16" xfId="0" applyFont="1" applyFill="1" applyBorder="1" applyAlignment="1" applyProtection="1">
      <alignment horizontal="left" indent="1"/>
    </xf>
    <xf numFmtId="0" fontId="21" fillId="4" borderId="17" xfId="0" applyFont="1" applyFill="1" applyBorder="1" applyAlignment="1" applyProtection="1">
      <alignment horizontal="left" indent="1"/>
    </xf>
    <xf numFmtId="0" fontId="21" fillId="4" borderId="17" xfId="0" applyNumberFormat="1" applyFont="1" applyFill="1" applyBorder="1" applyProtection="1"/>
    <xf numFmtId="0" fontId="21" fillId="4" borderId="17" xfId="0" applyFont="1" applyFill="1" applyBorder="1" applyProtection="1"/>
    <xf numFmtId="0" fontId="21" fillId="4" borderId="18" xfId="0" applyFont="1" applyFill="1" applyBorder="1" applyProtection="1"/>
    <xf numFmtId="0" fontId="29" fillId="3" borderId="0" xfId="0" applyFont="1" applyFill="1" applyBorder="1" applyAlignment="1" applyProtection="1">
      <alignment horizontal="left" vertical="center" indent="1"/>
    </xf>
    <xf numFmtId="0" fontId="0" fillId="3" borderId="14" xfId="0" applyFill="1" applyBorder="1" applyProtection="1"/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0" fontId="16" fillId="6" borderId="59" xfId="0" applyFont="1" applyFill="1" applyBorder="1" applyAlignment="1" applyProtection="1">
      <alignment horizontal="center"/>
    </xf>
    <xf numFmtId="0" fontId="16" fillId="6" borderId="19" xfId="0" applyFont="1" applyFill="1" applyBorder="1" applyAlignment="1" applyProtection="1">
      <alignment horizontal="center"/>
    </xf>
    <xf numFmtId="0" fontId="16" fillId="6" borderId="21" xfId="0" applyFont="1" applyFill="1" applyBorder="1" applyAlignment="1" applyProtection="1">
      <alignment horizontal="center"/>
    </xf>
    <xf numFmtId="0" fontId="16" fillId="3" borderId="0" xfId="0" applyFont="1" applyFill="1" applyBorder="1" applyAlignment="1" applyProtection="1">
      <alignment horizontal="center"/>
    </xf>
    <xf numFmtId="0" fontId="16" fillId="6" borderId="39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/>
    </xf>
    <xf numFmtId="0" fontId="16" fillId="6" borderId="22" xfId="0" applyFont="1" applyFill="1" applyBorder="1" applyAlignment="1" applyProtection="1">
      <alignment horizontal="center"/>
    </xf>
    <xf numFmtId="0" fontId="16" fillId="6" borderId="51" xfId="0" applyFont="1" applyFill="1" applyBorder="1" applyAlignment="1" applyProtection="1">
      <alignment horizontal="center"/>
    </xf>
    <xf numFmtId="0" fontId="16" fillId="6" borderId="37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1" fillId="3" borderId="4" xfId="0" applyFont="1" applyFill="1" applyBorder="1" applyAlignment="1" applyProtection="1">
      <alignment horizontal="left"/>
    </xf>
    <xf numFmtId="0" fontId="1" fillId="3" borderId="5" xfId="0" applyFont="1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49" xfId="0" applyFill="1" applyBorder="1" applyProtection="1"/>
    <xf numFmtId="0" fontId="0" fillId="3" borderId="35" xfId="0" applyFill="1" applyBorder="1" applyProtection="1"/>
    <xf numFmtId="0" fontId="0" fillId="3" borderId="4" xfId="0" applyFill="1" applyBorder="1" applyProtection="1"/>
    <xf numFmtId="0" fontId="0" fillId="3" borderId="5" xfId="0" applyFill="1" applyBorder="1" applyProtection="1"/>
    <xf numFmtId="0" fontId="0" fillId="3" borderId="6" xfId="0" applyFill="1" applyBorder="1" applyProtection="1"/>
    <xf numFmtId="0" fontId="30" fillId="3" borderId="0" xfId="0" applyFont="1" applyFill="1" applyProtection="1"/>
    <xf numFmtId="0" fontId="30" fillId="5" borderId="0" xfId="0" applyFont="1" applyFill="1" applyProtection="1"/>
    <xf numFmtId="0" fontId="11" fillId="3" borderId="0" xfId="0" applyFont="1" applyFill="1" applyProtection="1"/>
    <xf numFmtId="0" fontId="0" fillId="3" borderId="7" xfId="0" applyFill="1" applyBorder="1" applyProtection="1"/>
    <xf numFmtId="0" fontId="0" fillId="3" borderId="3" xfId="0" applyFill="1" applyBorder="1" applyProtection="1"/>
    <xf numFmtId="0" fontId="0" fillId="3" borderId="38" xfId="0" applyFill="1" applyBorder="1" applyProtection="1"/>
    <xf numFmtId="2" fontId="1" fillId="3" borderId="7" xfId="0" applyNumberFormat="1" applyFont="1" applyFill="1" applyBorder="1" applyProtection="1"/>
    <xf numFmtId="164" fontId="1" fillId="3" borderId="3" xfId="0" applyNumberFormat="1" applyFont="1" applyFill="1" applyBorder="1" applyProtection="1"/>
    <xf numFmtId="164" fontId="1" fillId="3" borderId="38" xfId="0" applyNumberFormat="1" applyFont="1" applyFill="1" applyBorder="1" applyProtection="1"/>
    <xf numFmtId="164" fontId="1" fillId="3" borderId="0" xfId="0" applyNumberFormat="1" applyFont="1" applyFill="1" applyBorder="1" applyProtection="1"/>
    <xf numFmtId="0" fontId="6" fillId="5" borderId="0" xfId="0" applyFont="1" applyFill="1" applyProtection="1"/>
    <xf numFmtId="0" fontId="1" fillId="3" borderId="0" xfId="0" applyFont="1" applyFill="1" applyBorder="1" applyAlignment="1" applyProtection="1">
      <alignment vertical="top" wrapText="1"/>
    </xf>
    <xf numFmtId="0" fontId="7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right" vertical="center" indent="1"/>
    </xf>
    <xf numFmtId="164" fontId="7" fillId="3" borderId="0" xfId="0" applyNumberFormat="1" applyFont="1" applyFill="1" applyBorder="1" applyAlignment="1" applyProtection="1">
      <alignment horizontal="right" vertical="center"/>
    </xf>
    <xf numFmtId="167" fontId="0" fillId="5" borderId="0" xfId="0" applyNumberFormat="1" applyFill="1" applyBorder="1" applyProtection="1"/>
    <xf numFmtId="167" fontId="0" fillId="3" borderId="0" xfId="0" applyNumberFormat="1" applyFill="1" applyBorder="1" applyProtection="1"/>
    <xf numFmtId="0" fontId="1" fillId="3" borderId="0" xfId="0" applyFont="1" applyFill="1" applyBorder="1" applyProtection="1"/>
    <xf numFmtId="167" fontId="1" fillId="3" borderId="0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right"/>
    </xf>
    <xf numFmtId="0" fontId="16" fillId="6" borderId="62" xfId="0" applyFont="1" applyFill="1" applyBorder="1" applyAlignment="1" applyProtection="1">
      <alignment horizontal="center"/>
    </xf>
    <xf numFmtId="167" fontId="16" fillId="9" borderId="62" xfId="0" applyNumberFormat="1" applyFont="1" applyFill="1" applyBorder="1" applyAlignment="1" applyProtection="1">
      <alignment horizontal="center"/>
    </xf>
    <xf numFmtId="167" fontId="16" fillId="3" borderId="0" xfId="0" applyNumberFormat="1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/>
    </xf>
    <xf numFmtId="0" fontId="16" fillId="3" borderId="6" xfId="0" applyFont="1" applyFill="1" applyBorder="1" applyAlignment="1" applyProtection="1">
      <alignment horizontal="center"/>
    </xf>
    <xf numFmtId="0" fontId="1" fillId="3" borderId="53" xfId="0" applyFont="1" applyFill="1" applyBorder="1" applyAlignment="1" applyProtection="1">
      <alignment horizontal="right"/>
    </xf>
    <xf numFmtId="0" fontId="1" fillId="3" borderId="52" xfId="0" applyFont="1" applyFill="1" applyBorder="1" applyAlignment="1" applyProtection="1">
      <alignment horizontal="right"/>
    </xf>
    <xf numFmtId="167" fontId="1" fillId="3" borderId="6" xfId="0" applyNumberFormat="1" applyFont="1" applyFill="1" applyBorder="1" applyProtection="1"/>
    <xf numFmtId="167" fontId="1" fillId="3" borderId="0" xfId="0" applyNumberFormat="1" applyFont="1" applyFill="1" applyBorder="1" applyProtection="1"/>
    <xf numFmtId="0" fontId="1" fillId="3" borderId="0" xfId="0" quotePrefix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right"/>
    </xf>
    <xf numFmtId="0" fontId="1" fillId="3" borderId="55" xfId="0" applyFont="1" applyFill="1" applyBorder="1" applyAlignment="1" applyProtection="1">
      <alignment horizontal="left"/>
    </xf>
    <xf numFmtId="0" fontId="1" fillId="3" borderId="44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0" fontId="1" fillId="3" borderId="38" xfId="0" applyFont="1" applyFill="1" applyBorder="1" applyAlignment="1" applyProtection="1">
      <alignment horizontal="center"/>
    </xf>
    <xf numFmtId="0" fontId="1" fillId="3" borderId="0" xfId="0" quotePrefix="1" applyFont="1" applyFill="1" applyBorder="1" applyAlignment="1" applyProtection="1">
      <alignment horizontal="center"/>
    </xf>
    <xf numFmtId="0" fontId="1" fillId="3" borderId="55" xfId="0" applyFont="1" applyFill="1" applyBorder="1" applyAlignment="1" applyProtection="1">
      <alignment horizontal="right"/>
    </xf>
    <xf numFmtId="0" fontId="1" fillId="3" borderId="44" xfId="0" applyFont="1" applyFill="1" applyBorder="1" applyAlignment="1" applyProtection="1">
      <alignment horizontal="right"/>
    </xf>
    <xf numFmtId="164" fontId="1" fillId="3" borderId="38" xfId="0" applyNumberFormat="1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vertical="center"/>
    </xf>
    <xf numFmtId="164" fontId="7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center" wrapText="1"/>
    </xf>
    <xf numFmtId="164" fontId="10" fillId="3" borderId="0" xfId="0" applyNumberFormat="1" applyFont="1" applyFill="1" applyBorder="1" applyAlignment="1" applyProtection="1">
      <alignment horizontal="center"/>
    </xf>
    <xf numFmtId="167" fontId="4" fillId="5" borderId="0" xfId="0" applyNumberFormat="1" applyFont="1" applyFill="1" applyBorder="1" applyProtection="1"/>
    <xf numFmtId="0" fontId="16" fillId="3" borderId="0" xfId="0" applyFont="1" applyFill="1" applyBorder="1" applyAlignment="1" applyProtection="1">
      <alignment vertical="top" wrapText="1"/>
    </xf>
    <xf numFmtId="0" fontId="16" fillId="3" borderId="0" xfId="0" applyFont="1" applyFill="1" applyBorder="1" applyAlignment="1" applyProtection="1"/>
    <xf numFmtId="167" fontId="1" fillId="3" borderId="0" xfId="0" quotePrefix="1" applyNumberFormat="1" applyFont="1" applyFill="1" applyBorder="1" applyProtection="1"/>
    <xf numFmtId="0" fontId="1" fillId="3" borderId="4" xfId="0" applyFont="1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 wrapText="1"/>
    </xf>
    <xf numFmtId="0" fontId="13" fillId="3" borderId="64" xfId="0" applyFont="1" applyFill="1" applyBorder="1" applyAlignment="1" applyProtection="1">
      <alignment horizontal="left"/>
    </xf>
    <xf numFmtId="0" fontId="1" fillId="3" borderId="23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vertical="top" wrapText="1" shrinkToFit="1"/>
    </xf>
    <xf numFmtId="0" fontId="1" fillId="3" borderId="0" xfId="0" applyFont="1" applyFill="1" applyBorder="1" applyAlignment="1" applyProtection="1">
      <alignment vertical="top" wrapText="1" shrinkToFit="1"/>
    </xf>
    <xf numFmtId="0" fontId="0" fillId="3" borderId="0" xfId="0" applyFill="1" applyBorder="1" applyAlignment="1" applyProtection="1">
      <alignment vertical="top" wrapText="1" shrinkToFit="1"/>
    </xf>
    <xf numFmtId="0" fontId="20" fillId="3" borderId="0" xfId="0" applyFont="1" applyFill="1" applyBorder="1" applyProtection="1"/>
    <xf numFmtId="0" fontId="1" fillId="3" borderId="24" xfId="0" applyFont="1" applyFill="1" applyBorder="1" applyAlignment="1" applyProtection="1">
      <alignment horizontal="left" indent="1"/>
    </xf>
    <xf numFmtId="0" fontId="1" fillId="3" borderId="14" xfId="0" applyFont="1" applyFill="1" applyBorder="1" applyAlignment="1" applyProtection="1">
      <alignment horizontal="left" indent="1"/>
    </xf>
    <xf numFmtId="0" fontId="30" fillId="3" borderId="0" xfId="0" applyFont="1" applyFill="1" applyBorder="1" applyAlignment="1" applyProtection="1">
      <alignment horizontal="left" indent="1"/>
    </xf>
    <xf numFmtId="0" fontId="1" fillId="3" borderId="7" xfId="0" applyFont="1" applyFill="1" applyBorder="1" applyProtection="1"/>
    <xf numFmtId="0" fontId="1" fillId="3" borderId="0" xfId="0" applyFont="1" applyFill="1" applyBorder="1" applyAlignment="1" applyProtection="1">
      <alignment horizontal="left" indent="1"/>
    </xf>
    <xf numFmtId="14" fontId="1" fillId="3" borderId="0" xfId="0" applyNumberFormat="1" applyFont="1" applyFill="1" applyBorder="1" applyAlignment="1" applyProtection="1"/>
    <xf numFmtId="0" fontId="19" fillId="3" borderId="0" xfId="0" applyFont="1" applyFill="1" applyBorder="1" applyAlignment="1" applyProtection="1">
      <alignment horizontal="left" vertical="top" wrapText="1" shrinkToFit="1"/>
    </xf>
    <xf numFmtId="0" fontId="19" fillId="3" borderId="0" xfId="0" applyFont="1" applyFill="1" applyBorder="1" applyAlignment="1" applyProtection="1">
      <alignment horizontal="left" vertical="top" wrapText="1"/>
    </xf>
    <xf numFmtId="14" fontId="1" fillId="3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14" fontId="1" fillId="3" borderId="0" xfId="0" applyNumberFormat="1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left"/>
    </xf>
    <xf numFmtId="14" fontId="3" fillId="3" borderId="0" xfId="0" applyNumberFormat="1" applyFont="1" applyFill="1" applyBorder="1" applyAlignment="1" applyProtection="1">
      <alignment horizontal="left"/>
    </xf>
    <xf numFmtId="14" fontId="0" fillId="3" borderId="0" xfId="0" applyNumberFormat="1" applyFill="1" applyBorder="1" applyAlignment="1" applyProtection="1">
      <alignment horizontal="center"/>
    </xf>
    <xf numFmtId="0" fontId="1" fillId="3" borderId="0" xfId="0" quotePrefix="1" applyFont="1" applyFill="1" applyProtection="1"/>
    <xf numFmtId="0" fontId="22" fillId="3" borderId="0" xfId="0" applyFont="1" applyFill="1" applyBorder="1" applyAlignment="1" applyProtection="1">
      <alignment wrapText="1"/>
    </xf>
    <xf numFmtId="167" fontId="16" fillId="6" borderId="5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horizontal="right" vertical="center" indent="1"/>
    </xf>
    <xf numFmtId="0" fontId="1" fillId="10" borderId="0" xfId="0" applyFont="1" applyFill="1" applyProtection="1"/>
    <xf numFmtId="0" fontId="32" fillId="3" borderId="0" xfId="0" applyFont="1" applyFill="1" applyAlignment="1">
      <alignment horizontal="center"/>
    </xf>
    <xf numFmtId="0" fontId="30" fillId="3" borderId="0" xfId="0" applyFont="1" applyFill="1"/>
    <xf numFmtId="0" fontId="32" fillId="3" borderId="0" xfId="0" applyFont="1" applyFill="1" applyAlignment="1" applyProtection="1">
      <alignment horizontal="center"/>
    </xf>
    <xf numFmtId="168" fontId="1" fillId="3" borderId="67" xfId="0" applyNumberFormat="1" applyFont="1" applyFill="1" applyBorder="1" applyProtection="1"/>
    <xf numFmtId="173" fontId="1" fillId="3" borderId="0" xfId="0" applyNumberFormat="1" applyFont="1" applyFill="1" applyProtection="1"/>
    <xf numFmtId="173" fontId="1" fillId="3" borderId="68" xfId="0" applyNumberFormat="1" applyFont="1" applyFill="1" applyBorder="1" applyProtection="1"/>
    <xf numFmtId="0" fontId="22" fillId="3" borderId="0" xfId="0" applyFont="1" applyFill="1" applyBorder="1" applyAlignment="1" applyProtection="1">
      <alignment vertical="center" wrapText="1"/>
    </xf>
    <xf numFmtId="0" fontId="1" fillId="3" borderId="67" xfId="0" applyFont="1" applyFill="1" applyBorder="1"/>
    <xf numFmtId="0" fontId="1" fillId="3" borderId="68" xfId="0" applyFont="1" applyFill="1" applyBorder="1"/>
    <xf numFmtId="3" fontId="1" fillId="3" borderId="0" xfId="0" applyNumberFormat="1" applyFont="1" applyFill="1"/>
    <xf numFmtId="3" fontId="1" fillId="3" borderId="67" xfId="0" applyNumberFormat="1" applyFont="1" applyFill="1" applyBorder="1"/>
    <xf numFmtId="0" fontId="1" fillId="10" borderId="0" xfId="0" applyFont="1" applyFill="1"/>
    <xf numFmtId="2" fontId="2" fillId="3" borderId="23" xfId="0" applyNumberFormat="1" applyFont="1" applyFill="1" applyBorder="1" applyProtection="1">
      <protection hidden="1"/>
    </xf>
    <xf numFmtId="0" fontId="1" fillId="7" borderId="41" xfId="0" applyFont="1" applyFill="1" applyBorder="1" applyAlignment="1" applyProtection="1">
      <alignment horizontal="center"/>
      <protection locked="0" hidden="1"/>
    </xf>
    <xf numFmtId="0" fontId="1" fillId="7" borderId="26" xfId="0" applyFont="1" applyFill="1" applyBorder="1" applyAlignment="1" applyProtection="1">
      <alignment horizontal="center"/>
      <protection locked="0" hidden="1"/>
    </xf>
    <xf numFmtId="0" fontId="2" fillId="7" borderId="25" xfId="0" applyFont="1" applyFill="1" applyBorder="1" applyAlignment="1" applyProtection="1">
      <alignment horizontal="center"/>
      <protection locked="0"/>
    </xf>
    <xf numFmtId="164" fontId="1" fillId="3" borderId="0" xfId="0" applyNumberFormat="1" applyFont="1" applyFill="1" applyProtection="1"/>
    <xf numFmtId="0" fontId="30" fillId="3" borderId="0" xfId="0" quotePrefix="1" applyFont="1" applyFill="1"/>
    <xf numFmtId="14" fontId="20" fillId="3" borderId="0" xfId="0" applyNumberFormat="1" applyFont="1" applyFill="1" applyBorder="1" applyAlignment="1" applyProtection="1">
      <alignment horizontal="left" indent="1"/>
      <protection locked="0"/>
    </xf>
    <xf numFmtId="0" fontId="6" fillId="3" borderId="0" xfId="0" applyFont="1" applyFill="1"/>
    <xf numFmtId="0" fontId="1" fillId="3" borderId="3" xfId="0" applyFont="1" applyFill="1" applyBorder="1" applyProtection="1"/>
    <xf numFmtId="0" fontId="16" fillId="6" borderId="6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center" vertical="center" wrapTex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24" fillId="3" borderId="17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0" xfId="0" quotePrefix="1" applyFont="1" applyFill="1" applyBorder="1" applyAlignment="1" applyProtection="1">
      <alignment horizontal="left" vertical="center"/>
    </xf>
    <xf numFmtId="0" fontId="32" fillId="3" borderId="0" xfId="0" applyFont="1" applyFill="1" applyBorder="1" applyAlignment="1" applyProtection="1">
      <alignment horizontal="center"/>
    </xf>
    <xf numFmtId="0" fontId="32" fillId="3" borderId="0" xfId="0" applyFont="1" applyFill="1" applyBorder="1" applyAlignment="1" applyProtection="1">
      <alignment horizontal="center" wrapText="1"/>
    </xf>
    <xf numFmtId="0" fontId="1" fillId="10" borderId="0" xfId="0" applyFont="1" applyFill="1" applyBorder="1" applyAlignment="1" applyProtection="1">
      <alignment horizontal="center"/>
    </xf>
    <xf numFmtId="0" fontId="1" fillId="10" borderId="0" xfId="0" applyFont="1" applyFill="1" applyBorder="1" applyProtection="1"/>
    <xf numFmtId="0" fontId="1" fillId="6" borderId="0" xfId="0" applyFont="1" applyFill="1" applyBorder="1" applyProtection="1"/>
    <xf numFmtId="165" fontId="1" fillId="6" borderId="0" xfId="0" applyNumberFormat="1" applyFont="1" applyFill="1" applyBorder="1" applyProtection="1"/>
    <xf numFmtId="164" fontId="1" fillId="6" borderId="0" xfId="0" applyNumberFormat="1" applyFont="1" applyFill="1" applyBorder="1" applyProtection="1"/>
    <xf numFmtId="167" fontId="1" fillId="10" borderId="0" xfId="0" applyNumberFormat="1" applyFont="1" applyFill="1" applyBorder="1" applyProtection="1"/>
    <xf numFmtId="167" fontId="1" fillId="6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>
      <alignment horizontal="left"/>
    </xf>
    <xf numFmtId="164" fontId="1" fillId="6" borderId="0" xfId="0" applyNumberFormat="1" applyFont="1" applyFill="1" applyBorder="1" applyAlignment="1" applyProtection="1"/>
    <xf numFmtId="170" fontId="1" fillId="3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/>
    <xf numFmtId="0" fontId="1" fillId="6" borderId="0" xfId="0" applyNumberFormat="1" applyFont="1" applyFill="1" applyBorder="1" applyProtection="1"/>
    <xf numFmtId="164" fontId="1" fillId="6" borderId="0" xfId="0" applyNumberFormat="1" applyFont="1" applyFill="1" applyProtection="1"/>
    <xf numFmtId="166" fontId="1" fillId="3" borderId="0" xfId="0" applyNumberFormat="1" applyFont="1" applyFill="1" applyBorder="1" applyAlignment="1" applyProtection="1"/>
    <xf numFmtId="167" fontId="1" fillId="3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/>
    <xf numFmtId="0" fontId="1" fillId="10" borderId="0" xfId="0" applyFont="1" applyFill="1" applyAlignment="1" applyProtection="1">
      <alignment horizontal="center"/>
    </xf>
    <xf numFmtId="0" fontId="1" fillId="6" borderId="0" xfId="0" applyFont="1" applyFill="1" applyProtection="1"/>
    <xf numFmtId="2" fontId="1" fillId="6" borderId="0" xfId="0" applyNumberFormat="1" applyFont="1" applyFill="1" applyBorder="1" applyAlignment="1" applyProtection="1">
      <alignment horizontal="right"/>
    </xf>
    <xf numFmtId="9" fontId="1" fillId="6" borderId="0" xfId="0" applyNumberFormat="1" applyFont="1" applyFill="1" applyBorder="1" applyAlignment="1" applyProtection="1">
      <alignment horizontal="center"/>
    </xf>
    <xf numFmtId="0" fontId="32" fillId="3" borderId="0" xfId="0" applyFont="1" applyFill="1" applyBorder="1" applyProtection="1"/>
    <xf numFmtId="0" fontId="1" fillId="6" borderId="0" xfId="0" applyFont="1" applyFill="1" applyBorder="1" applyAlignment="1" applyProtection="1">
      <alignment horizontal="left"/>
    </xf>
    <xf numFmtId="9" fontId="1" fillId="3" borderId="0" xfId="0" applyNumberFormat="1" applyFont="1" applyFill="1" applyBorder="1" applyAlignment="1" applyProtection="1">
      <alignment horizontal="left"/>
    </xf>
    <xf numFmtId="0" fontId="1" fillId="6" borderId="0" xfId="0" applyFont="1" applyFill="1" applyAlignment="1" applyProtection="1">
      <alignment horizontal="left"/>
    </xf>
    <xf numFmtId="164" fontId="2" fillId="3" borderId="26" xfId="0" applyNumberFormat="1" applyFont="1" applyFill="1" applyBorder="1" applyAlignment="1" applyProtection="1">
      <alignment horizontal="left"/>
      <protection hidden="1"/>
    </xf>
    <xf numFmtId="0" fontId="34" fillId="3" borderId="0" xfId="0" applyFont="1" applyFill="1" applyProtection="1"/>
    <xf numFmtId="44" fontId="2" fillId="3" borderId="25" xfId="0" applyNumberFormat="1" applyFont="1" applyFill="1" applyBorder="1" applyAlignment="1" applyProtection="1">
      <protection hidden="1"/>
    </xf>
    <xf numFmtId="44" fontId="2" fillId="3" borderId="26" xfId="0" applyNumberFormat="1" applyFont="1" applyFill="1" applyBorder="1" applyAlignment="1" applyProtection="1">
      <protection hidden="1"/>
    </xf>
    <xf numFmtId="44" fontId="1" fillId="3" borderId="39" xfId="0" applyNumberFormat="1" applyFont="1" applyFill="1" applyBorder="1" applyAlignment="1" applyProtection="1">
      <alignment vertical="center"/>
      <protection hidden="1"/>
    </xf>
    <xf numFmtId="44" fontId="1" fillId="3" borderId="22" xfId="0" applyNumberFormat="1" applyFont="1" applyFill="1" applyBorder="1" applyAlignment="1" applyProtection="1">
      <alignment vertical="center"/>
      <protection hidden="1"/>
    </xf>
    <xf numFmtId="44" fontId="1" fillId="3" borderId="41" xfId="0" applyNumberFormat="1" applyFont="1" applyFill="1" applyBorder="1" applyAlignment="1" applyProtection="1">
      <protection hidden="1"/>
    </xf>
    <xf numFmtId="44" fontId="1" fillId="3" borderId="9" xfId="0" quotePrefix="1" applyNumberFormat="1" applyFont="1" applyFill="1" applyBorder="1" applyAlignment="1" applyProtection="1">
      <protection hidden="1"/>
    </xf>
    <xf numFmtId="164" fontId="1" fillId="3" borderId="65" xfId="0" quotePrefix="1" applyNumberFormat="1" applyFont="1" applyFill="1" applyBorder="1" applyAlignment="1" applyProtection="1"/>
    <xf numFmtId="164" fontId="1" fillId="3" borderId="25" xfId="0" quotePrefix="1" applyNumberFormat="1" applyFont="1" applyFill="1" applyBorder="1" applyAlignment="1" applyProtection="1"/>
    <xf numFmtId="44" fontId="1" fillId="7" borderId="66" xfId="0" applyNumberFormat="1" applyFont="1" applyFill="1" applyBorder="1" applyAlignment="1" applyProtection="1">
      <protection locked="0"/>
    </xf>
    <xf numFmtId="44" fontId="2" fillId="3" borderId="25" xfId="0" applyNumberFormat="1" applyFont="1" applyFill="1" applyBorder="1" applyAlignment="1">
      <alignment horizontal="left"/>
    </xf>
    <xf numFmtId="44" fontId="2" fillId="3" borderId="26" xfId="0" applyNumberFormat="1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25" fillId="4" borderId="0" xfId="0" applyFont="1" applyFill="1" applyBorder="1" applyAlignment="1">
      <alignment vertical="center"/>
    </xf>
    <xf numFmtId="0" fontId="21" fillId="4" borderId="0" xfId="0" applyFont="1" applyFill="1" applyBorder="1" applyAlignment="1">
      <alignment horizontal="right" indent="1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24" fillId="3" borderId="0" xfId="0" applyFont="1" applyFill="1" applyAlignment="1" applyProtection="1">
      <alignment horizontal="center"/>
    </xf>
    <xf numFmtId="0" fontId="1" fillId="3" borderId="53" xfId="0" applyFont="1" applyFill="1" applyBorder="1" applyAlignment="1" applyProtection="1">
      <alignment horizontal="left"/>
    </xf>
    <xf numFmtId="0" fontId="0" fillId="3" borderId="52" xfId="0" applyFill="1" applyBorder="1" applyAlignment="1" applyProtection="1">
      <alignment horizontal="left"/>
    </xf>
    <xf numFmtId="0" fontId="0" fillId="3" borderId="54" xfId="0" applyFill="1" applyBorder="1" applyAlignment="1" applyProtection="1">
      <alignment horizontal="left"/>
    </xf>
    <xf numFmtId="0" fontId="1" fillId="3" borderId="56" xfId="0" applyFont="1" applyFill="1" applyBorder="1" applyAlignment="1" applyProtection="1">
      <alignment horizontal="left" indent="1"/>
      <protection locked="0"/>
    </xf>
    <xf numFmtId="0" fontId="0" fillId="3" borderId="42" xfId="0" applyFill="1" applyBorder="1" applyAlignment="1" applyProtection="1">
      <alignment horizontal="left" indent="1"/>
      <protection locked="0"/>
    </xf>
    <xf numFmtId="0" fontId="0" fillId="3" borderId="43" xfId="0" applyFill="1" applyBorder="1" applyAlignment="1" applyProtection="1">
      <alignment horizontal="left" indent="1"/>
      <protection locked="0"/>
    </xf>
    <xf numFmtId="0" fontId="0" fillId="3" borderId="55" xfId="0" applyFill="1" applyBorder="1" applyAlignment="1" applyProtection="1">
      <alignment horizontal="left"/>
    </xf>
    <xf numFmtId="0" fontId="0" fillId="3" borderId="44" xfId="0" applyFill="1" applyBorder="1" applyAlignment="1" applyProtection="1">
      <alignment horizontal="left"/>
    </xf>
    <xf numFmtId="0" fontId="0" fillId="3" borderId="45" xfId="0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16" fillId="3" borderId="53" xfId="0" applyFont="1" applyFill="1" applyBorder="1" applyAlignment="1" applyProtection="1">
      <alignment horizontal="center"/>
    </xf>
    <xf numFmtId="0" fontId="16" fillId="3" borderId="52" xfId="0" applyFont="1" applyFill="1" applyBorder="1" applyAlignment="1" applyProtection="1">
      <alignment horizontal="center"/>
    </xf>
    <xf numFmtId="0" fontId="16" fillId="3" borderId="49" xfId="0" applyFont="1" applyFill="1" applyBorder="1" applyAlignment="1" applyProtection="1">
      <alignment horizontal="center"/>
    </xf>
    <xf numFmtId="44" fontId="1" fillId="3" borderId="55" xfId="0" applyNumberFormat="1" applyFont="1" applyFill="1" applyBorder="1" applyAlignment="1" applyProtection="1">
      <alignment vertical="center"/>
      <protection hidden="1"/>
    </xf>
    <xf numFmtId="44" fontId="1" fillId="3" borderId="45" xfId="0" applyNumberFormat="1" applyFont="1" applyFill="1" applyBorder="1" applyAlignment="1" applyProtection="1">
      <alignment vertical="center"/>
      <protection hidden="1"/>
    </xf>
    <xf numFmtId="44" fontId="10" fillId="6" borderId="10" xfId="0" applyNumberFormat="1" applyFont="1" applyFill="1" applyBorder="1" applyAlignment="1" applyProtection="1">
      <alignment vertical="center"/>
      <protection hidden="1"/>
    </xf>
    <xf numFmtId="44" fontId="10" fillId="6" borderId="12" xfId="0" applyNumberFormat="1" applyFont="1" applyFill="1" applyBorder="1" applyAlignment="1" applyProtection="1">
      <alignment vertical="center"/>
      <protection hidden="1"/>
    </xf>
    <xf numFmtId="0" fontId="16" fillId="9" borderId="10" xfId="0" applyFont="1" applyFill="1" applyBorder="1" applyAlignment="1" applyProtection="1">
      <alignment horizontal="center"/>
    </xf>
    <xf numFmtId="0" fontId="16" fillId="9" borderId="11" xfId="0" applyFont="1" applyFill="1" applyBorder="1" applyAlignment="1" applyProtection="1">
      <alignment horizontal="center"/>
    </xf>
    <xf numFmtId="0" fontId="16" fillId="9" borderId="63" xfId="0" applyFont="1" applyFill="1" applyBorder="1" applyAlignment="1" applyProtection="1">
      <alignment horizontal="center"/>
    </xf>
    <xf numFmtId="0" fontId="16" fillId="6" borderId="60" xfId="0" applyFont="1" applyFill="1" applyBorder="1" applyAlignment="1" applyProtection="1">
      <alignment horizontal="center"/>
    </xf>
    <xf numFmtId="0" fontId="16" fillId="6" borderId="6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25" fillId="4" borderId="0" xfId="0" applyFont="1" applyFill="1" applyBorder="1" applyAlignment="1" applyProtection="1">
      <alignment horizontal="right" vertical="center"/>
    </xf>
    <xf numFmtId="0" fontId="25" fillId="4" borderId="2" xfId="0" applyFont="1" applyFill="1" applyBorder="1" applyAlignment="1" applyProtection="1">
      <alignment horizontal="right" vertical="center"/>
    </xf>
    <xf numFmtId="0" fontId="1" fillId="3" borderId="14" xfId="0" applyFont="1" applyFill="1" applyBorder="1" applyAlignment="1" applyProtection="1">
      <alignment horizontal="left"/>
    </xf>
    <xf numFmtId="0" fontId="0" fillId="3" borderId="14" xfId="0" applyFill="1" applyBorder="1" applyAlignment="1" applyProtection="1">
      <alignment horizontal="left"/>
    </xf>
    <xf numFmtId="171" fontId="21" fillId="4" borderId="0" xfId="0" applyNumberFormat="1" applyFont="1" applyFill="1" applyBorder="1" applyAlignment="1" applyProtection="1">
      <alignment horizontal="left" indent="1"/>
    </xf>
    <xf numFmtId="0" fontId="28" fillId="6" borderId="10" xfId="0" applyFont="1" applyFill="1" applyBorder="1" applyAlignment="1" applyProtection="1">
      <alignment horizontal="left" vertical="center" indent="1"/>
    </xf>
    <xf numFmtId="0" fontId="28" fillId="6" borderId="11" xfId="0" applyFont="1" applyFill="1" applyBorder="1" applyAlignment="1" applyProtection="1">
      <alignment horizontal="left" vertical="center" indent="1"/>
    </xf>
    <xf numFmtId="0" fontId="28" fillId="6" borderId="12" xfId="0" applyFont="1" applyFill="1" applyBorder="1" applyAlignment="1" applyProtection="1">
      <alignment horizontal="left" vertical="center" indent="1"/>
    </xf>
    <xf numFmtId="0" fontId="27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16" fillId="6" borderId="49" xfId="0" applyFont="1" applyFill="1" applyBorder="1" applyAlignment="1" applyProtection="1">
      <alignment horizontal="center"/>
    </xf>
    <xf numFmtId="0" fontId="16" fillId="6" borderId="35" xfId="0" applyFont="1" applyFill="1" applyBorder="1" applyAlignment="1" applyProtection="1">
      <alignment horizontal="center"/>
    </xf>
    <xf numFmtId="0" fontId="30" fillId="6" borderId="17" xfId="0" applyFont="1" applyFill="1" applyBorder="1" applyAlignment="1" applyProtection="1">
      <alignment horizontal="center"/>
    </xf>
    <xf numFmtId="44" fontId="7" fillId="3" borderId="10" xfId="0" applyNumberFormat="1" applyFont="1" applyFill="1" applyBorder="1" applyAlignment="1" applyProtection="1">
      <alignment vertical="center"/>
      <protection hidden="1"/>
    </xf>
    <xf numFmtId="44" fontId="7" fillId="3" borderId="12" xfId="0" applyNumberFormat="1" applyFont="1" applyFill="1" applyBorder="1" applyAlignment="1" applyProtection="1">
      <alignment vertical="center"/>
      <protection hidden="1"/>
    </xf>
    <xf numFmtId="0" fontId="22" fillId="3" borderId="0" xfId="0" applyFont="1" applyFill="1" applyBorder="1" applyAlignment="1" applyProtection="1">
      <alignment horizontal="left" vertical="center" wrapText="1" indent="1"/>
    </xf>
    <xf numFmtId="44" fontId="1" fillId="3" borderId="53" xfId="0" applyNumberFormat="1" applyFont="1" applyFill="1" applyBorder="1" applyAlignment="1" applyProtection="1">
      <alignment vertical="center"/>
      <protection hidden="1"/>
    </xf>
    <xf numFmtId="44" fontId="1" fillId="3" borderId="54" xfId="0" applyNumberFormat="1" applyFont="1" applyFill="1" applyBorder="1" applyAlignment="1" applyProtection="1">
      <alignment vertical="center"/>
      <protection hidden="1"/>
    </xf>
    <xf numFmtId="0" fontId="1" fillId="3" borderId="64" xfId="0" applyFont="1" applyFill="1" applyBorder="1" applyAlignment="1" applyProtection="1">
      <alignment horizontal="left" indent="1"/>
      <protection hidden="1"/>
    </xf>
    <xf numFmtId="0" fontId="1" fillId="3" borderId="65" xfId="0" applyFont="1" applyFill="1" applyBorder="1" applyAlignment="1" applyProtection="1">
      <alignment horizontal="left" indent="1"/>
      <protection hidden="1"/>
    </xf>
    <xf numFmtId="0" fontId="1" fillId="3" borderId="56" xfId="0" applyFont="1" applyFill="1" applyBorder="1" applyAlignment="1" applyProtection="1">
      <alignment horizontal="left" indent="1"/>
      <protection hidden="1"/>
    </xf>
    <xf numFmtId="0" fontId="1" fillId="3" borderId="42" xfId="0" applyFont="1" applyFill="1" applyBorder="1" applyAlignment="1" applyProtection="1">
      <alignment horizontal="left" indent="1"/>
      <protection hidden="1"/>
    </xf>
    <xf numFmtId="0" fontId="1" fillId="3" borderId="40" xfId="0" applyFont="1" applyFill="1" applyBorder="1" applyAlignment="1" applyProtection="1">
      <alignment horizontal="left" indent="1"/>
      <protection hidden="1"/>
    </xf>
    <xf numFmtId="0" fontId="1" fillId="3" borderId="23" xfId="0" applyFont="1" applyFill="1" applyBorder="1" applyAlignment="1" applyProtection="1">
      <alignment horizontal="left" indent="1"/>
    </xf>
    <xf numFmtId="0" fontId="1" fillId="3" borderId="25" xfId="0" applyFont="1" applyFill="1" applyBorder="1" applyAlignment="1" applyProtection="1">
      <alignment horizontal="left" indent="1"/>
    </xf>
    <xf numFmtId="0" fontId="31" fillId="3" borderId="0" xfId="0" applyFont="1" applyFill="1" applyBorder="1" applyAlignment="1" applyProtection="1">
      <alignment horizontal="left" vertical="center" wrapText="1" indent="1"/>
    </xf>
    <xf numFmtId="0" fontId="1" fillId="3" borderId="56" xfId="0" applyFont="1" applyFill="1" applyBorder="1" applyAlignment="1" applyProtection="1">
      <alignment horizontal="left" indent="1"/>
    </xf>
    <xf numFmtId="0" fontId="1" fillId="3" borderId="42" xfId="0" applyFont="1" applyFill="1" applyBorder="1" applyAlignment="1" applyProtection="1">
      <alignment horizontal="left" indent="1"/>
    </xf>
    <xf numFmtId="0" fontId="1" fillId="7" borderId="36" xfId="0" applyFont="1" applyFill="1" applyBorder="1" applyAlignment="1" applyProtection="1">
      <alignment horizontal="center"/>
      <protection locked="0"/>
    </xf>
    <xf numFmtId="0" fontId="1" fillId="7" borderId="43" xfId="0" applyFont="1" applyFill="1" applyBorder="1" applyAlignment="1" applyProtection="1">
      <alignment horizontal="center"/>
      <protection locked="0"/>
    </xf>
    <xf numFmtId="0" fontId="1" fillId="3" borderId="64" xfId="0" applyFont="1" applyFill="1" applyBorder="1" applyAlignment="1" applyProtection="1">
      <alignment horizontal="left" indent="1"/>
    </xf>
    <xf numFmtId="0" fontId="1" fillId="3" borderId="65" xfId="0" applyFont="1" applyFill="1" applyBorder="1" applyAlignment="1" applyProtection="1">
      <alignment horizontal="left" indent="1"/>
    </xf>
    <xf numFmtId="49" fontId="1" fillId="7" borderId="25" xfId="0" applyNumberFormat="1" applyFont="1" applyFill="1" applyBorder="1" applyAlignment="1" applyProtection="1">
      <alignment horizontal="left" indent="1"/>
      <protection locked="0"/>
    </xf>
    <xf numFmtId="49" fontId="1" fillId="7" borderId="26" xfId="0" applyNumberFormat="1" applyFont="1" applyFill="1" applyBorder="1" applyAlignment="1" applyProtection="1">
      <alignment horizontal="left" indent="1"/>
      <protection locked="0"/>
    </xf>
    <xf numFmtId="44" fontId="1" fillId="3" borderId="10" xfId="0" quotePrefix="1" applyNumberFormat="1" applyFont="1" applyFill="1" applyBorder="1" applyAlignment="1" applyProtection="1">
      <alignment vertical="center"/>
      <protection hidden="1"/>
    </xf>
    <xf numFmtId="44" fontId="1" fillId="3" borderId="12" xfId="0" applyNumberFormat="1" applyFont="1" applyFill="1" applyBorder="1" applyAlignment="1" applyProtection="1">
      <alignment vertical="center"/>
      <protection hidden="1"/>
    </xf>
    <xf numFmtId="169" fontId="1" fillId="7" borderId="37" xfId="0" applyNumberFormat="1" applyFont="1" applyFill="1" applyBorder="1" applyAlignment="1" applyProtection="1">
      <alignment horizontal="left" indent="1"/>
      <protection locked="0"/>
    </xf>
    <xf numFmtId="169" fontId="1" fillId="7" borderId="44" xfId="0" applyNumberFormat="1" applyFont="1" applyFill="1" applyBorder="1" applyAlignment="1" applyProtection="1">
      <alignment horizontal="left" indent="1"/>
      <protection locked="0"/>
    </xf>
    <xf numFmtId="169" fontId="1" fillId="7" borderId="45" xfId="0" applyNumberFormat="1" applyFont="1" applyFill="1" applyBorder="1" applyAlignment="1" applyProtection="1">
      <alignment horizontal="left" indent="1"/>
      <protection locked="0"/>
    </xf>
    <xf numFmtId="169" fontId="1" fillId="7" borderId="25" xfId="0" applyNumberFormat="1" applyFont="1" applyFill="1" applyBorder="1" applyAlignment="1" applyProtection="1">
      <alignment horizontal="left" indent="1"/>
      <protection locked="0"/>
    </xf>
    <xf numFmtId="169" fontId="1" fillId="7" borderId="26" xfId="0" applyNumberFormat="1" applyFont="1" applyFill="1" applyBorder="1" applyAlignment="1" applyProtection="1">
      <alignment horizontal="left" indent="1"/>
      <protection locked="0"/>
    </xf>
    <xf numFmtId="0" fontId="1" fillId="7" borderId="25" xfId="0" applyFont="1" applyFill="1" applyBorder="1" applyAlignment="1" applyProtection="1">
      <alignment horizontal="left" indent="1"/>
      <protection locked="0"/>
    </xf>
    <xf numFmtId="0" fontId="1" fillId="7" borderId="26" xfId="0" applyFont="1" applyFill="1" applyBorder="1" applyAlignment="1" applyProtection="1">
      <alignment horizontal="left" indent="1"/>
      <protection locked="0"/>
    </xf>
    <xf numFmtId="49" fontId="1" fillId="7" borderId="36" xfId="0" applyNumberFormat="1" applyFont="1" applyFill="1" applyBorder="1" applyAlignment="1" applyProtection="1">
      <alignment horizontal="left" indent="1"/>
      <protection locked="0"/>
    </xf>
    <xf numFmtId="49" fontId="1" fillId="7" borderId="42" xfId="0" applyNumberFormat="1" applyFont="1" applyFill="1" applyBorder="1" applyAlignment="1" applyProtection="1">
      <alignment horizontal="left" indent="1"/>
      <protection locked="0"/>
    </xf>
    <xf numFmtId="49" fontId="1" fillId="7" borderId="43" xfId="0" applyNumberFormat="1" applyFont="1" applyFill="1" applyBorder="1" applyAlignment="1" applyProtection="1">
      <alignment horizontal="left" indent="1"/>
      <protection locked="0"/>
    </xf>
    <xf numFmtId="0" fontId="22" fillId="3" borderId="0" xfId="0" applyFont="1" applyFill="1" applyBorder="1" applyAlignment="1" applyProtection="1">
      <alignment horizontal="center" vertical="center" wrapText="1"/>
    </xf>
    <xf numFmtId="14" fontId="1" fillId="7" borderId="0" xfId="0" applyNumberFormat="1" applyFont="1" applyFill="1" applyBorder="1" applyAlignment="1" applyProtection="1">
      <alignment horizontal="left"/>
      <protection locked="0"/>
    </xf>
    <xf numFmtId="49" fontId="5" fillId="7" borderId="25" xfId="1" applyNumberFormat="1" applyFill="1" applyBorder="1" applyAlignment="1" applyProtection="1">
      <alignment horizontal="left" indent="1"/>
      <protection locked="0"/>
    </xf>
    <xf numFmtId="49" fontId="1" fillId="7" borderId="25" xfId="1" applyNumberFormat="1" applyFont="1" applyFill="1" applyBorder="1" applyAlignment="1" applyProtection="1">
      <alignment horizontal="left" indent="1"/>
      <protection locked="0"/>
    </xf>
    <xf numFmtId="49" fontId="1" fillId="7" borderId="26" xfId="1" applyNumberFormat="1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center" vertical="top" wrapText="1" shrinkToFit="1"/>
    </xf>
    <xf numFmtId="0" fontId="24" fillId="3" borderId="0" xfId="0" quotePrefix="1" applyFont="1" applyFill="1" applyBorder="1" applyAlignment="1" applyProtection="1">
      <alignment vertical="top" wrapText="1" shrinkToFit="1"/>
    </xf>
    <xf numFmtId="14" fontId="1" fillId="7" borderId="69" xfId="0" applyNumberFormat="1" applyFont="1" applyFill="1" applyBorder="1" applyAlignment="1" applyProtection="1">
      <alignment horizontal="left"/>
      <protection locked="0"/>
    </xf>
    <xf numFmtId="14" fontId="1" fillId="7" borderId="70" xfId="0" applyNumberFormat="1" applyFont="1" applyFill="1" applyBorder="1" applyAlignment="1" applyProtection="1">
      <alignment horizontal="left"/>
      <protection locked="0"/>
    </xf>
    <xf numFmtId="49" fontId="1" fillId="3" borderId="37" xfId="1" applyNumberFormat="1" applyFont="1" applyFill="1" applyBorder="1" applyAlignment="1" applyProtection="1">
      <alignment horizontal="center"/>
    </xf>
    <xf numFmtId="49" fontId="1" fillId="3" borderId="44" xfId="1" applyNumberFormat="1" applyFont="1" applyFill="1" applyBorder="1" applyAlignment="1" applyProtection="1">
      <alignment horizontal="center"/>
    </xf>
    <xf numFmtId="49" fontId="1" fillId="3" borderId="45" xfId="1" applyNumberFormat="1" applyFont="1" applyFill="1" applyBorder="1" applyAlignment="1" applyProtection="1">
      <alignment horizontal="center"/>
    </xf>
    <xf numFmtId="14" fontId="1" fillId="7" borderId="71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 applyAlignment="1" applyProtection="1">
      <alignment horizontal="left" vertical="center" wrapText="1"/>
    </xf>
    <xf numFmtId="0" fontId="21" fillId="4" borderId="0" xfId="0" applyFont="1" applyFill="1" applyBorder="1" applyAlignment="1" applyProtection="1">
      <alignment horizontal="left" indent="1"/>
      <protection locked="0"/>
    </xf>
    <xf numFmtId="0" fontId="30" fillId="3" borderId="0" xfId="0" applyFont="1" applyFill="1" applyBorder="1" applyAlignment="1" applyProtection="1">
      <alignment horizontal="left" vertical="top" wrapText="1" indent="1"/>
    </xf>
    <xf numFmtId="0" fontId="30" fillId="3" borderId="14" xfId="0" applyFont="1" applyFill="1" applyBorder="1" applyAlignment="1" applyProtection="1">
      <alignment horizontal="left" wrapText="1" indent="1"/>
    </xf>
    <xf numFmtId="164" fontId="1" fillId="3" borderId="0" xfId="0" applyNumberFormat="1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6" fillId="6" borderId="60" xfId="0" applyFont="1" applyFill="1" applyBorder="1" applyAlignment="1" applyProtection="1">
      <alignment horizontal="center" vertical="top" wrapText="1"/>
    </xf>
    <xf numFmtId="0" fontId="16" fillId="6" borderId="61" xfId="0" applyFont="1" applyFill="1" applyBorder="1" applyAlignment="1" applyProtection="1">
      <alignment horizontal="center" vertical="top" wrapText="1"/>
    </xf>
    <xf numFmtId="0" fontId="16" fillId="6" borderId="62" xfId="0" applyFont="1" applyFill="1" applyBorder="1" applyAlignment="1" applyProtection="1">
      <alignment horizontal="center" vertical="top" wrapText="1"/>
    </xf>
    <xf numFmtId="0" fontId="1" fillId="3" borderId="35" xfId="0" applyFont="1" applyFill="1" applyBorder="1" applyAlignment="1" applyProtection="1">
      <alignment horizontal="center"/>
    </xf>
    <xf numFmtId="0" fontId="1" fillId="3" borderId="52" xfId="0" applyFont="1" applyFill="1" applyBorder="1" applyAlignment="1" applyProtection="1">
      <alignment horizontal="center"/>
    </xf>
    <xf numFmtId="0" fontId="1" fillId="3" borderId="54" xfId="0" applyFont="1" applyFill="1" applyBorder="1" applyAlignment="1" applyProtection="1">
      <alignment horizontal="center"/>
    </xf>
    <xf numFmtId="14" fontId="1" fillId="7" borderId="36" xfId="0" applyNumberFormat="1" applyFont="1" applyFill="1" applyBorder="1" applyAlignment="1" applyProtection="1">
      <alignment horizontal="left" indent="1"/>
      <protection locked="0"/>
    </xf>
    <xf numFmtId="14" fontId="1" fillId="7" borderId="42" xfId="0" applyNumberFormat="1" applyFont="1" applyFill="1" applyBorder="1" applyAlignment="1" applyProtection="1">
      <alignment horizontal="left" indent="1"/>
      <protection locked="0"/>
    </xf>
    <xf numFmtId="14" fontId="1" fillId="7" borderId="43" xfId="0" applyNumberFormat="1" applyFont="1" applyFill="1" applyBorder="1" applyAlignment="1" applyProtection="1">
      <alignment horizontal="left" indent="1"/>
      <protection locked="0"/>
    </xf>
    <xf numFmtId="0" fontId="16" fillId="6" borderId="10" xfId="0" applyFont="1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/>
    </xf>
    <xf numFmtId="0" fontId="16" fillId="6" borderId="12" xfId="0" applyFont="1" applyFill="1" applyBorder="1" applyAlignment="1" applyProtection="1">
      <alignment horizontal="center"/>
    </xf>
    <xf numFmtId="0" fontId="22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 applyProtection="1">
      <alignment horizontal="left" vertical="top" wrapText="1" indent="1"/>
      <protection locked="0"/>
    </xf>
    <xf numFmtId="0" fontId="2" fillId="3" borderId="36" xfId="0" applyFont="1" applyFill="1" applyBorder="1" applyAlignment="1">
      <alignment horizontal="left"/>
    </xf>
    <xf numFmtId="0" fontId="2" fillId="3" borderId="40" xfId="0" applyFont="1" applyFill="1" applyBorder="1" applyAlignment="1">
      <alignment horizontal="left"/>
    </xf>
    <xf numFmtId="44" fontId="2" fillId="3" borderId="25" xfId="0" applyNumberFormat="1" applyFont="1" applyFill="1" applyBorder="1" applyAlignment="1">
      <alignment horizontal="left" vertical="center"/>
    </xf>
    <xf numFmtId="44" fontId="2" fillId="3" borderId="26" xfId="0" applyNumberFormat="1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/>
    </xf>
    <xf numFmtId="0" fontId="12" fillId="3" borderId="35" xfId="0" applyFont="1" applyFill="1" applyBorder="1" applyAlignment="1">
      <alignment horizontal="center"/>
    </xf>
    <xf numFmtId="0" fontId="12" fillId="3" borderId="52" xfId="0" applyFont="1" applyFill="1" applyBorder="1" applyAlignment="1">
      <alignment horizontal="center"/>
    </xf>
    <xf numFmtId="0" fontId="12" fillId="3" borderId="49" xfId="0" applyFont="1" applyFill="1" applyBorder="1" applyAlignment="1">
      <alignment horizontal="center"/>
    </xf>
    <xf numFmtId="0" fontId="1" fillId="3" borderId="46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>
      <alignment horizontal="left" indent="2"/>
    </xf>
    <xf numFmtId="0" fontId="16" fillId="6" borderId="34" xfId="0" applyFont="1" applyFill="1" applyBorder="1" applyAlignment="1">
      <alignment horizontal="center" vertical="center"/>
    </xf>
    <xf numFmtId="0" fontId="16" fillId="6" borderId="47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46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21" fillId="4" borderId="46" xfId="0" applyFont="1" applyFill="1" applyBorder="1" applyAlignment="1">
      <alignment horizontal="left" indent="1"/>
    </xf>
    <xf numFmtId="0" fontId="21" fillId="4" borderId="0" xfId="0" applyFont="1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46" xfId="0" applyNumberFormat="1" applyFont="1" applyFill="1" applyBorder="1" applyAlignment="1">
      <alignment horizontal="left" indent="1"/>
    </xf>
    <xf numFmtId="0" fontId="1" fillId="3" borderId="0" xfId="0" applyNumberFormat="1" applyFont="1" applyFill="1" applyBorder="1" applyAlignment="1">
      <alignment horizontal="left" indent="1"/>
    </xf>
    <xf numFmtId="0" fontId="12" fillId="3" borderId="37" xfId="0" applyFont="1" applyFill="1" applyBorder="1" applyAlignment="1">
      <alignment horizontal="center"/>
    </xf>
    <xf numFmtId="0" fontId="12" fillId="3" borderId="51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2" fillId="3" borderId="0" xfId="0" applyFont="1" applyFill="1" applyBorder="1" applyAlignment="1">
      <alignment horizontal="right" vertical="center" wrapText="1" indent="1"/>
    </xf>
    <xf numFmtId="0" fontId="16" fillId="6" borderId="5" xfId="0" applyFont="1" applyFill="1" applyBorder="1" applyAlignment="1">
      <alignment horizontal="center"/>
    </xf>
    <xf numFmtId="44" fontId="7" fillId="3" borderId="10" xfId="0" applyNumberFormat="1" applyFont="1" applyFill="1" applyBorder="1" applyAlignment="1">
      <alignment horizontal="left" vertical="center"/>
    </xf>
    <xf numFmtId="44" fontId="7" fillId="3" borderId="12" xfId="0" applyNumberFormat="1" applyFont="1" applyFill="1" applyBorder="1" applyAlignment="1">
      <alignment horizontal="left" vertical="center"/>
    </xf>
    <xf numFmtId="44" fontId="10" fillId="6" borderId="10" xfId="0" applyNumberFormat="1" applyFont="1" applyFill="1" applyBorder="1" applyAlignment="1">
      <alignment horizontal="left" vertical="center"/>
    </xf>
    <xf numFmtId="44" fontId="10" fillId="6" borderId="12" xfId="0" applyNumberFormat="1" applyFont="1" applyFill="1" applyBorder="1" applyAlignment="1">
      <alignment horizontal="left" vertical="center"/>
    </xf>
    <xf numFmtId="44" fontId="0" fillId="3" borderId="10" xfId="0" applyNumberFormat="1" applyFill="1" applyBorder="1" applyAlignment="1">
      <alignment horizontal="left" vertical="center"/>
    </xf>
    <xf numFmtId="44" fontId="0" fillId="3" borderId="12" xfId="0" applyNumberFormat="1" applyFill="1" applyBorder="1" applyAlignment="1">
      <alignment horizontal="left" vertical="center"/>
    </xf>
    <xf numFmtId="0" fontId="1" fillId="3" borderId="0" xfId="0" applyFont="1" applyFill="1" applyBorder="1" applyAlignment="1"/>
    <xf numFmtId="44" fontId="10" fillId="6" borderId="13" xfId="0" applyNumberFormat="1" applyFont="1" applyFill="1" applyBorder="1" applyAlignment="1">
      <alignment horizontal="left" vertical="center"/>
    </xf>
    <xf numFmtId="44" fontId="10" fillId="6" borderId="15" xfId="0" applyNumberFormat="1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right" vertical="center" indent="1"/>
    </xf>
    <xf numFmtId="0" fontId="25" fillId="4" borderId="2" xfId="0" applyFont="1" applyFill="1" applyBorder="1" applyAlignment="1">
      <alignment horizontal="right" vertical="center" indent="1"/>
    </xf>
    <xf numFmtId="171" fontId="21" fillId="4" borderId="0" xfId="0" applyNumberFormat="1" applyFont="1" applyFill="1" applyBorder="1" applyAlignment="1" applyProtection="1">
      <alignment horizontal="left"/>
    </xf>
    <xf numFmtId="44" fontId="0" fillId="3" borderId="53" xfId="0" applyNumberFormat="1" applyFill="1" applyBorder="1" applyAlignment="1">
      <alignment horizontal="left" vertical="center"/>
    </xf>
    <xf numFmtId="44" fontId="0" fillId="3" borderId="54" xfId="0" applyNumberFormat="1" applyFill="1" applyBorder="1" applyAlignment="1">
      <alignment horizontal="left" vertical="center"/>
    </xf>
    <xf numFmtId="44" fontId="0" fillId="3" borderId="55" xfId="0" applyNumberFormat="1" applyFill="1" applyBorder="1" applyAlignment="1">
      <alignment horizontal="left" vertical="center"/>
    </xf>
    <xf numFmtId="44" fontId="0" fillId="3" borderId="45" xfId="0" applyNumberFormat="1" applyFill="1" applyBorder="1" applyAlignment="1">
      <alignment horizontal="left" vertical="center"/>
    </xf>
    <xf numFmtId="170" fontId="12" fillId="3" borderId="3" xfId="0" applyNumberFormat="1" applyFont="1" applyFill="1" applyBorder="1" applyAlignment="1">
      <alignment horizontal="right" vertical="center"/>
    </xf>
    <xf numFmtId="170" fontId="12" fillId="3" borderId="38" xfId="0" applyNumberFormat="1" applyFont="1" applyFill="1" applyBorder="1" applyAlignment="1">
      <alignment horizontal="right" vertical="center"/>
    </xf>
    <xf numFmtId="170" fontId="12" fillId="3" borderId="5" xfId="0" applyNumberFormat="1" applyFont="1" applyFill="1" applyBorder="1" applyAlignment="1">
      <alignment horizontal="right" vertical="center"/>
    </xf>
    <xf numFmtId="170" fontId="12" fillId="3" borderId="6" xfId="0" applyNumberFormat="1" applyFont="1" applyFill="1" applyBorder="1" applyAlignment="1">
      <alignment horizontal="right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 applyProtection="1">
      <alignment horizontal="left" vertical="center"/>
    </xf>
    <xf numFmtId="0" fontId="12" fillId="3" borderId="44" xfId="0" applyFont="1" applyFill="1" applyBorder="1" applyAlignment="1">
      <alignment horizontal="center"/>
    </xf>
    <xf numFmtId="1" fontId="21" fillId="4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 wrapText="1" indent="1"/>
    </xf>
    <xf numFmtId="0" fontId="16" fillId="6" borderId="37" xfId="0" applyFont="1" applyFill="1" applyBorder="1" applyAlignment="1">
      <alignment horizontal="center"/>
    </xf>
    <xf numFmtId="0" fontId="16" fillId="6" borderId="51" xfId="0" applyFont="1" applyFill="1" applyBorder="1" applyAlignment="1">
      <alignment horizontal="center"/>
    </xf>
    <xf numFmtId="44" fontId="7" fillId="3" borderId="16" xfId="0" applyNumberFormat="1" applyFont="1" applyFill="1" applyBorder="1" applyAlignment="1">
      <alignment horizontal="left" vertical="center"/>
    </xf>
    <xf numFmtId="44" fontId="7" fillId="3" borderId="18" xfId="0" applyNumberFormat="1" applyFont="1" applyFill="1" applyBorder="1" applyAlignment="1">
      <alignment horizontal="left" vertical="center"/>
    </xf>
    <xf numFmtId="172" fontId="1" fillId="3" borderId="46" xfId="0" applyNumberFormat="1" applyFont="1" applyFill="1" applyBorder="1" applyAlignment="1" applyProtection="1">
      <alignment horizontal="left" indent="1"/>
      <protection locked="0"/>
    </xf>
    <xf numFmtId="172" fontId="1" fillId="3" borderId="0" xfId="0" applyNumberFormat="1" applyFont="1" applyFill="1" applyBorder="1" applyAlignment="1" applyProtection="1">
      <alignment horizontal="left" indent="1"/>
      <protection locked="0"/>
    </xf>
    <xf numFmtId="1" fontId="21" fillId="4" borderId="0" xfId="0" applyNumberFormat="1" applyFont="1" applyFill="1" applyBorder="1" applyAlignment="1" applyProtection="1">
      <alignment horizontal="left"/>
    </xf>
    <xf numFmtId="44" fontId="0" fillId="3" borderId="16" xfId="0" applyNumberFormat="1" applyFill="1" applyBorder="1" applyAlignment="1">
      <alignment horizontal="left" vertical="center"/>
    </xf>
    <xf numFmtId="44" fontId="0" fillId="3" borderId="18" xfId="0" applyNumberForma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171" fontId="21" fillId="4" borderId="0" xfId="0" applyNumberFormat="1" applyFont="1" applyFill="1" applyBorder="1" applyAlignment="1" applyProtection="1">
      <alignment horizontal="left"/>
      <protection locked="0"/>
    </xf>
    <xf numFmtId="0" fontId="2" fillId="3" borderId="56" xfId="0" applyFont="1" applyFill="1" applyBorder="1" applyAlignment="1" applyProtection="1">
      <alignment horizontal="left" indent="1"/>
      <protection locked="0"/>
    </xf>
    <xf numFmtId="0" fontId="2" fillId="3" borderId="42" xfId="0" applyFont="1" applyFill="1" applyBorder="1" applyAlignment="1" applyProtection="1">
      <alignment horizontal="left" indent="1"/>
      <protection locked="0"/>
    </xf>
    <xf numFmtId="0" fontId="2" fillId="3" borderId="43" xfId="0" applyFont="1" applyFill="1" applyBorder="1" applyAlignment="1" applyProtection="1">
      <alignment horizontal="left" indent="1"/>
      <protection locked="0"/>
    </xf>
    <xf numFmtId="0" fontId="13" fillId="3" borderId="0" xfId="0" applyFont="1" applyFill="1" applyBorder="1" applyAlignment="1" applyProtection="1">
      <alignment horizontal="left" vertical="top" wrapText="1" indent="1"/>
      <protection locked="0"/>
    </xf>
    <xf numFmtId="0" fontId="1" fillId="3" borderId="0" xfId="0" applyFont="1" applyFill="1" applyBorder="1" applyAlignment="1">
      <alignment horizontal="left" wrapText="1" indent="1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/>
    </xf>
    <xf numFmtId="0" fontId="12" fillId="3" borderId="54" xfId="0" applyFont="1" applyFill="1" applyBorder="1" applyAlignment="1">
      <alignment horizontal="center"/>
    </xf>
    <xf numFmtId="0" fontId="12" fillId="3" borderId="55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20" fillId="3" borderId="0" xfId="0" applyFont="1" applyFill="1" applyBorder="1" applyAlignment="1" applyProtection="1">
      <alignment horizontal="left" indent="2"/>
      <protection locked="0"/>
    </xf>
    <xf numFmtId="0" fontId="20" fillId="3" borderId="2" xfId="0" applyFont="1" applyFill="1" applyBorder="1" applyAlignment="1" applyProtection="1">
      <alignment horizontal="left" indent="2"/>
      <protection locked="0"/>
    </xf>
    <xf numFmtId="0" fontId="24" fillId="3" borderId="0" xfId="0" applyFont="1" applyFill="1" applyAlignment="1">
      <alignment horizontal="center" wrapText="1"/>
    </xf>
    <xf numFmtId="0" fontId="12" fillId="3" borderId="0" xfId="0" applyFont="1" applyFill="1" applyBorder="1" applyAlignment="1">
      <alignment horizontal="center"/>
    </xf>
    <xf numFmtId="170" fontId="12" fillId="3" borderId="0" xfId="0" applyNumberFormat="1" applyFont="1" applyFill="1" applyBorder="1" applyAlignment="1">
      <alignment horizontal="right" vertical="center"/>
    </xf>
    <xf numFmtId="0" fontId="1" fillId="6" borderId="57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20" fillId="3" borderId="46" xfId="0" applyFont="1" applyFill="1" applyBorder="1" applyAlignment="1" applyProtection="1">
      <alignment horizontal="left" indent="1"/>
      <protection locked="0"/>
    </xf>
    <xf numFmtId="0" fontId="20" fillId="3" borderId="0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3" borderId="54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 applyProtection="1">
      <alignment horizontal="center" vertical="center"/>
    </xf>
    <xf numFmtId="0" fontId="1" fillId="10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10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Standaard" xfId="0" builtinId="0"/>
  </cellStyles>
  <dxfs count="4"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5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</xdr:row>
      <xdr:rowOff>38100</xdr:rowOff>
    </xdr:from>
    <xdr:to>
      <xdr:col>5</xdr:col>
      <xdr:colOff>428625</xdr:colOff>
      <xdr:row>1</xdr:row>
      <xdr:rowOff>685800</xdr:rowOff>
    </xdr:to>
    <xdr:pic>
      <xdr:nvPicPr>
        <xdr:cNvPr id="1286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0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728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8261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9285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0310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7</xdr:col>
      <xdr:colOff>685800</xdr:colOff>
      <xdr:row>1</xdr:row>
      <xdr:rowOff>676275</xdr:rowOff>
    </xdr:to>
    <xdr:pic>
      <xdr:nvPicPr>
        <xdr:cNvPr id="1133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L99"/>
  <sheetViews>
    <sheetView tabSelected="1" zoomScaleNormal="100" workbookViewId="0">
      <selection activeCell="C5" sqref="C5:F5"/>
    </sheetView>
  </sheetViews>
  <sheetFormatPr defaultColWidth="9.109375" defaultRowHeight="13.2" x14ac:dyDescent="0.25"/>
  <cols>
    <col min="1" max="1" width="1.44140625" style="103" customWidth="1"/>
    <col min="2" max="2" width="25" style="103" customWidth="1"/>
    <col min="3" max="3" width="8.5546875" style="103" customWidth="1"/>
    <col min="4" max="4" width="10" style="103" customWidth="1"/>
    <col min="5" max="7" width="7.109375" style="103" customWidth="1"/>
    <col min="8" max="8" width="27.109375" style="103" customWidth="1"/>
    <col min="9" max="9" width="8.5546875" style="103" customWidth="1"/>
    <col min="10" max="10" width="7.109375" style="103" customWidth="1"/>
    <col min="11" max="12" width="11.44140625" style="103" customWidth="1"/>
    <col min="13" max="13" width="2.109375" style="103" customWidth="1"/>
    <col min="14" max="14" width="1.44140625" style="103" customWidth="1"/>
    <col min="15" max="15" width="24" style="103" customWidth="1"/>
    <col min="16" max="16" width="9.109375" style="131" customWidth="1"/>
    <col min="17" max="17" width="10.5546875" style="131" customWidth="1"/>
    <col min="18" max="18" width="9.109375" style="131" customWidth="1"/>
    <col min="19" max="19" width="6" style="131" customWidth="1"/>
    <col min="20" max="22" width="9.109375" style="131"/>
    <col min="23" max="16384" width="9.109375" style="103"/>
  </cols>
  <sheetData>
    <row r="1" spans="1:15" ht="7.5" customHeigh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101"/>
    </row>
    <row r="2" spans="1:15" ht="60" customHeight="1" x14ac:dyDescent="0.25">
      <c r="A2" s="101"/>
      <c r="B2" s="307" t="s">
        <v>303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296"/>
      <c r="N2" s="101"/>
      <c r="O2" s="131"/>
    </row>
    <row r="3" spans="1:15" ht="6" customHeight="1" x14ac:dyDescent="0.25">
      <c r="A3" s="101"/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7"/>
      <c r="M3" s="108"/>
      <c r="N3" s="101"/>
      <c r="O3" s="131"/>
    </row>
    <row r="4" spans="1:15" ht="12.75" customHeight="1" x14ac:dyDescent="0.25">
      <c r="A4" s="101"/>
      <c r="B4" s="109" t="s">
        <v>1</v>
      </c>
      <c r="C4" s="325">
        <f ca="1">TODAY()</f>
        <v>43055</v>
      </c>
      <c r="D4" s="325"/>
      <c r="E4" s="110"/>
      <c r="F4" s="111"/>
      <c r="G4" s="321" t="s">
        <v>2</v>
      </c>
      <c r="H4" s="321"/>
      <c r="I4" s="321"/>
      <c r="J4" s="321"/>
      <c r="K4" s="321"/>
      <c r="L4" s="322"/>
      <c r="M4" s="112"/>
      <c r="N4" s="101"/>
      <c r="O4" s="131"/>
    </row>
    <row r="5" spans="1:15" ht="12.75" customHeight="1" x14ac:dyDescent="0.25">
      <c r="A5" s="101"/>
      <c r="B5" s="109" t="s">
        <v>3</v>
      </c>
      <c r="C5" s="381" t="s">
        <v>4</v>
      </c>
      <c r="D5" s="381"/>
      <c r="E5" s="381"/>
      <c r="F5" s="381"/>
      <c r="G5" s="321"/>
      <c r="H5" s="321"/>
      <c r="I5" s="321"/>
      <c r="J5" s="321"/>
      <c r="K5" s="321"/>
      <c r="L5" s="322"/>
      <c r="M5" s="112"/>
      <c r="N5" s="101"/>
      <c r="O5" s="131"/>
    </row>
    <row r="6" spans="1:15" ht="6" customHeight="1" x14ac:dyDescent="0.25">
      <c r="A6" s="101"/>
      <c r="B6" s="113"/>
      <c r="C6" s="114"/>
      <c r="D6" s="115"/>
      <c r="E6" s="116"/>
      <c r="F6" s="116"/>
      <c r="G6" s="116"/>
      <c r="H6" s="116"/>
      <c r="I6" s="116"/>
      <c r="J6" s="116"/>
      <c r="K6" s="116"/>
      <c r="L6" s="117"/>
      <c r="M6" s="108"/>
      <c r="N6" s="101"/>
      <c r="O6" s="131"/>
    </row>
    <row r="7" spans="1:15" ht="6" customHeight="1" x14ac:dyDescent="0.25">
      <c r="A7" s="101"/>
      <c r="N7" s="101"/>
      <c r="O7" s="131"/>
    </row>
    <row r="8" spans="1:15" ht="51.75" customHeight="1" x14ac:dyDescent="0.25">
      <c r="A8" s="101"/>
      <c r="B8" s="329" t="s">
        <v>5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243"/>
      <c r="N8" s="101"/>
      <c r="O8" s="131"/>
    </row>
    <row r="9" spans="1:15" ht="6" customHeight="1" x14ac:dyDescent="0.25">
      <c r="A9" s="101"/>
      <c r="N9" s="101"/>
      <c r="O9" s="131"/>
    </row>
    <row r="10" spans="1:15" ht="18" customHeight="1" x14ac:dyDescent="0.25">
      <c r="A10" s="101"/>
      <c r="B10" s="326" t="s">
        <v>6</v>
      </c>
      <c r="C10" s="327"/>
      <c r="D10" s="327"/>
      <c r="E10" s="327"/>
      <c r="F10" s="327"/>
      <c r="G10" s="327"/>
      <c r="H10" s="327"/>
      <c r="I10" s="327"/>
      <c r="J10" s="327"/>
      <c r="K10" s="327"/>
      <c r="L10" s="328"/>
      <c r="M10" s="118"/>
      <c r="N10" s="101"/>
      <c r="O10" s="131"/>
    </row>
    <row r="11" spans="1:15" ht="6" customHeight="1" x14ac:dyDescent="0.25">
      <c r="A11" s="101"/>
      <c r="B11" s="323"/>
      <c r="C11" s="323"/>
      <c r="D11" s="324"/>
      <c r="E11" s="324"/>
      <c r="F11" s="324"/>
      <c r="G11" s="324"/>
      <c r="H11" s="119"/>
      <c r="I11" s="119"/>
      <c r="J11" s="119"/>
      <c r="K11" s="119"/>
      <c r="L11" s="119"/>
      <c r="M11" s="120"/>
      <c r="N11" s="101"/>
      <c r="O11" s="131"/>
    </row>
    <row r="12" spans="1:15" ht="12.75" customHeight="1" x14ac:dyDescent="0.25">
      <c r="A12" s="101"/>
      <c r="B12" s="242"/>
      <c r="C12" s="242"/>
      <c r="D12" s="121"/>
      <c r="E12" s="121"/>
      <c r="F12" s="121"/>
      <c r="G12" s="121"/>
      <c r="H12" s="333" t="s">
        <v>7</v>
      </c>
      <c r="I12" s="333"/>
      <c r="J12" s="120"/>
      <c r="K12" s="120"/>
      <c r="L12" s="120"/>
      <c r="M12" s="120"/>
      <c r="N12" s="101"/>
      <c r="O12" s="131"/>
    </row>
    <row r="13" spans="1:15" ht="12.75" customHeight="1" x14ac:dyDescent="0.3">
      <c r="A13" s="101"/>
      <c r="B13" s="122" t="s">
        <v>8</v>
      </c>
      <c r="C13" s="123" t="s">
        <v>9</v>
      </c>
      <c r="D13" s="124" t="s">
        <v>296</v>
      </c>
      <c r="E13" s="122" t="s">
        <v>10</v>
      </c>
      <c r="F13" s="123" t="s">
        <v>11</v>
      </c>
      <c r="G13" s="124" t="s">
        <v>12</v>
      </c>
      <c r="H13" s="331" t="s">
        <v>13</v>
      </c>
      <c r="I13" s="332"/>
      <c r="J13" s="122" t="s">
        <v>14</v>
      </c>
      <c r="K13" s="123" t="s">
        <v>15</v>
      </c>
      <c r="L13" s="124" t="s">
        <v>16</v>
      </c>
      <c r="M13" s="125"/>
      <c r="N13" s="101"/>
      <c r="O13" s="131"/>
    </row>
    <row r="14" spans="1:15" ht="12.75" customHeight="1" x14ac:dyDescent="0.3">
      <c r="A14" s="101"/>
      <c r="B14" s="126" t="s">
        <v>17</v>
      </c>
      <c r="C14" s="127" t="s">
        <v>18</v>
      </c>
      <c r="D14" s="128" t="s">
        <v>19</v>
      </c>
      <c r="E14" s="126" t="s">
        <v>20</v>
      </c>
      <c r="F14" s="127" t="s">
        <v>18</v>
      </c>
      <c r="G14" s="128" t="s">
        <v>18</v>
      </c>
      <c r="H14" s="129" t="s">
        <v>21</v>
      </c>
      <c r="I14" s="130" t="s">
        <v>22</v>
      </c>
      <c r="J14" s="126" t="s">
        <v>295</v>
      </c>
      <c r="K14" s="127" t="s">
        <v>19</v>
      </c>
      <c r="L14" s="128" t="s">
        <v>19</v>
      </c>
      <c r="M14" s="125"/>
      <c r="N14" s="101"/>
      <c r="O14" s="131"/>
    </row>
    <row r="15" spans="1:15" ht="6" customHeight="1" x14ac:dyDescent="0.25">
      <c r="A15" s="101"/>
      <c r="B15" s="132"/>
      <c r="C15" s="133"/>
      <c r="D15" s="134"/>
      <c r="E15" s="135"/>
      <c r="F15" s="136"/>
      <c r="G15" s="134"/>
      <c r="H15" s="137"/>
      <c r="I15" s="138"/>
      <c r="J15" s="139"/>
      <c r="K15" s="140"/>
      <c r="L15" s="141"/>
      <c r="M15" s="120"/>
      <c r="N15" s="101"/>
      <c r="O15" s="131"/>
    </row>
    <row r="16" spans="1:15" x14ac:dyDescent="0.25">
      <c r="A16" s="101"/>
      <c r="B16" s="87" t="s">
        <v>24</v>
      </c>
      <c r="C16" s="235" t="s">
        <v>25</v>
      </c>
      <c r="D16" s="280">
        <f t="shared" ref="D16:D34" si="0">VLOOKUP(B16,isoglas,2,FALSE)</f>
        <v>0</v>
      </c>
      <c r="E16" s="87"/>
      <c r="F16" s="98"/>
      <c r="G16" s="99"/>
      <c r="H16" s="88" t="s">
        <v>24</v>
      </c>
      <c r="I16" s="89"/>
      <c r="J16" s="232">
        <f>(F16*G16)/1000000</f>
        <v>0</v>
      </c>
      <c r="K16" s="282">
        <f>IF(J16=0,0,(IF(J16&lt;0.5,0.5*D16*E16,J16*D16*E16)))</f>
        <v>0</v>
      </c>
      <c r="L16" s="283">
        <f>IF(F16=0,0,IF(F16&lt;500,E16*_Rekenblad!J5,E16*_Rekenblad!K5))</f>
        <v>0</v>
      </c>
      <c r="M16" s="142" t="str">
        <f>IF(J16&gt;5,IF(J16=0,"","*2"),IF(J16&lt;0.5,IF(J16=0,"","*1"),""))</f>
        <v/>
      </c>
      <c r="N16" s="143" t="str">
        <f>IF(J16&gt;5,IF(J16=0,"","   Ruit &gt; 5 m2, neem contact op met Glasdiscount.nl"),IF(J16&lt;0.5,IF(J16=0,"","   Minimale prijs is 0,5 m2 per ruit"),""))</f>
        <v/>
      </c>
      <c r="O16" s="131"/>
    </row>
    <row r="17" spans="1:15" x14ac:dyDescent="0.25">
      <c r="A17" s="101"/>
      <c r="B17" s="87" t="s">
        <v>24</v>
      </c>
      <c r="C17" s="235" t="s">
        <v>25</v>
      </c>
      <c r="D17" s="280">
        <f t="shared" si="0"/>
        <v>0</v>
      </c>
      <c r="E17" s="87"/>
      <c r="F17" s="98"/>
      <c r="G17" s="99"/>
      <c r="H17" s="88" t="s">
        <v>24</v>
      </c>
      <c r="I17" s="89"/>
      <c r="J17" s="232">
        <f t="shared" ref="J17:J34" si="1">(F17*G17)/1000000</f>
        <v>0</v>
      </c>
      <c r="K17" s="282">
        <f t="shared" ref="K17:K34" si="2">IF(J17=0,0,(IF(J17&lt;0.5,0.5*D17*E17,J17*D17*E17)))</f>
        <v>0</v>
      </c>
      <c r="L17" s="283">
        <f>IF(F17=0,0,IF(F17&lt;500,E17*_Rekenblad!J6,E17*_Rekenblad!K6))</f>
        <v>0</v>
      </c>
      <c r="M17" s="142" t="str">
        <f t="shared" ref="M17:M34" si="3">IF(J17&gt;5,IF(J17=0,"","*2"),IF(J17&lt;0.5,IF(J17=0,"","*1"),""))</f>
        <v/>
      </c>
      <c r="N17" s="143" t="str">
        <f>IF(J17&gt;5,IF(J17=0,"","   Ruit &gt; 5 m2, neem contact op met Glasdiscount.nl"),IF(J17&lt;0.5,IF(J17=0,"","   Prijs gebaseerd op minimaal 0,5 m2 per ruit"),""))</f>
        <v/>
      </c>
      <c r="O17" s="131"/>
    </row>
    <row r="18" spans="1:15" x14ac:dyDescent="0.25">
      <c r="A18" s="101"/>
      <c r="B18" s="87" t="s">
        <v>24</v>
      </c>
      <c r="C18" s="235" t="s">
        <v>25</v>
      </c>
      <c r="D18" s="280">
        <f t="shared" si="0"/>
        <v>0</v>
      </c>
      <c r="E18" s="87"/>
      <c r="F18" s="98"/>
      <c r="G18" s="99"/>
      <c r="H18" s="88" t="s">
        <v>24</v>
      </c>
      <c r="I18" s="89"/>
      <c r="J18" s="232">
        <f t="shared" si="1"/>
        <v>0</v>
      </c>
      <c r="K18" s="282">
        <f t="shared" si="2"/>
        <v>0</v>
      </c>
      <c r="L18" s="283">
        <f>IF(F18=0,0,IF(F18&lt;500,E18*_Rekenblad!J7,E18*_Rekenblad!K7))</f>
        <v>0</v>
      </c>
      <c r="M18" s="142" t="str">
        <f t="shared" si="3"/>
        <v/>
      </c>
      <c r="N18" s="143" t="str">
        <f t="shared" ref="N18:N34" si="4">IF(J18&gt;5,IF(J18=0,"","   Ruit &gt; 5 m2, neem contact op met Glasdiscount.nl"),IF(J18&lt;0.5,IF(J18=0,"","   Prijs gebaseerd op minimaal 0,5 m2 per ruit"),""))</f>
        <v/>
      </c>
      <c r="O18" s="131"/>
    </row>
    <row r="19" spans="1:15" x14ac:dyDescent="0.25">
      <c r="A19" s="101"/>
      <c r="B19" s="87" t="s">
        <v>24</v>
      </c>
      <c r="C19" s="235" t="s">
        <v>25</v>
      </c>
      <c r="D19" s="280">
        <f t="shared" si="0"/>
        <v>0</v>
      </c>
      <c r="E19" s="87"/>
      <c r="F19" s="98"/>
      <c r="G19" s="99"/>
      <c r="H19" s="88" t="s">
        <v>24</v>
      </c>
      <c r="I19" s="89"/>
      <c r="J19" s="232">
        <f t="shared" si="1"/>
        <v>0</v>
      </c>
      <c r="K19" s="282">
        <f t="shared" si="2"/>
        <v>0</v>
      </c>
      <c r="L19" s="283">
        <f>IF(F19=0,0,IF(F19&lt;500,E19*_Rekenblad!J8,E19*_Rekenblad!K8))</f>
        <v>0</v>
      </c>
      <c r="M19" s="142" t="str">
        <f t="shared" si="3"/>
        <v/>
      </c>
      <c r="N19" s="143" t="str">
        <f t="shared" si="4"/>
        <v/>
      </c>
      <c r="O19" s="131"/>
    </row>
    <row r="20" spans="1:15" x14ac:dyDescent="0.25">
      <c r="A20" s="101"/>
      <c r="B20" s="87" t="s">
        <v>24</v>
      </c>
      <c r="C20" s="235" t="s">
        <v>25</v>
      </c>
      <c r="D20" s="280">
        <f t="shared" si="0"/>
        <v>0</v>
      </c>
      <c r="E20" s="87"/>
      <c r="F20" s="98"/>
      <c r="G20" s="99"/>
      <c r="H20" s="88" t="s">
        <v>119</v>
      </c>
      <c r="I20" s="89"/>
      <c r="J20" s="232">
        <f t="shared" si="1"/>
        <v>0</v>
      </c>
      <c r="K20" s="282">
        <f t="shared" si="2"/>
        <v>0</v>
      </c>
      <c r="L20" s="283">
        <f>IF(F20=0,0,IF(F20&lt;500,E20*_Rekenblad!J9,E20*_Rekenblad!K9))</f>
        <v>0</v>
      </c>
      <c r="M20" s="142" t="str">
        <f t="shared" si="3"/>
        <v/>
      </c>
      <c r="N20" s="143" t="str">
        <f t="shared" si="4"/>
        <v/>
      </c>
      <c r="O20" s="131"/>
    </row>
    <row r="21" spans="1:15" x14ac:dyDescent="0.25">
      <c r="A21" s="101"/>
      <c r="B21" s="87" t="s">
        <v>120</v>
      </c>
      <c r="C21" s="235" t="s">
        <v>202</v>
      </c>
      <c r="D21" s="280">
        <f t="shared" si="0"/>
        <v>35</v>
      </c>
      <c r="E21" s="87">
        <v>5</v>
      </c>
      <c r="F21" s="98">
        <v>50</v>
      </c>
      <c r="G21" s="99">
        <v>100</v>
      </c>
      <c r="H21" s="88" t="s">
        <v>121</v>
      </c>
      <c r="I21" s="89" t="s">
        <v>191</v>
      </c>
      <c r="J21" s="232">
        <f t="shared" si="1"/>
        <v>5.0000000000000001E-3</v>
      </c>
      <c r="K21" s="282">
        <f t="shared" si="2"/>
        <v>87.5</v>
      </c>
      <c r="L21" s="283">
        <f>IF(F21=0,0,IF(F21&lt;500,E21*_Rekenblad!J10,E21*_Rekenblad!K10))</f>
        <v>211.75</v>
      </c>
      <c r="M21" s="142" t="str">
        <f t="shared" si="3"/>
        <v>*1</v>
      </c>
      <c r="N21" s="143" t="str">
        <f t="shared" si="4"/>
        <v xml:space="preserve">   Prijs gebaseerd op minimaal 0,5 m2 per ruit</v>
      </c>
      <c r="O21" s="131"/>
    </row>
    <row r="22" spans="1:15" x14ac:dyDescent="0.25">
      <c r="A22" s="101"/>
      <c r="B22" s="87" t="s">
        <v>24</v>
      </c>
      <c r="C22" s="235" t="s">
        <v>25</v>
      </c>
      <c r="D22" s="280">
        <f t="shared" si="0"/>
        <v>0</v>
      </c>
      <c r="E22" s="87"/>
      <c r="F22" s="98"/>
      <c r="G22" s="99"/>
      <c r="H22" s="88" t="s">
        <v>24</v>
      </c>
      <c r="I22" s="89"/>
      <c r="J22" s="232">
        <f t="shared" si="1"/>
        <v>0</v>
      </c>
      <c r="K22" s="282">
        <f t="shared" si="2"/>
        <v>0</v>
      </c>
      <c r="L22" s="283">
        <f>IF(F22=0,0,IF(F22&lt;500,E22*_Rekenblad!J11,E22*_Rekenblad!K11))</f>
        <v>0</v>
      </c>
      <c r="M22" s="142" t="str">
        <f t="shared" si="3"/>
        <v/>
      </c>
      <c r="N22" s="143" t="str">
        <f t="shared" si="4"/>
        <v/>
      </c>
      <c r="O22" s="131"/>
    </row>
    <row r="23" spans="1:15" x14ac:dyDescent="0.25">
      <c r="A23" s="101"/>
      <c r="B23" s="87" t="s">
        <v>24</v>
      </c>
      <c r="C23" s="235" t="s">
        <v>25</v>
      </c>
      <c r="D23" s="280">
        <f t="shared" si="0"/>
        <v>0</v>
      </c>
      <c r="E23" s="87"/>
      <c r="F23" s="98"/>
      <c r="G23" s="99"/>
      <c r="H23" s="88" t="s">
        <v>24</v>
      </c>
      <c r="I23" s="89"/>
      <c r="J23" s="232">
        <f t="shared" si="1"/>
        <v>0</v>
      </c>
      <c r="K23" s="282">
        <f t="shared" si="2"/>
        <v>0</v>
      </c>
      <c r="L23" s="283">
        <f>IF(F23=0,0,IF(F23&lt;500,E23*_Rekenblad!J12,E23*_Rekenblad!K12))</f>
        <v>0</v>
      </c>
      <c r="M23" s="142" t="str">
        <f t="shared" si="3"/>
        <v/>
      </c>
      <c r="N23" s="143" t="str">
        <f t="shared" si="4"/>
        <v/>
      </c>
      <c r="O23" s="131"/>
    </row>
    <row r="24" spans="1:15" x14ac:dyDescent="0.25">
      <c r="A24" s="101"/>
      <c r="B24" s="87" t="s">
        <v>24</v>
      </c>
      <c r="C24" s="235" t="s">
        <v>25</v>
      </c>
      <c r="D24" s="280">
        <f t="shared" si="0"/>
        <v>0</v>
      </c>
      <c r="E24" s="87"/>
      <c r="F24" s="98"/>
      <c r="G24" s="99"/>
      <c r="H24" s="88" t="s">
        <v>24</v>
      </c>
      <c r="I24" s="89"/>
      <c r="J24" s="232">
        <f t="shared" si="1"/>
        <v>0</v>
      </c>
      <c r="K24" s="282">
        <f t="shared" si="2"/>
        <v>0</v>
      </c>
      <c r="L24" s="283">
        <f>IF(F24=0,0,IF(F24&lt;500,E24*_Rekenblad!J13,E24*_Rekenblad!K13))</f>
        <v>0</v>
      </c>
      <c r="M24" s="142" t="str">
        <f t="shared" si="3"/>
        <v/>
      </c>
      <c r="N24" s="143" t="str">
        <f t="shared" si="4"/>
        <v/>
      </c>
      <c r="O24" s="131"/>
    </row>
    <row r="25" spans="1:15" x14ac:dyDescent="0.25">
      <c r="A25" s="101"/>
      <c r="B25" s="87" t="s">
        <v>24</v>
      </c>
      <c r="C25" s="235" t="s">
        <v>25</v>
      </c>
      <c r="D25" s="280">
        <f t="shared" si="0"/>
        <v>0</v>
      </c>
      <c r="E25" s="87"/>
      <c r="F25" s="98"/>
      <c r="G25" s="99"/>
      <c r="H25" s="88" t="s">
        <v>24</v>
      </c>
      <c r="I25" s="89"/>
      <c r="J25" s="232">
        <f t="shared" si="1"/>
        <v>0</v>
      </c>
      <c r="K25" s="282">
        <f t="shared" si="2"/>
        <v>0</v>
      </c>
      <c r="L25" s="283">
        <f>IF(F25=0,0,IF(F25&lt;500,E25*_Rekenblad!J14,E25*_Rekenblad!K14))</f>
        <v>0</v>
      </c>
      <c r="M25" s="142" t="str">
        <f t="shared" si="3"/>
        <v/>
      </c>
      <c r="N25" s="143" t="str">
        <f t="shared" si="4"/>
        <v/>
      </c>
      <c r="O25" s="131"/>
    </row>
    <row r="26" spans="1:15" x14ac:dyDescent="0.25">
      <c r="A26" s="101"/>
      <c r="B26" s="87" t="s">
        <v>24</v>
      </c>
      <c r="C26" s="235" t="s">
        <v>25</v>
      </c>
      <c r="D26" s="280">
        <f t="shared" si="0"/>
        <v>0</v>
      </c>
      <c r="E26" s="87"/>
      <c r="F26" s="98"/>
      <c r="G26" s="99"/>
      <c r="H26" s="88" t="s">
        <v>24</v>
      </c>
      <c r="I26" s="89"/>
      <c r="J26" s="232">
        <f t="shared" si="1"/>
        <v>0</v>
      </c>
      <c r="K26" s="282">
        <f t="shared" si="2"/>
        <v>0</v>
      </c>
      <c r="L26" s="283">
        <f>IF(F26=0,0,IF(F26&lt;500,E26*_Rekenblad!J15,E26*_Rekenblad!K15))</f>
        <v>0</v>
      </c>
      <c r="M26" s="142" t="str">
        <f t="shared" si="3"/>
        <v/>
      </c>
      <c r="N26" s="143" t="str">
        <f t="shared" si="4"/>
        <v/>
      </c>
      <c r="O26" s="131"/>
    </row>
    <row r="27" spans="1:15" x14ac:dyDescent="0.25">
      <c r="A27" s="101"/>
      <c r="B27" s="87" t="s">
        <v>24</v>
      </c>
      <c r="C27" s="235" t="s">
        <v>25</v>
      </c>
      <c r="D27" s="280">
        <f t="shared" si="0"/>
        <v>0</v>
      </c>
      <c r="E27" s="87"/>
      <c r="F27" s="98"/>
      <c r="G27" s="99"/>
      <c r="H27" s="88" t="s">
        <v>24</v>
      </c>
      <c r="I27" s="89"/>
      <c r="J27" s="232">
        <f t="shared" si="1"/>
        <v>0</v>
      </c>
      <c r="K27" s="282">
        <f t="shared" si="2"/>
        <v>0</v>
      </c>
      <c r="L27" s="283">
        <f>IF(F27=0,0,IF(F27&lt;500,E27*_Rekenblad!J16,E27*_Rekenblad!K16))</f>
        <v>0</v>
      </c>
      <c r="M27" s="142" t="str">
        <f t="shared" si="3"/>
        <v/>
      </c>
      <c r="N27" s="143" t="str">
        <f t="shared" si="4"/>
        <v/>
      </c>
      <c r="O27" s="131"/>
    </row>
    <row r="28" spans="1:15" x14ac:dyDescent="0.25">
      <c r="A28" s="101"/>
      <c r="B28" s="87" t="s">
        <v>24</v>
      </c>
      <c r="C28" s="235" t="s">
        <v>25</v>
      </c>
      <c r="D28" s="280">
        <f t="shared" si="0"/>
        <v>0</v>
      </c>
      <c r="E28" s="87"/>
      <c r="F28" s="98"/>
      <c r="G28" s="99"/>
      <c r="H28" s="88" t="s">
        <v>24</v>
      </c>
      <c r="I28" s="89"/>
      <c r="J28" s="232">
        <f t="shared" si="1"/>
        <v>0</v>
      </c>
      <c r="K28" s="282">
        <f t="shared" si="2"/>
        <v>0</v>
      </c>
      <c r="L28" s="283">
        <f>IF(F28=0,0,IF(F28&lt;500,E28*_Rekenblad!J17,E28*_Rekenblad!K17))</f>
        <v>0</v>
      </c>
      <c r="M28" s="142" t="str">
        <f t="shared" si="3"/>
        <v/>
      </c>
      <c r="N28" s="143" t="str">
        <f t="shared" si="4"/>
        <v/>
      </c>
      <c r="O28" s="131"/>
    </row>
    <row r="29" spans="1:15" x14ac:dyDescent="0.25">
      <c r="A29" s="101"/>
      <c r="B29" s="87" t="s">
        <v>24</v>
      </c>
      <c r="C29" s="235" t="s">
        <v>25</v>
      </c>
      <c r="D29" s="280">
        <f t="shared" si="0"/>
        <v>0</v>
      </c>
      <c r="E29" s="87"/>
      <c r="F29" s="98"/>
      <c r="G29" s="99"/>
      <c r="H29" s="88" t="s">
        <v>24</v>
      </c>
      <c r="I29" s="89"/>
      <c r="J29" s="232">
        <f t="shared" si="1"/>
        <v>0</v>
      </c>
      <c r="K29" s="282">
        <f t="shared" si="2"/>
        <v>0</v>
      </c>
      <c r="L29" s="283">
        <f>IF(F29=0,0,IF(F29&lt;500,E29*_Rekenblad!J18,E29*_Rekenblad!K18))</f>
        <v>0</v>
      </c>
      <c r="M29" s="142" t="str">
        <f t="shared" si="3"/>
        <v/>
      </c>
      <c r="N29" s="143" t="str">
        <f t="shared" si="4"/>
        <v/>
      </c>
      <c r="O29" s="131"/>
    </row>
    <row r="30" spans="1:15" x14ac:dyDescent="0.25">
      <c r="A30" s="101"/>
      <c r="B30" s="87" t="s">
        <v>24</v>
      </c>
      <c r="C30" s="235" t="s">
        <v>25</v>
      </c>
      <c r="D30" s="280">
        <f t="shared" si="0"/>
        <v>0</v>
      </c>
      <c r="E30" s="87"/>
      <c r="F30" s="98"/>
      <c r="G30" s="99"/>
      <c r="H30" s="88" t="s">
        <v>24</v>
      </c>
      <c r="I30" s="89"/>
      <c r="J30" s="232">
        <f t="shared" si="1"/>
        <v>0</v>
      </c>
      <c r="K30" s="282">
        <f t="shared" si="2"/>
        <v>0</v>
      </c>
      <c r="L30" s="283">
        <f>IF(F30=0,0,IF(F30&lt;500,E30*_Rekenblad!J19,E30*_Rekenblad!K19))</f>
        <v>0</v>
      </c>
      <c r="M30" s="142" t="str">
        <f t="shared" si="3"/>
        <v/>
      </c>
      <c r="N30" s="143" t="str">
        <f t="shared" si="4"/>
        <v/>
      </c>
      <c r="O30" s="131"/>
    </row>
    <row r="31" spans="1:15" x14ac:dyDescent="0.25">
      <c r="A31" s="101"/>
      <c r="B31" s="87" t="s">
        <v>24</v>
      </c>
      <c r="C31" s="235" t="s">
        <v>25</v>
      </c>
      <c r="D31" s="280">
        <f t="shared" si="0"/>
        <v>0</v>
      </c>
      <c r="E31" s="87"/>
      <c r="F31" s="98"/>
      <c r="G31" s="99"/>
      <c r="H31" s="88" t="s">
        <v>24</v>
      </c>
      <c r="I31" s="89"/>
      <c r="J31" s="232">
        <f t="shared" si="1"/>
        <v>0</v>
      </c>
      <c r="K31" s="282">
        <f t="shared" si="2"/>
        <v>0</v>
      </c>
      <c r="L31" s="283">
        <f>IF(F31=0,0,IF(F31&lt;500,E31*_Rekenblad!J20,E31*_Rekenblad!K20))</f>
        <v>0</v>
      </c>
      <c r="M31" s="142" t="str">
        <f t="shared" si="3"/>
        <v/>
      </c>
      <c r="N31" s="143" t="str">
        <f t="shared" si="4"/>
        <v/>
      </c>
      <c r="O31" s="131"/>
    </row>
    <row r="32" spans="1:15" x14ac:dyDescent="0.25">
      <c r="A32" s="101"/>
      <c r="B32" s="87" t="s">
        <v>24</v>
      </c>
      <c r="C32" s="235" t="s">
        <v>25</v>
      </c>
      <c r="D32" s="280">
        <f t="shared" si="0"/>
        <v>0</v>
      </c>
      <c r="E32" s="87"/>
      <c r="F32" s="98"/>
      <c r="G32" s="99"/>
      <c r="H32" s="88" t="s">
        <v>24</v>
      </c>
      <c r="I32" s="89"/>
      <c r="J32" s="232">
        <f t="shared" si="1"/>
        <v>0</v>
      </c>
      <c r="K32" s="282">
        <f t="shared" si="2"/>
        <v>0</v>
      </c>
      <c r="L32" s="283">
        <f>IF(F32=0,0,IF(F32&lt;500,E32*_Rekenblad!J21,E32*_Rekenblad!K21))</f>
        <v>0</v>
      </c>
      <c r="M32" s="142" t="str">
        <f t="shared" si="3"/>
        <v/>
      </c>
      <c r="N32" s="143" t="str">
        <f t="shared" si="4"/>
        <v/>
      </c>
      <c r="O32" s="131"/>
    </row>
    <row r="33" spans="1:15" x14ac:dyDescent="0.25">
      <c r="A33" s="101"/>
      <c r="B33" s="87" t="s">
        <v>24</v>
      </c>
      <c r="C33" s="235" t="s">
        <v>25</v>
      </c>
      <c r="D33" s="280">
        <f t="shared" si="0"/>
        <v>0</v>
      </c>
      <c r="E33" s="87"/>
      <c r="F33" s="98"/>
      <c r="G33" s="99"/>
      <c r="H33" s="88" t="s">
        <v>24</v>
      </c>
      <c r="I33" s="89"/>
      <c r="J33" s="232">
        <f t="shared" si="1"/>
        <v>0</v>
      </c>
      <c r="K33" s="282">
        <f t="shared" si="2"/>
        <v>0</v>
      </c>
      <c r="L33" s="283">
        <f>IF(F33=0,0,IF(F33&lt;500,E33*_Rekenblad!J22,E33*_Rekenblad!K22))</f>
        <v>0</v>
      </c>
      <c r="M33" s="142" t="str">
        <f t="shared" si="3"/>
        <v/>
      </c>
      <c r="N33" s="143" t="str">
        <f t="shared" si="4"/>
        <v/>
      </c>
      <c r="O33" s="131"/>
    </row>
    <row r="34" spans="1:15" x14ac:dyDescent="0.25">
      <c r="A34" s="101"/>
      <c r="B34" s="87" t="s">
        <v>24</v>
      </c>
      <c r="C34" s="235" t="s">
        <v>25</v>
      </c>
      <c r="D34" s="280">
        <f t="shared" si="0"/>
        <v>0</v>
      </c>
      <c r="E34" s="87"/>
      <c r="F34" s="98"/>
      <c r="G34" s="99"/>
      <c r="H34" s="88" t="s">
        <v>24</v>
      </c>
      <c r="I34" s="89"/>
      <c r="J34" s="232">
        <f t="shared" si="1"/>
        <v>0</v>
      </c>
      <c r="K34" s="282">
        <f t="shared" si="2"/>
        <v>0</v>
      </c>
      <c r="L34" s="283">
        <f>IF(F34=0,0,IF(F34&lt;500,E34*_Rekenblad!J23,E34*_Rekenblad!K23))</f>
        <v>0</v>
      </c>
      <c r="M34" s="142" t="str">
        <f t="shared" si="3"/>
        <v/>
      </c>
      <c r="N34" s="143" t="str">
        <f t="shared" si="4"/>
        <v/>
      </c>
      <c r="O34" s="131"/>
    </row>
    <row r="35" spans="1:15" ht="6.75" customHeight="1" x14ac:dyDescent="0.25">
      <c r="A35" s="101"/>
      <c r="B35" s="145"/>
      <c r="C35" s="240"/>
      <c r="D35" s="84"/>
      <c r="E35" s="145"/>
      <c r="F35" s="146"/>
      <c r="G35" s="147"/>
      <c r="H35" s="202"/>
      <c r="I35" s="147"/>
      <c r="J35" s="148"/>
      <c r="K35" s="149"/>
      <c r="L35" s="150"/>
      <c r="M35" s="151"/>
      <c r="N35" s="152"/>
      <c r="O35" s="131"/>
    </row>
    <row r="36" spans="1:15" ht="18.75" customHeight="1" x14ac:dyDescent="0.25">
      <c r="A36" s="101"/>
      <c r="B36" s="383" t="s">
        <v>26</v>
      </c>
      <c r="C36" s="383"/>
      <c r="D36" s="383"/>
      <c r="E36" s="153"/>
      <c r="F36" s="153"/>
      <c r="G36" s="153"/>
      <c r="H36" s="85"/>
      <c r="I36" s="85"/>
      <c r="J36" s="86" t="s">
        <v>27</v>
      </c>
      <c r="K36" s="284">
        <f>SUM(K16:K34)</f>
        <v>87.5</v>
      </c>
      <c r="L36" s="285">
        <f>SUM(L16:L34)</f>
        <v>211.75</v>
      </c>
      <c r="M36" s="93"/>
      <c r="N36" s="152"/>
      <c r="O36" s="131"/>
    </row>
    <row r="37" spans="1:15" ht="18.75" customHeight="1" x14ac:dyDescent="0.25">
      <c r="A37" s="101"/>
      <c r="B37" s="382" t="s">
        <v>28</v>
      </c>
      <c r="C37" s="382"/>
      <c r="D37" s="382"/>
      <c r="E37" s="242"/>
      <c r="F37" s="242"/>
      <c r="G37" s="242"/>
      <c r="H37" s="154"/>
      <c r="I37" s="154"/>
      <c r="J37" s="155" t="s">
        <v>29</v>
      </c>
      <c r="K37" s="334">
        <f>K36+L36</f>
        <v>299.25</v>
      </c>
      <c r="L37" s="335"/>
      <c r="M37" s="156"/>
      <c r="N37" s="157"/>
      <c r="O37" s="131"/>
    </row>
    <row r="38" spans="1:15" ht="12" customHeight="1" x14ac:dyDescent="0.25">
      <c r="A38" s="101"/>
      <c r="N38" s="101"/>
      <c r="O38" s="131"/>
    </row>
    <row r="39" spans="1:15" ht="18" customHeight="1" x14ac:dyDescent="0.25">
      <c r="A39" s="101"/>
      <c r="B39" s="326" t="s">
        <v>30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8"/>
      <c r="M39" s="118"/>
      <c r="N39" s="101"/>
      <c r="O39" s="131"/>
    </row>
    <row r="40" spans="1:15" ht="6" customHeight="1" x14ac:dyDescent="0.25">
      <c r="A40" s="101"/>
      <c r="B40" s="320"/>
      <c r="C40" s="320"/>
      <c r="D40" s="320"/>
      <c r="E40" s="320"/>
      <c r="F40" s="320"/>
      <c r="G40" s="320"/>
      <c r="H40" s="159"/>
      <c r="I40" s="159"/>
      <c r="J40" s="159"/>
      <c r="K40" s="159"/>
      <c r="L40" s="159"/>
      <c r="M40" s="159"/>
      <c r="N40" s="101"/>
      <c r="O40" s="131"/>
    </row>
    <row r="41" spans="1:15" ht="12.75" customHeight="1" x14ac:dyDescent="0.25">
      <c r="A41" s="101"/>
      <c r="B41" s="336" t="s">
        <v>241</v>
      </c>
      <c r="C41" s="336"/>
      <c r="D41" s="336"/>
      <c r="E41" s="336"/>
      <c r="F41" s="336"/>
      <c r="G41" s="336"/>
      <c r="H41" s="320"/>
      <c r="I41" s="320"/>
      <c r="J41" s="320"/>
      <c r="K41" s="320"/>
      <c r="L41" s="320"/>
      <c r="M41" s="160"/>
      <c r="N41" s="157"/>
      <c r="O41" s="131"/>
    </row>
    <row r="42" spans="1:15" ht="26.25" customHeight="1" x14ac:dyDescent="0.25">
      <c r="A42" s="101"/>
      <c r="B42" s="346" t="s">
        <v>31</v>
      </c>
      <c r="C42" s="346"/>
      <c r="D42" s="346"/>
      <c r="E42" s="346"/>
      <c r="F42" s="346"/>
      <c r="G42" s="244"/>
      <c r="H42" s="346" t="s">
        <v>32</v>
      </c>
      <c r="I42" s="346"/>
      <c r="J42" s="346"/>
      <c r="K42" s="346"/>
      <c r="L42" s="346"/>
      <c r="M42" s="160"/>
      <c r="N42" s="157"/>
      <c r="O42" s="131"/>
    </row>
    <row r="43" spans="1:15" ht="6" customHeight="1" x14ac:dyDescent="0.25">
      <c r="A43" s="101"/>
      <c r="B43" s="161"/>
      <c r="C43" s="161"/>
      <c r="D43" s="161"/>
      <c r="E43" s="161"/>
      <c r="F43" s="161"/>
      <c r="G43" s="161"/>
      <c r="H43" s="162"/>
      <c r="I43" s="162"/>
      <c r="J43" s="162"/>
      <c r="K43" s="162"/>
      <c r="L43" s="160"/>
      <c r="M43" s="160"/>
      <c r="N43" s="157"/>
      <c r="O43" s="131"/>
    </row>
    <row r="44" spans="1:15" ht="12.75" customHeight="1" x14ac:dyDescent="0.3">
      <c r="A44" s="101"/>
      <c r="B44" s="318" t="s">
        <v>33</v>
      </c>
      <c r="C44" s="319"/>
      <c r="D44" s="319"/>
      <c r="E44" s="241" t="s">
        <v>34</v>
      </c>
      <c r="F44" s="163" t="s">
        <v>10</v>
      </c>
      <c r="G44" s="159"/>
      <c r="H44" s="315" t="s">
        <v>35</v>
      </c>
      <c r="I44" s="316"/>
      <c r="J44" s="316"/>
      <c r="K44" s="317"/>
      <c r="L44" s="164" t="s">
        <v>36</v>
      </c>
      <c r="M44" s="165"/>
      <c r="N44" s="157"/>
      <c r="O44" s="131"/>
    </row>
    <row r="45" spans="1:15" ht="6" customHeight="1" x14ac:dyDescent="0.3">
      <c r="A45" s="101"/>
      <c r="B45" s="308"/>
      <c r="C45" s="309"/>
      <c r="D45" s="310"/>
      <c r="E45" s="166"/>
      <c r="F45" s="167"/>
      <c r="G45" s="159"/>
      <c r="H45" s="168"/>
      <c r="I45" s="169"/>
      <c r="J45" s="169"/>
      <c r="K45" s="169"/>
      <c r="L45" s="170"/>
      <c r="M45" s="171"/>
      <c r="N45" s="157"/>
      <c r="O45" s="131"/>
    </row>
    <row r="46" spans="1:15" ht="12.75" customHeight="1" x14ac:dyDescent="0.25">
      <c r="A46" s="101"/>
      <c r="B46" s="351" t="str">
        <f>toebehoren_kit</f>
        <v>Beglazingskit Easyseal XPS wit, koker á 310 ml</v>
      </c>
      <c r="C46" s="352"/>
      <c r="D46" s="352"/>
      <c r="E46" s="288">
        <f>_Prijzenblad!L3</f>
        <v>3.9</v>
      </c>
      <c r="F46" s="233">
        <f>_Rekenblad!C27</f>
        <v>1</v>
      </c>
      <c r="G46" s="172" t="s">
        <v>37</v>
      </c>
      <c r="H46" s="339" t="str">
        <f>IF(F46=0," ",IF($E$49="Ja",toebehoren_kit," "))</f>
        <v>Beglazingskit Easyseal XPS wit, koker á 310 ml</v>
      </c>
      <c r="I46" s="340"/>
      <c r="J46" s="340"/>
      <c r="K46" s="340"/>
      <c r="L46" s="286">
        <f>IF(F46=0,"",IF($E$49="Ja",F46*E46,""))</f>
        <v>3.9</v>
      </c>
      <c r="M46" s="151"/>
      <c r="N46" s="157"/>
      <c r="O46" s="131"/>
    </row>
    <row r="47" spans="1:15" ht="12.75" customHeight="1" x14ac:dyDescent="0.25">
      <c r="A47" s="101"/>
      <c r="B47" s="344" t="str">
        <f>toebehoren_band</f>
        <v>Beglazingsband 9x3 mm wit, rol á 25 m1</v>
      </c>
      <c r="C47" s="345"/>
      <c r="D47" s="345"/>
      <c r="E47" s="289">
        <f>_Prijzenblad!L4</f>
        <v>3</v>
      </c>
      <c r="F47" s="234">
        <f>_Rekenblad!C28</f>
        <v>1</v>
      </c>
      <c r="G47" s="172" t="s">
        <v>37</v>
      </c>
      <c r="H47" s="339" t="str">
        <f>IF(F47=0," ",IF($E$49="Ja",toebehoren_band," "))</f>
        <v>Beglazingsband 9x3 mm wit, rol á 25 m1</v>
      </c>
      <c r="I47" s="340"/>
      <c r="J47" s="340"/>
      <c r="K47" s="340"/>
      <c r="L47" s="286">
        <f t="shared" ref="L47:L48" si="5">IF(F47=0,"",IF($E$49="Ja",F47*E47,""))</f>
        <v>3</v>
      </c>
      <c r="M47" s="151"/>
      <c r="N47" s="157"/>
      <c r="O47" s="131"/>
    </row>
    <row r="48" spans="1:15" ht="12.75" customHeight="1" x14ac:dyDescent="0.25">
      <c r="A48" s="101"/>
      <c r="B48" s="344" t="str">
        <f>toebehoren_blokjes</f>
        <v>Beglazingsblokjes, set per ruit</v>
      </c>
      <c r="C48" s="345"/>
      <c r="D48" s="345"/>
      <c r="E48" s="289">
        <f>_Prijzenblad!L5</f>
        <v>1</v>
      </c>
      <c r="F48" s="234">
        <f>_Rekenblad!C29</f>
        <v>5</v>
      </c>
      <c r="G48" s="172" t="s">
        <v>37</v>
      </c>
      <c r="H48" s="339" t="str">
        <f>IF(F48=0," ",IF($E$49="Ja",toebehoren_blokjes," "))</f>
        <v>Beglazingsblokjes, set per ruit</v>
      </c>
      <c r="I48" s="340"/>
      <c r="J48" s="340"/>
      <c r="K48" s="340"/>
      <c r="L48" s="286">
        <f t="shared" si="5"/>
        <v>5</v>
      </c>
      <c r="M48" s="151"/>
      <c r="N48" s="157"/>
      <c r="O48" s="131"/>
    </row>
    <row r="49" spans="1:15" ht="12.75" customHeight="1" x14ac:dyDescent="0.25">
      <c r="A49" s="101"/>
      <c r="B49" s="347" t="s">
        <v>38</v>
      </c>
      <c r="C49" s="348"/>
      <c r="D49" s="348"/>
      <c r="E49" s="349" t="s">
        <v>194</v>
      </c>
      <c r="F49" s="350"/>
      <c r="G49" s="172" t="s">
        <v>37</v>
      </c>
      <c r="H49" s="341" t="str">
        <f>IF($E$49="Ja","Bezorgkosten beglazingsmateriaal"," ")</f>
        <v>Bezorgkosten beglazingsmateriaal</v>
      </c>
      <c r="I49" s="342"/>
      <c r="J49" s="342"/>
      <c r="K49" s="343"/>
      <c r="L49" s="287">
        <f>IF(SUM(L46:L48)=0,"",IF(SUM(K37,L46:L48)&gt;=verzend_tot,0,IF(E49="Ja",verzend_laag,"")))</f>
        <v>7</v>
      </c>
      <c r="M49" s="173"/>
      <c r="N49" s="157"/>
      <c r="O49" s="131"/>
    </row>
    <row r="50" spans="1:15" ht="6" customHeight="1" x14ac:dyDescent="0.25">
      <c r="A50" s="101"/>
      <c r="B50" s="174"/>
      <c r="C50" s="175"/>
      <c r="D50" s="175"/>
      <c r="E50" s="176"/>
      <c r="F50" s="177"/>
      <c r="G50" s="178"/>
      <c r="H50" s="179"/>
      <c r="I50" s="180"/>
      <c r="J50" s="180"/>
      <c r="K50" s="180"/>
      <c r="L50" s="181"/>
      <c r="M50" s="173"/>
      <c r="N50" s="157"/>
      <c r="O50" s="131"/>
    </row>
    <row r="51" spans="1:15" ht="18.75" customHeight="1" x14ac:dyDescent="0.25">
      <c r="A51" s="101"/>
      <c r="B51" s="153"/>
      <c r="C51" s="153"/>
      <c r="D51" s="153"/>
      <c r="E51" s="153"/>
      <c r="F51" s="153"/>
      <c r="G51" s="153"/>
      <c r="H51" s="182"/>
      <c r="I51" s="182"/>
      <c r="J51" s="155" t="s">
        <v>29</v>
      </c>
      <c r="K51" s="334">
        <f>SUM(L37:L53)</f>
        <v>18.899999999999999</v>
      </c>
      <c r="L51" s="335"/>
      <c r="M51" s="183"/>
      <c r="N51" s="157"/>
      <c r="O51" s="131"/>
    </row>
    <row r="52" spans="1:15" ht="6" customHeight="1" x14ac:dyDescent="0.25">
      <c r="A52" s="101"/>
      <c r="C52" s="215"/>
      <c r="D52" s="215"/>
      <c r="E52" s="215"/>
      <c r="F52" s="215"/>
      <c r="G52" s="153"/>
      <c r="H52" s="155"/>
      <c r="I52" s="155"/>
      <c r="J52" s="155"/>
      <c r="K52" s="155"/>
      <c r="L52" s="156"/>
      <c r="M52" s="156"/>
      <c r="N52" s="157"/>
      <c r="O52" s="131"/>
    </row>
    <row r="53" spans="1:15" ht="12.75" customHeight="1" x14ac:dyDescent="0.25">
      <c r="A53" s="101"/>
      <c r="B53" s="226"/>
      <c r="C53" s="226"/>
      <c r="D53" s="226"/>
      <c r="E53" s="226"/>
      <c r="F53" s="226"/>
      <c r="G53" s="153"/>
      <c r="H53" s="85"/>
      <c r="I53" s="85"/>
      <c r="J53" s="155" t="str">
        <f>"Verzending en afhandeling € "&amp;verzend_hoog&amp;",00 per order tot € "&amp;verzend_tot&amp;",00"</f>
        <v>Verzending en afhandeling € 23,00 per order tot € 400,00</v>
      </c>
      <c r="K53" s="337">
        <f>IF(K37=0,0,IF(SUM(K37,L46:L48)&gt;=verzend_tot,0,IF(C79="Bezorgen",verzend_hoog,0)))</f>
        <v>23</v>
      </c>
      <c r="L53" s="338"/>
      <c r="M53" s="184"/>
      <c r="N53" s="157"/>
      <c r="O53" s="131"/>
    </row>
    <row r="54" spans="1:15" ht="12.75" customHeight="1" x14ac:dyDescent="0.25">
      <c r="A54" s="101"/>
      <c r="B54" s="226"/>
      <c r="C54" s="226"/>
      <c r="D54" s="226"/>
      <c r="E54" s="226"/>
      <c r="F54" s="226"/>
      <c r="G54" s="185"/>
      <c r="H54" s="85"/>
      <c r="I54" s="85"/>
      <c r="J54" s="155" t="str">
        <f>VLOOKUP(_Rekenblad!H25,isoglas_korting,4,TRUE)</f>
        <v>0% korting</v>
      </c>
      <c r="K54" s="311">
        <f>VLOOKUP(_Rekenblad!H25,isoglas_korting,3,TRUE)*-K36</f>
        <v>0</v>
      </c>
      <c r="L54" s="312"/>
      <c r="M54" s="184"/>
      <c r="N54" s="157"/>
      <c r="O54" s="131"/>
    </row>
    <row r="55" spans="1:15" ht="6" customHeight="1" x14ac:dyDescent="0.25">
      <c r="A55" s="101"/>
      <c r="B55" s="226"/>
      <c r="C55" s="226"/>
      <c r="D55" s="226"/>
      <c r="E55" s="226"/>
      <c r="F55" s="226"/>
      <c r="G55" s="185"/>
      <c r="H55" s="162"/>
      <c r="I55" s="162"/>
      <c r="J55" s="162"/>
      <c r="K55" s="162"/>
      <c r="L55" s="160"/>
      <c r="M55" s="160"/>
      <c r="N55" s="157"/>
      <c r="O55" s="131"/>
    </row>
    <row r="56" spans="1:15" ht="18.75" customHeight="1" x14ac:dyDescent="0.3">
      <c r="A56" s="101"/>
      <c r="B56" s="226"/>
      <c r="C56" s="226"/>
      <c r="D56" s="226"/>
      <c r="E56" s="226"/>
      <c r="F56" s="226"/>
      <c r="G56" s="185"/>
      <c r="H56" s="85"/>
      <c r="I56" s="85"/>
      <c r="J56" s="218" t="s">
        <v>39</v>
      </c>
      <c r="K56" s="313">
        <f>SUM(K37+K51+K53+K54)</f>
        <v>341.15</v>
      </c>
      <c r="L56" s="314"/>
      <c r="M56" s="186"/>
      <c r="N56" s="157"/>
      <c r="O56" s="131"/>
    </row>
    <row r="57" spans="1:15" ht="6" customHeight="1" x14ac:dyDescent="0.25">
      <c r="A57" s="101"/>
      <c r="B57" s="367" t="s">
        <v>40</v>
      </c>
      <c r="C57" s="367"/>
      <c r="D57" s="367"/>
      <c r="E57" s="367"/>
      <c r="F57" s="367"/>
      <c r="G57" s="185"/>
      <c r="H57" s="162"/>
      <c r="I57" s="162"/>
      <c r="J57" s="162"/>
      <c r="K57" s="162"/>
      <c r="L57" s="171"/>
      <c r="M57" s="171"/>
      <c r="N57" s="157"/>
      <c r="O57" s="158"/>
    </row>
    <row r="58" spans="1:15" ht="12.75" customHeight="1" x14ac:dyDescent="0.3">
      <c r="A58" s="101"/>
      <c r="B58" s="367"/>
      <c r="C58" s="367"/>
      <c r="D58" s="367"/>
      <c r="E58" s="367"/>
      <c r="F58" s="367"/>
      <c r="G58" s="185"/>
      <c r="H58" s="85"/>
      <c r="I58" s="85"/>
      <c r="J58" s="155" t="str">
        <f>"Btw bedrag "&amp;btw_hoog&amp;"%"</f>
        <v>Btw bedrag 21%</v>
      </c>
      <c r="K58" s="355">
        <f>IF(O59&gt;0,btw_hoog/100*(K56-O59),IF(O59=0,(K56*btw_hoog/100)))</f>
        <v>71.641499999999994</v>
      </c>
      <c r="L58" s="356"/>
      <c r="M58" s="184"/>
      <c r="N58" s="187"/>
      <c r="O58" s="216" t="s">
        <v>41</v>
      </c>
    </row>
    <row r="59" spans="1:15" ht="12.75" customHeight="1" x14ac:dyDescent="0.3">
      <c r="A59" s="101"/>
      <c r="B59" s="367"/>
      <c r="C59" s="367"/>
      <c r="D59" s="367"/>
      <c r="E59" s="367"/>
      <c r="F59" s="367"/>
      <c r="G59" s="185"/>
      <c r="H59" s="85"/>
      <c r="I59" s="85"/>
      <c r="J59" s="155" t="str">
        <f>IF(O59&gt;0,("Btw bedrag "&amp;btw_laag&amp;"%"),"")</f>
        <v/>
      </c>
      <c r="K59" s="384" t="str">
        <f>IF(O59=0,"",O59*btw_laag/100)</f>
        <v/>
      </c>
      <c r="L59" s="384"/>
      <c r="M59" s="184"/>
      <c r="N59" s="187"/>
      <c r="O59" s="290"/>
    </row>
    <row r="60" spans="1:15" ht="6" customHeight="1" x14ac:dyDescent="0.3">
      <c r="A60" s="101"/>
      <c r="B60" s="367"/>
      <c r="C60" s="367"/>
      <c r="D60" s="367"/>
      <c r="E60" s="367"/>
      <c r="F60" s="367"/>
      <c r="G60" s="185"/>
      <c r="H60" s="162"/>
      <c r="I60" s="162"/>
      <c r="J60" s="217"/>
      <c r="K60" s="162"/>
      <c r="L60" s="171"/>
      <c r="M60" s="171"/>
      <c r="N60" s="187"/>
      <c r="O60" s="158"/>
    </row>
    <row r="61" spans="1:15" ht="18.75" customHeight="1" x14ac:dyDescent="0.3">
      <c r="A61" s="101"/>
      <c r="B61" s="367"/>
      <c r="C61" s="367"/>
      <c r="D61" s="367"/>
      <c r="E61" s="367"/>
      <c r="F61" s="367"/>
      <c r="G61" s="185"/>
      <c r="H61" s="85"/>
      <c r="I61" s="85"/>
      <c r="J61" s="218" t="s">
        <v>42</v>
      </c>
      <c r="K61" s="313">
        <f>SUM(K56:L59)</f>
        <v>412.79149999999998</v>
      </c>
      <c r="L61" s="314"/>
      <c r="M61" s="186"/>
      <c r="N61" s="187"/>
      <c r="O61" s="158"/>
    </row>
    <row r="62" spans="1:15" ht="12" customHeight="1" x14ac:dyDescent="0.25">
      <c r="A62" s="101"/>
      <c r="B62" s="131"/>
      <c r="C62" s="131"/>
      <c r="D62" s="131"/>
      <c r="E62" s="131"/>
      <c r="F62" s="131"/>
      <c r="G62" s="131"/>
      <c r="N62" s="101"/>
      <c r="O62" s="158"/>
    </row>
    <row r="63" spans="1:15" ht="18" customHeight="1" x14ac:dyDescent="0.25">
      <c r="A63" s="101"/>
      <c r="B63" s="326" t="s">
        <v>43</v>
      </c>
      <c r="C63" s="327"/>
      <c r="D63" s="327"/>
      <c r="E63" s="327"/>
      <c r="F63" s="327"/>
      <c r="G63" s="327"/>
      <c r="H63" s="327"/>
      <c r="I63" s="327"/>
      <c r="J63" s="327"/>
      <c r="K63" s="327"/>
      <c r="L63" s="328"/>
      <c r="M63" s="118"/>
      <c r="N63" s="101"/>
      <c r="O63" s="171"/>
    </row>
    <row r="64" spans="1:15" ht="6" customHeight="1" x14ac:dyDescent="0.25">
      <c r="A64" s="101"/>
      <c r="B64" s="320"/>
      <c r="C64" s="320"/>
      <c r="D64" s="320"/>
      <c r="E64" s="320"/>
      <c r="F64" s="320"/>
      <c r="G64" s="320"/>
      <c r="H64" s="159"/>
      <c r="I64" s="159"/>
      <c r="J64" s="159"/>
      <c r="K64" s="159"/>
      <c r="L64" s="159"/>
      <c r="M64" s="159"/>
      <c r="N64" s="101"/>
      <c r="O64" s="171"/>
    </row>
    <row r="65" spans="1:15" ht="12.75" customHeight="1" x14ac:dyDescent="0.3">
      <c r="A65" s="101"/>
      <c r="B65" s="387" t="s">
        <v>44</v>
      </c>
      <c r="C65" s="388"/>
      <c r="D65" s="388"/>
      <c r="E65" s="388"/>
      <c r="F65" s="389"/>
      <c r="G65" s="188"/>
      <c r="H65" s="396" t="str">
        <f>IF(C77="nee","Afleveradres = Factuuradres","Afleveradres")</f>
        <v>Afleveradres</v>
      </c>
      <c r="I65" s="397"/>
      <c r="J65" s="397"/>
      <c r="K65" s="397"/>
      <c r="L65" s="398"/>
      <c r="M65" s="189"/>
      <c r="N65" s="187"/>
      <c r="O65" s="190"/>
    </row>
    <row r="66" spans="1:15" ht="6" customHeight="1" x14ac:dyDescent="0.3">
      <c r="A66" s="101"/>
      <c r="B66" s="191"/>
      <c r="C66" s="385"/>
      <c r="D66" s="385"/>
      <c r="E66" s="385"/>
      <c r="F66" s="386"/>
      <c r="G66" s="192"/>
      <c r="H66" s="193"/>
      <c r="I66" s="390"/>
      <c r="J66" s="391"/>
      <c r="K66" s="391"/>
      <c r="L66" s="392"/>
      <c r="M66" s="85"/>
      <c r="N66" s="187"/>
      <c r="O66" s="171"/>
    </row>
    <row r="67" spans="1:15" ht="13.5" customHeight="1" x14ac:dyDescent="0.25">
      <c r="A67" s="101"/>
      <c r="B67" s="194" t="s">
        <v>45</v>
      </c>
      <c r="C67" s="353"/>
      <c r="D67" s="353"/>
      <c r="E67" s="353"/>
      <c r="F67" s="354"/>
      <c r="G67" s="95" t="s">
        <v>46</v>
      </c>
      <c r="H67" s="194" t="s">
        <v>45</v>
      </c>
      <c r="I67" s="393"/>
      <c r="J67" s="394"/>
      <c r="K67" s="394"/>
      <c r="L67" s="395"/>
      <c r="M67" s="94" t="str">
        <f>IF($C$77=_Gegevensblad!$B$25,"*", " ")</f>
        <v xml:space="preserve"> </v>
      </c>
      <c r="N67" s="195"/>
      <c r="O67" s="196"/>
    </row>
    <row r="68" spans="1:15" ht="14.25" customHeight="1" x14ac:dyDescent="0.25">
      <c r="A68" s="101"/>
      <c r="B68" s="194" t="s">
        <v>47</v>
      </c>
      <c r="C68" s="353"/>
      <c r="D68" s="353"/>
      <c r="E68" s="353"/>
      <c r="F68" s="354"/>
      <c r="G68" s="96" t="s">
        <v>46</v>
      </c>
      <c r="H68" s="194" t="s">
        <v>47</v>
      </c>
      <c r="I68" s="364"/>
      <c r="J68" s="365"/>
      <c r="K68" s="365"/>
      <c r="L68" s="366"/>
      <c r="M68" s="94" t="str">
        <f>IF($C$77=_Gegevensblad!$B$25,"*", " ")</f>
        <v xml:space="preserve"> </v>
      </c>
      <c r="N68" s="195"/>
      <c r="O68" s="197"/>
    </row>
    <row r="69" spans="1:15" ht="12.75" customHeight="1" x14ac:dyDescent="0.25">
      <c r="A69" s="101"/>
      <c r="B69" s="194" t="s">
        <v>48</v>
      </c>
      <c r="C69" s="353"/>
      <c r="D69" s="353"/>
      <c r="E69" s="353"/>
      <c r="F69" s="354"/>
      <c r="G69" s="96" t="s">
        <v>46</v>
      </c>
      <c r="H69" s="194" t="s">
        <v>48</v>
      </c>
      <c r="I69" s="364"/>
      <c r="J69" s="365"/>
      <c r="K69" s="365"/>
      <c r="L69" s="366"/>
      <c r="M69" s="94" t="str">
        <f>IF($C$77=_Gegevensblad!$B$25,"*", " ")</f>
        <v xml:space="preserve"> </v>
      </c>
      <c r="N69" s="195"/>
      <c r="O69" s="197"/>
    </row>
    <row r="70" spans="1:15" x14ac:dyDescent="0.25">
      <c r="A70" s="101"/>
      <c r="B70" s="194" t="s">
        <v>49</v>
      </c>
      <c r="C70" s="353"/>
      <c r="D70" s="353"/>
      <c r="E70" s="353"/>
      <c r="F70" s="354"/>
      <c r="G70" s="96" t="s">
        <v>46</v>
      </c>
      <c r="H70" s="194" t="s">
        <v>49</v>
      </c>
      <c r="I70" s="364"/>
      <c r="J70" s="365"/>
      <c r="K70" s="365"/>
      <c r="L70" s="366"/>
      <c r="M70" s="94" t="str">
        <f>IF($C$77=_Gegevensblad!$B$25,"*", " ")</f>
        <v xml:space="preserve"> </v>
      </c>
      <c r="N70" s="195"/>
      <c r="O70" s="197"/>
    </row>
    <row r="71" spans="1:15" x14ac:dyDescent="0.25">
      <c r="A71" s="101"/>
      <c r="B71" s="194" t="s">
        <v>50</v>
      </c>
      <c r="C71" s="362" t="s">
        <v>25</v>
      </c>
      <c r="D71" s="362"/>
      <c r="E71" s="362"/>
      <c r="F71" s="363"/>
      <c r="G71" s="198" t="s">
        <v>46</v>
      </c>
      <c r="H71" s="194" t="s">
        <v>50</v>
      </c>
      <c r="I71" s="362" t="s">
        <v>25</v>
      </c>
      <c r="J71" s="362"/>
      <c r="K71" s="362"/>
      <c r="L71" s="363"/>
      <c r="M71" s="94" t="str">
        <f>IF($C$77=_Gegevensblad!$B$25,"*", " ")</f>
        <v xml:space="preserve"> </v>
      </c>
      <c r="N71" s="195"/>
      <c r="O71" s="197"/>
    </row>
    <row r="72" spans="1:15" ht="14.25" customHeight="1" x14ac:dyDescent="0.25">
      <c r="A72" s="101"/>
      <c r="B72" s="194" t="s">
        <v>51</v>
      </c>
      <c r="C72" s="360"/>
      <c r="D72" s="360"/>
      <c r="E72" s="360"/>
      <c r="F72" s="361"/>
      <c r="G72" s="97" t="s">
        <v>46</v>
      </c>
      <c r="H72" s="199" t="s">
        <v>52</v>
      </c>
      <c r="I72" s="357"/>
      <c r="J72" s="358"/>
      <c r="K72" s="358"/>
      <c r="L72" s="359"/>
      <c r="M72" s="94" t="str">
        <f>IF($C$77=_Gegevensblad!$B$25,"*", " ")</f>
        <v xml:space="preserve"> </v>
      </c>
      <c r="N72" s="195"/>
      <c r="O72" s="197"/>
    </row>
    <row r="73" spans="1:15" x14ac:dyDescent="0.25">
      <c r="A73" s="101"/>
      <c r="B73" s="194" t="s">
        <v>53</v>
      </c>
      <c r="C73" s="360"/>
      <c r="D73" s="360"/>
      <c r="E73" s="360"/>
      <c r="F73" s="361"/>
      <c r="G73" s="91"/>
      <c r="H73" s="200"/>
      <c r="I73" s="320"/>
      <c r="J73" s="320"/>
      <c r="K73" s="320"/>
      <c r="L73" s="85"/>
      <c r="M73" s="85"/>
      <c r="N73" s="195"/>
      <c r="O73" s="197"/>
    </row>
    <row r="74" spans="1:15" x14ac:dyDescent="0.25">
      <c r="A74" s="101"/>
      <c r="B74" s="194" t="s">
        <v>54</v>
      </c>
      <c r="C74" s="369"/>
      <c r="D74" s="370"/>
      <c r="E74" s="370"/>
      <c r="F74" s="371"/>
      <c r="G74" s="96" t="s">
        <v>46</v>
      </c>
      <c r="H74" s="201" t="s">
        <v>55</v>
      </c>
      <c r="I74" s="320"/>
      <c r="J74" s="320"/>
      <c r="K74" s="320"/>
      <c r="L74" s="85"/>
      <c r="M74" s="85"/>
      <c r="N74" s="195"/>
      <c r="O74" s="197"/>
    </row>
    <row r="75" spans="1:15" ht="6" customHeight="1" x14ac:dyDescent="0.25">
      <c r="A75" s="101"/>
      <c r="B75" s="202"/>
      <c r="C75" s="376"/>
      <c r="D75" s="377"/>
      <c r="E75" s="377"/>
      <c r="F75" s="378"/>
      <c r="G75" s="90"/>
      <c r="H75" s="196"/>
      <c r="I75" s="372"/>
      <c r="J75" s="372"/>
      <c r="K75" s="372"/>
      <c r="L75" s="196"/>
      <c r="M75" s="196"/>
      <c r="N75" s="195"/>
      <c r="O75" s="197"/>
    </row>
    <row r="76" spans="1:15" ht="6" customHeight="1" x14ac:dyDescent="0.25">
      <c r="A76" s="101"/>
      <c r="B76" s="320"/>
      <c r="C76" s="320"/>
      <c r="D76" s="320"/>
      <c r="E76" s="320"/>
      <c r="F76" s="320"/>
      <c r="G76" s="320"/>
      <c r="H76" s="159"/>
      <c r="I76" s="159"/>
      <c r="J76" s="159"/>
      <c r="K76" s="159"/>
      <c r="L76" s="159"/>
      <c r="M76" s="159"/>
      <c r="N76" s="101"/>
    </row>
    <row r="77" spans="1:15" ht="12.75" customHeight="1" x14ac:dyDescent="0.25">
      <c r="A77" s="101"/>
      <c r="B77" s="203" t="s">
        <v>56</v>
      </c>
      <c r="C77" s="368" t="s">
        <v>25</v>
      </c>
      <c r="D77" s="368"/>
      <c r="E77" s="204"/>
      <c r="F77" s="204"/>
      <c r="G77" s="252" t="s">
        <v>57</v>
      </c>
      <c r="H77" s="373" t="str">
        <f>IF(C77="Ja","Afwijkend afleveradres, voer bovenstaand het afleveradres in.",IF(C77="Nee","Het factuuradres is het afleveradres.", ""))</f>
        <v/>
      </c>
      <c r="I77" s="373"/>
      <c r="J77" s="373"/>
      <c r="K77" s="373"/>
      <c r="L77" s="373"/>
      <c r="M77" s="205"/>
      <c r="N77" s="195"/>
      <c r="O77" s="197"/>
    </row>
    <row r="78" spans="1:15" ht="7.5" customHeight="1" x14ac:dyDescent="0.25">
      <c r="A78" s="101"/>
      <c r="B78" s="203"/>
      <c r="C78" s="251"/>
      <c r="D78" s="92"/>
      <c r="E78" s="92"/>
      <c r="F78" s="92"/>
      <c r="G78" s="100"/>
      <c r="H78" s="380" t="str">
        <f>IF(C79="bezorgen","Afwijkend afleveradres? Voer bovenstaand het afleveradres in. Bij bezorgen hoeft u links geen locatie te selecteren.",IF(C79="Afhalen","Kies links uw gewenste afhaallocatie. U ontvangt van Glasdiscount.nl het adres van de afhaallocatie en de afhaaldatum. Afhalen van glastoebehoren is niet mogelijk.", ""))</f>
        <v>Afwijkend afleveradres? Voer bovenstaand het afleveradres in. Bij bezorgen hoeft u links geen locatie te selecteren.</v>
      </c>
      <c r="I78" s="380"/>
      <c r="J78" s="380"/>
      <c r="K78" s="380"/>
      <c r="L78" s="380"/>
      <c r="M78" s="196"/>
      <c r="N78" s="195"/>
      <c r="O78" s="197"/>
    </row>
    <row r="79" spans="1:15" ht="12.75" customHeight="1" x14ac:dyDescent="0.25">
      <c r="A79" s="101"/>
      <c r="B79" s="203" t="s">
        <v>58</v>
      </c>
      <c r="C79" s="374" t="s">
        <v>193</v>
      </c>
      <c r="D79" s="375"/>
      <c r="E79" s="375" t="s">
        <v>59</v>
      </c>
      <c r="F79" s="379"/>
      <c r="G79" s="252" t="s">
        <v>57</v>
      </c>
      <c r="H79" s="380"/>
      <c r="I79" s="380"/>
      <c r="J79" s="380"/>
      <c r="K79" s="380"/>
      <c r="L79" s="380"/>
      <c r="M79" s="206"/>
      <c r="N79" s="195"/>
      <c r="O79" s="197"/>
    </row>
    <row r="80" spans="1:15" ht="7.5" customHeight="1" x14ac:dyDescent="0.25">
      <c r="A80" s="101"/>
      <c r="B80" s="203"/>
      <c r="C80" s="203"/>
      <c r="D80" s="203"/>
      <c r="E80" s="203"/>
      <c r="F80" s="203"/>
      <c r="G80" s="172"/>
      <c r="H80" s="380"/>
      <c r="I80" s="380"/>
      <c r="J80" s="380"/>
      <c r="K80" s="380"/>
      <c r="L80" s="380"/>
      <c r="M80" s="206"/>
      <c r="N80" s="195"/>
      <c r="O80" s="197"/>
    </row>
    <row r="81" spans="1:168" ht="12" customHeight="1" x14ac:dyDescent="0.25">
      <c r="A81" s="101"/>
      <c r="B81" s="159"/>
      <c r="C81" s="207"/>
      <c r="D81" s="207"/>
      <c r="E81" s="207"/>
      <c r="F81" s="207"/>
      <c r="G81" s="207"/>
      <c r="H81" s="248"/>
      <c r="I81" s="248"/>
      <c r="J81" s="248"/>
      <c r="K81" s="248"/>
      <c r="L81" s="248"/>
      <c r="M81" s="196"/>
      <c r="N81" s="195"/>
      <c r="O81" s="197"/>
    </row>
    <row r="82" spans="1:168" ht="18" customHeight="1" x14ac:dyDescent="0.25">
      <c r="A82" s="101"/>
      <c r="B82" s="326" t="s">
        <v>60</v>
      </c>
      <c r="C82" s="327"/>
      <c r="D82" s="327"/>
      <c r="E82" s="327"/>
      <c r="F82" s="327"/>
      <c r="G82" s="327"/>
      <c r="H82" s="327"/>
      <c r="I82" s="327"/>
      <c r="J82" s="327"/>
      <c r="K82" s="327"/>
      <c r="L82" s="328"/>
      <c r="M82" s="118"/>
      <c r="N82" s="101"/>
    </row>
    <row r="83" spans="1:168" ht="6" customHeight="1" x14ac:dyDescent="0.25">
      <c r="A83" s="101"/>
      <c r="B83" s="320"/>
      <c r="C83" s="320"/>
      <c r="D83" s="320"/>
      <c r="E83" s="320"/>
      <c r="F83" s="320"/>
      <c r="G83" s="320"/>
      <c r="H83" s="159"/>
      <c r="I83" s="159"/>
      <c r="J83" s="159"/>
      <c r="K83" s="159"/>
      <c r="L83" s="159"/>
      <c r="M83" s="159"/>
      <c r="N83" s="101"/>
    </row>
    <row r="84" spans="1:168" ht="6" customHeight="1" x14ac:dyDescent="0.25">
      <c r="A84" s="101"/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300"/>
      <c r="M84" s="196"/>
      <c r="N84" s="208"/>
      <c r="O84" s="209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  <c r="CT84" s="144"/>
      <c r="CU84" s="144"/>
      <c r="CV84" s="144"/>
      <c r="CW84" s="144"/>
      <c r="CX84" s="144"/>
      <c r="CY84" s="144"/>
      <c r="CZ84" s="144"/>
      <c r="DA84" s="144"/>
      <c r="DB84" s="144"/>
      <c r="DC84" s="144"/>
      <c r="DD84" s="144"/>
      <c r="DE84" s="144"/>
      <c r="DF84" s="144"/>
      <c r="DG84" s="144"/>
      <c r="DH84" s="144"/>
      <c r="DI84" s="144"/>
      <c r="DJ84" s="144"/>
      <c r="DK84" s="144"/>
      <c r="DL84" s="144"/>
      <c r="DM84" s="144"/>
      <c r="DN84" s="144"/>
      <c r="DO84" s="144"/>
      <c r="DP84" s="144"/>
      <c r="DQ84" s="144"/>
      <c r="DR84" s="144"/>
      <c r="DS84" s="144"/>
      <c r="DT84" s="144"/>
      <c r="DU84" s="144"/>
      <c r="DV84" s="144"/>
      <c r="DW84" s="144"/>
      <c r="DX84" s="144"/>
      <c r="DY84" s="144"/>
      <c r="DZ84" s="144"/>
      <c r="EA84" s="144"/>
      <c r="EB84" s="144"/>
      <c r="EC84" s="144"/>
      <c r="ED84" s="144"/>
      <c r="EE84" s="144"/>
      <c r="EF84" s="144"/>
      <c r="EG84" s="144"/>
      <c r="EH84" s="144"/>
      <c r="EI84" s="144"/>
      <c r="EJ84" s="144"/>
      <c r="EK84" s="144"/>
      <c r="EL84" s="144"/>
      <c r="EM84" s="144"/>
      <c r="EN84" s="144"/>
      <c r="EO84" s="144"/>
      <c r="EP84" s="144"/>
      <c r="EQ84" s="144"/>
      <c r="ER84" s="144"/>
      <c r="ES84" s="144"/>
      <c r="ET84" s="144"/>
      <c r="EU84" s="144"/>
      <c r="EV84" s="144"/>
      <c r="EW84" s="144"/>
      <c r="EX84" s="144"/>
      <c r="EY84" s="144"/>
      <c r="EZ84" s="144"/>
      <c r="FA84" s="144"/>
      <c r="FB84" s="144"/>
      <c r="FC84" s="144"/>
      <c r="FD84" s="144"/>
      <c r="FE84" s="144"/>
      <c r="FF84" s="144"/>
      <c r="FG84" s="144"/>
      <c r="FH84" s="144"/>
      <c r="FI84" s="144"/>
      <c r="FJ84" s="144"/>
      <c r="FK84" s="144"/>
      <c r="FL84" s="144"/>
    </row>
    <row r="85" spans="1:168" x14ac:dyDescent="0.25">
      <c r="A85" s="101"/>
      <c r="B85" s="301"/>
      <c r="C85" s="302"/>
      <c r="D85" s="302"/>
      <c r="E85" s="302"/>
      <c r="F85" s="302"/>
      <c r="G85" s="302"/>
      <c r="H85" s="302"/>
      <c r="I85" s="302"/>
      <c r="J85" s="302"/>
      <c r="K85" s="302"/>
      <c r="L85" s="303"/>
      <c r="M85" s="210"/>
      <c r="N85" s="208"/>
      <c r="O85" s="209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  <c r="CW85" s="144"/>
      <c r="CX85" s="144"/>
      <c r="CY85" s="144"/>
      <c r="CZ85" s="144"/>
      <c r="DA85" s="144"/>
      <c r="DB85" s="144"/>
      <c r="DC85" s="144"/>
      <c r="DD85" s="144"/>
      <c r="DE85" s="144"/>
      <c r="DF85" s="144"/>
      <c r="DG85" s="144"/>
      <c r="DH85" s="144"/>
      <c r="DI85" s="144"/>
      <c r="DJ85" s="144"/>
      <c r="DK85" s="144"/>
      <c r="DL85" s="144"/>
      <c r="DM85" s="144"/>
      <c r="DN85" s="144"/>
      <c r="DO85" s="144"/>
      <c r="DP85" s="144"/>
      <c r="DQ85" s="144"/>
      <c r="DR85" s="144"/>
      <c r="DS85" s="144"/>
      <c r="DT85" s="144"/>
      <c r="DU85" s="144"/>
      <c r="DV85" s="144"/>
      <c r="DW85" s="144"/>
      <c r="DX85" s="144"/>
      <c r="DY85" s="144"/>
      <c r="DZ85" s="144"/>
      <c r="EA85" s="144"/>
      <c r="EB85" s="144"/>
      <c r="EC85" s="144"/>
      <c r="ED85" s="144"/>
      <c r="EE85" s="144"/>
      <c r="EF85" s="144"/>
      <c r="EG85" s="144"/>
      <c r="EH85" s="144"/>
      <c r="EI85" s="144"/>
      <c r="EJ85" s="144"/>
      <c r="EK85" s="144"/>
      <c r="EL85" s="144"/>
      <c r="EM85" s="144"/>
      <c r="EN85" s="144"/>
      <c r="EO85" s="144"/>
      <c r="EP85" s="144"/>
      <c r="EQ85" s="144"/>
      <c r="ER85" s="144"/>
      <c r="ES85" s="144"/>
      <c r="ET85" s="144"/>
      <c r="EU85" s="144"/>
      <c r="EV85" s="144"/>
      <c r="EW85" s="144"/>
      <c r="EX85" s="144"/>
      <c r="EY85" s="144"/>
      <c r="EZ85" s="144"/>
      <c r="FA85" s="144"/>
      <c r="FB85" s="144"/>
      <c r="FC85" s="144"/>
      <c r="FD85" s="144"/>
      <c r="FE85" s="144"/>
      <c r="FF85" s="144"/>
      <c r="FG85" s="144"/>
      <c r="FH85" s="144"/>
      <c r="FI85" s="144"/>
      <c r="FJ85" s="144"/>
      <c r="FK85" s="144"/>
      <c r="FL85" s="144"/>
    </row>
    <row r="86" spans="1:168" x14ac:dyDescent="0.25">
      <c r="A86" s="101"/>
      <c r="B86" s="301"/>
      <c r="C86" s="302"/>
      <c r="D86" s="302"/>
      <c r="E86" s="302"/>
      <c r="F86" s="302"/>
      <c r="G86" s="302"/>
      <c r="H86" s="302"/>
      <c r="I86" s="302"/>
      <c r="J86" s="302"/>
      <c r="K86" s="302"/>
      <c r="L86" s="303"/>
      <c r="M86" s="210"/>
      <c r="N86" s="208"/>
      <c r="O86" s="209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144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44"/>
      <c r="DR86" s="144"/>
      <c r="DS86" s="144"/>
      <c r="DT86" s="144"/>
      <c r="DU86" s="144"/>
      <c r="DV86" s="144"/>
      <c r="DW86" s="144"/>
      <c r="DX86" s="144"/>
      <c r="DY86" s="144"/>
      <c r="DZ86" s="144"/>
      <c r="EA86" s="144"/>
      <c r="EB86" s="144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  <c r="FD86" s="144"/>
      <c r="FE86" s="144"/>
      <c r="FF86" s="144"/>
      <c r="FG86" s="144"/>
      <c r="FH86" s="144"/>
      <c r="FI86" s="144"/>
      <c r="FJ86" s="144"/>
      <c r="FK86" s="144"/>
      <c r="FL86" s="144"/>
    </row>
    <row r="87" spans="1:168" x14ac:dyDescent="0.25">
      <c r="A87" s="101"/>
      <c r="B87" s="301"/>
      <c r="C87" s="302"/>
      <c r="D87" s="302"/>
      <c r="E87" s="302"/>
      <c r="F87" s="302"/>
      <c r="G87" s="302"/>
      <c r="H87" s="302"/>
      <c r="I87" s="302"/>
      <c r="J87" s="302"/>
      <c r="K87" s="302"/>
      <c r="L87" s="303"/>
      <c r="M87" s="210"/>
      <c r="N87" s="208"/>
      <c r="O87" s="209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  <c r="CW87" s="144"/>
      <c r="CX87" s="144"/>
      <c r="CY87" s="144"/>
      <c r="CZ87" s="144"/>
      <c r="DA87" s="144"/>
      <c r="DB87" s="144"/>
      <c r="DC87" s="144"/>
      <c r="DD87" s="144"/>
      <c r="DE87" s="144"/>
      <c r="DF87" s="144"/>
      <c r="DG87" s="144"/>
      <c r="DH87" s="144"/>
      <c r="DI87" s="144"/>
      <c r="DJ87" s="144"/>
      <c r="DK87" s="144"/>
      <c r="DL87" s="144"/>
      <c r="DM87" s="144"/>
      <c r="DN87" s="144"/>
      <c r="DO87" s="144"/>
      <c r="DP87" s="144"/>
      <c r="DQ87" s="144"/>
      <c r="DR87" s="144"/>
      <c r="DS87" s="144"/>
      <c r="DT87" s="144"/>
      <c r="DU87" s="144"/>
      <c r="DV87" s="144"/>
      <c r="DW87" s="144"/>
      <c r="DX87" s="144"/>
      <c r="DY87" s="144"/>
      <c r="DZ87" s="144"/>
      <c r="EA87" s="144"/>
      <c r="EB87" s="144"/>
      <c r="EC87" s="144"/>
      <c r="ED87" s="144"/>
      <c r="EE87" s="144"/>
      <c r="EF87" s="144"/>
      <c r="EG87" s="144"/>
      <c r="EH87" s="144"/>
      <c r="EI87" s="144"/>
      <c r="EJ87" s="144"/>
      <c r="EK87" s="144"/>
      <c r="EL87" s="144"/>
      <c r="EM87" s="144"/>
      <c r="EN87" s="144"/>
      <c r="EO87" s="144"/>
      <c r="EP87" s="144"/>
      <c r="EQ87" s="144"/>
      <c r="ER87" s="144"/>
      <c r="ES87" s="144"/>
      <c r="ET87" s="144"/>
      <c r="EU87" s="144"/>
      <c r="EV87" s="144"/>
      <c r="EW87" s="144"/>
      <c r="EX87" s="144"/>
      <c r="EY87" s="144"/>
      <c r="EZ87" s="144"/>
      <c r="FA87" s="144"/>
      <c r="FB87" s="144"/>
      <c r="FC87" s="144"/>
      <c r="FD87" s="144"/>
      <c r="FE87" s="144"/>
      <c r="FF87" s="144"/>
      <c r="FG87" s="144"/>
      <c r="FH87" s="144"/>
      <c r="FI87" s="144"/>
      <c r="FJ87" s="144"/>
      <c r="FK87" s="144"/>
      <c r="FL87" s="144"/>
    </row>
    <row r="88" spans="1:168" x14ac:dyDescent="0.25">
      <c r="A88" s="101"/>
      <c r="B88" s="301"/>
      <c r="C88" s="302"/>
      <c r="D88" s="302"/>
      <c r="E88" s="302"/>
      <c r="F88" s="302"/>
      <c r="G88" s="302"/>
      <c r="H88" s="302"/>
      <c r="I88" s="302"/>
      <c r="J88" s="302"/>
      <c r="K88" s="302"/>
      <c r="L88" s="303"/>
      <c r="M88" s="210"/>
      <c r="N88" s="208"/>
      <c r="O88" s="209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  <c r="FD88" s="144"/>
      <c r="FE88" s="144"/>
      <c r="FF88" s="144"/>
      <c r="FG88" s="144"/>
      <c r="FH88" s="144"/>
      <c r="FI88" s="144"/>
      <c r="FJ88" s="144"/>
      <c r="FK88" s="144"/>
      <c r="FL88" s="144"/>
    </row>
    <row r="89" spans="1:168" x14ac:dyDescent="0.25">
      <c r="A89" s="101"/>
      <c r="B89" s="301"/>
      <c r="C89" s="302"/>
      <c r="D89" s="302"/>
      <c r="E89" s="302"/>
      <c r="F89" s="302"/>
      <c r="G89" s="302"/>
      <c r="H89" s="302"/>
      <c r="I89" s="302"/>
      <c r="J89" s="302"/>
      <c r="K89" s="302"/>
      <c r="L89" s="303"/>
      <c r="M89" s="210"/>
      <c r="N89" s="208"/>
      <c r="O89" s="209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  <c r="CT89" s="144"/>
      <c r="CU89" s="144"/>
      <c r="CV89" s="144"/>
      <c r="CW89" s="144"/>
      <c r="CX89" s="144"/>
      <c r="CY89" s="144"/>
      <c r="CZ89" s="144"/>
      <c r="DA89" s="144"/>
      <c r="DB89" s="144"/>
      <c r="DC89" s="144"/>
      <c r="DD89" s="144"/>
      <c r="DE89" s="144"/>
      <c r="DF89" s="144"/>
      <c r="DG89" s="144"/>
      <c r="DH89" s="144"/>
      <c r="DI89" s="144"/>
      <c r="DJ89" s="144"/>
      <c r="DK89" s="144"/>
      <c r="DL89" s="144"/>
      <c r="DM89" s="144"/>
      <c r="DN89" s="144"/>
      <c r="DO89" s="144"/>
      <c r="DP89" s="144"/>
      <c r="DQ89" s="144"/>
      <c r="DR89" s="144"/>
      <c r="DS89" s="144"/>
      <c r="DT89" s="144"/>
      <c r="DU89" s="144"/>
      <c r="DV89" s="144"/>
      <c r="DW89" s="144"/>
      <c r="DX89" s="144"/>
      <c r="DY89" s="144"/>
      <c r="DZ89" s="144"/>
      <c r="EA89" s="144"/>
      <c r="EB89" s="144"/>
      <c r="EC89" s="144"/>
      <c r="ED89" s="144"/>
      <c r="EE89" s="144"/>
      <c r="EF89" s="144"/>
      <c r="EG89" s="144"/>
      <c r="EH89" s="144"/>
      <c r="EI89" s="144"/>
      <c r="EJ89" s="144"/>
      <c r="EK89" s="144"/>
      <c r="EL89" s="144"/>
      <c r="EM89" s="144"/>
      <c r="EN89" s="144"/>
      <c r="EO89" s="144"/>
      <c r="EP89" s="144"/>
      <c r="EQ89" s="144"/>
      <c r="ER89" s="144"/>
      <c r="ES89" s="144"/>
      <c r="ET89" s="144"/>
      <c r="EU89" s="144"/>
      <c r="EV89" s="144"/>
      <c r="EW89" s="144"/>
      <c r="EX89" s="144"/>
      <c r="EY89" s="144"/>
      <c r="EZ89" s="144"/>
      <c r="FA89" s="144"/>
      <c r="FB89" s="144"/>
      <c r="FC89" s="144"/>
      <c r="FD89" s="144"/>
      <c r="FE89" s="144"/>
      <c r="FF89" s="144"/>
      <c r="FG89" s="144"/>
      <c r="FH89" s="144"/>
      <c r="FI89" s="144"/>
      <c r="FJ89" s="144"/>
      <c r="FK89" s="144"/>
      <c r="FL89" s="144"/>
    </row>
    <row r="90" spans="1:168" x14ac:dyDescent="0.25">
      <c r="A90" s="101"/>
      <c r="B90" s="301"/>
      <c r="C90" s="302"/>
      <c r="D90" s="302"/>
      <c r="E90" s="302"/>
      <c r="F90" s="302"/>
      <c r="G90" s="302"/>
      <c r="H90" s="302"/>
      <c r="I90" s="302"/>
      <c r="J90" s="302"/>
      <c r="K90" s="302"/>
      <c r="L90" s="303"/>
      <c r="M90" s="211"/>
      <c r="N90" s="208"/>
      <c r="O90" s="209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  <c r="CW90" s="144"/>
      <c r="CX90" s="144"/>
      <c r="CY90" s="144"/>
      <c r="CZ90" s="144"/>
      <c r="DA90" s="144"/>
      <c r="DB90" s="144"/>
      <c r="DC90" s="144"/>
      <c r="DD90" s="144"/>
      <c r="DE90" s="144"/>
      <c r="DF90" s="144"/>
      <c r="DG90" s="144"/>
      <c r="DH90" s="144"/>
      <c r="DI90" s="144"/>
      <c r="DJ90" s="144"/>
      <c r="DK90" s="144"/>
      <c r="DL90" s="144"/>
      <c r="DM90" s="144"/>
      <c r="DN90" s="144"/>
      <c r="DO90" s="144"/>
      <c r="DP90" s="144"/>
      <c r="DQ90" s="144"/>
      <c r="DR90" s="144"/>
      <c r="DS90" s="144"/>
      <c r="DT90" s="144"/>
      <c r="DU90" s="144"/>
      <c r="DV90" s="144"/>
      <c r="DW90" s="144"/>
      <c r="DX90" s="144"/>
      <c r="DY90" s="144"/>
      <c r="DZ90" s="144"/>
      <c r="EA90" s="144"/>
      <c r="EB90" s="144"/>
      <c r="EC90" s="144"/>
      <c r="ED90" s="144"/>
      <c r="EE90" s="144"/>
      <c r="EF90" s="144"/>
      <c r="EG90" s="144"/>
      <c r="EH90" s="144"/>
      <c r="EI90" s="144"/>
      <c r="EJ90" s="144"/>
      <c r="EK90" s="144"/>
      <c r="EL90" s="144"/>
      <c r="EM90" s="144"/>
      <c r="EN90" s="144"/>
      <c r="EO90" s="144"/>
      <c r="EP90" s="144"/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144"/>
      <c r="FB90" s="144"/>
      <c r="FC90" s="144"/>
      <c r="FD90" s="144"/>
      <c r="FE90" s="144"/>
      <c r="FF90" s="144"/>
      <c r="FG90" s="144"/>
      <c r="FH90" s="144"/>
      <c r="FI90" s="144"/>
      <c r="FJ90" s="144"/>
      <c r="FK90" s="144"/>
      <c r="FL90" s="144"/>
    </row>
    <row r="91" spans="1:168" ht="6" customHeight="1" x14ac:dyDescent="0.25">
      <c r="A91" s="101"/>
      <c r="B91" s="304"/>
      <c r="C91" s="305"/>
      <c r="D91" s="305"/>
      <c r="E91" s="305"/>
      <c r="F91" s="305"/>
      <c r="G91" s="305"/>
      <c r="H91" s="305"/>
      <c r="I91" s="305"/>
      <c r="J91" s="305"/>
      <c r="K91" s="305"/>
      <c r="L91" s="306"/>
      <c r="M91" s="212"/>
      <c r="N91" s="208"/>
      <c r="O91" s="209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  <c r="CW91" s="144"/>
      <c r="CX91" s="144"/>
      <c r="CY91" s="144"/>
      <c r="CZ91" s="144"/>
      <c r="DA91" s="144"/>
      <c r="DB91" s="144"/>
      <c r="DC91" s="144"/>
      <c r="DD91" s="144"/>
      <c r="DE91" s="144"/>
      <c r="DF91" s="144"/>
      <c r="DG91" s="144"/>
      <c r="DH91" s="144"/>
      <c r="DI91" s="144"/>
      <c r="DJ91" s="144"/>
      <c r="DK91" s="144"/>
      <c r="DL91" s="144"/>
      <c r="DM91" s="144"/>
      <c r="DN91" s="144"/>
      <c r="DO91" s="144"/>
      <c r="DP91" s="144"/>
      <c r="DQ91" s="144"/>
      <c r="DR91" s="144"/>
      <c r="DS91" s="144"/>
      <c r="DT91" s="144"/>
      <c r="DU91" s="144"/>
      <c r="DV91" s="144"/>
      <c r="DW91" s="144"/>
      <c r="DX91" s="144"/>
      <c r="DY91" s="144"/>
      <c r="DZ91" s="144"/>
      <c r="EA91" s="144"/>
      <c r="EB91" s="144"/>
      <c r="EC91" s="144"/>
      <c r="ED91" s="144"/>
      <c r="EE91" s="144"/>
      <c r="EF91" s="144"/>
      <c r="EG91" s="144"/>
      <c r="EH91" s="144"/>
      <c r="EI91" s="144"/>
      <c r="EJ91" s="144"/>
      <c r="EK91" s="144"/>
      <c r="EL91" s="144"/>
      <c r="EM91" s="144"/>
      <c r="EN91" s="144"/>
      <c r="EO91" s="144"/>
      <c r="EP91" s="144"/>
      <c r="EQ91" s="144"/>
      <c r="ER91" s="144"/>
      <c r="ES91" s="144"/>
      <c r="ET91" s="144"/>
      <c r="EU91" s="144"/>
      <c r="EV91" s="144"/>
      <c r="EW91" s="144"/>
      <c r="EX91" s="144"/>
      <c r="EY91" s="144"/>
      <c r="EZ91" s="144"/>
      <c r="FA91" s="144"/>
      <c r="FB91" s="144"/>
      <c r="FC91" s="144"/>
      <c r="FD91" s="144"/>
      <c r="FE91" s="144"/>
      <c r="FF91" s="144"/>
      <c r="FG91" s="144"/>
      <c r="FH91" s="144"/>
      <c r="FI91" s="144"/>
      <c r="FJ91" s="144"/>
      <c r="FK91" s="144"/>
      <c r="FL91" s="144"/>
    </row>
    <row r="92" spans="1:168" ht="6" customHeight="1" x14ac:dyDescent="0.25">
      <c r="A92" s="101"/>
      <c r="B92" s="120"/>
      <c r="C92" s="213"/>
      <c r="D92" s="213"/>
      <c r="E92" s="213"/>
      <c r="F92" s="213"/>
      <c r="G92" s="213"/>
      <c r="H92" s="212"/>
      <c r="I92" s="212"/>
      <c r="J92" s="212"/>
      <c r="K92" s="212"/>
      <c r="L92" s="212"/>
      <c r="M92" s="212"/>
      <c r="N92" s="208"/>
      <c r="O92" s="209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  <c r="CT92" s="144"/>
      <c r="CU92" s="144"/>
      <c r="CV92" s="144"/>
      <c r="CW92" s="144"/>
      <c r="CX92" s="144"/>
      <c r="CY92" s="144"/>
      <c r="CZ92" s="144"/>
      <c r="DA92" s="144"/>
      <c r="DB92" s="144"/>
      <c r="DC92" s="144"/>
      <c r="DD92" s="144"/>
      <c r="DE92" s="144"/>
      <c r="DF92" s="144"/>
      <c r="DG92" s="144"/>
      <c r="DH92" s="144"/>
      <c r="DI92" s="144"/>
      <c r="DJ92" s="144"/>
      <c r="DK92" s="144"/>
      <c r="DL92" s="144"/>
      <c r="DM92" s="144"/>
      <c r="DN92" s="144"/>
      <c r="DO92" s="144"/>
      <c r="DP92" s="144"/>
      <c r="DQ92" s="144"/>
      <c r="DR92" s="144"/>
      <c r="DS92" s="144"/>
      <c r="DT92" s="144"/>
      <c r="DU92" s="144"/>
      <c r="DV92" s="144"/>
      <c r="DW92" s="144"/>
      <c r="DX92" s="144"/>
      <c r="DY92" s="144"/>
      <c r="DZ92" s="144"/>
      <c r="EA92" s="144"/>
      <c r="EB92" s="144"/>
      <c r="EC92" s="144"/>
      <c r="ED92" s="144"/>
      <c r="EE92" s="144"/>
      <c r="EF92" s="144"/>
      <c r="EG92" s="144"/>
      <c r="EH92" s="144"/>
      <c r="EI92" s="144"/>
      <c r="EJ92" s="144"/>
      <c r="EK92" s="144"/>
      <c r="EL92" s="144"/>
      <c r="EM92" s="144"/>
      <c r="EN92" s="144"/>
      <c r="EO92" s="144"/>
      <c r="EP92" s="144"/>
      <c r="EQ92" s="144"/>
      <c r="ER92" s="144"/>
      <c r="ES92" s="144"/>
      <c r="ET92" s="144"/>
      <c r="EU92" s="144"/>
      <c r="EV92" s="144"/>
      <c r="EW92" s="144"/>
      <c r="EX92" s="144"/>
      <c r="EY92" s="144"/>
      <c r="EZ92" s="144"/>
      <c r="FA92" s="144"/>
      <c r="FB92" s="144"/>
      <c r="FC92" s="144"/>
      <c r="FD92" s="144"/>
      <c r="FE92" s="144"/>
      <c r="FF92" s="144"/>
      <c r="FG92" s="144"/>
      <c r="FH92" s="144"/>
      <c r="FI92" s="144"/>
      <c r="FJ92" s="144"/>
      <c r="FK92" s="144"/>
      <c r="FL92" s="144"/>
    </row>
    <row r="93" spans="1:168" ht="7.5" customHeight="1" x14ac:dyDescent="0.25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1"/>
    </row>
    <row r="95" spans="1:168" ht="13.8" x14ac:dyDescent="0.3">
      <c r="B95" s="297" t="str">
        <f>'© Copyright'!A1</f>
        <v>© 2004 - 2019 Glasdiscount.nl</v>
      </c>
      <c r="C95" s="297"/>
      <c r="D95" s="297"/>
      <c r="E95" s="297"/>
      <c r="F95" s="297"/>
      <c r="G95" s="297"/>
      <c r="H95" s="297"/>
      <c r="I95" s="297"/>
      <c r="J95" s="297"/>
      <c r="K95" s="297"/>
      <c r="L95" s="297"/>
    </row>
    <row r="96" spans="1:168" ht="13.8" x14ac:dyDescent="0.3">
      <c r="B96" s="297" t="str">
        <f>'© Copyright'!A3</f>
        <v>Deze spreadsheet is eigendom van Glasdiscount.nl en mag uitsluitend gebruikt worden door (potentiële) relaties en klanten van Glasdiscount.nl</v>
      </c>
      <c r="C96" s="297"/>
      <c r="D96" s="297"/>
      <c r="E96" s="297"/>
      <c r="F96" s="297"/>
      <c r="G96" s="297"/>
      <c r="H96" s="297"/>
      <c r="I96" s="297"/>
      <c r="J96" s="297"/>
      <c r="K96" s="297"/>
      <c r="L96" s="297"/>
    </row>
    <row r="97" spans="2:12" ht="13.8" x14ac:dyDescent="0.3">
      <c r="B97" s="297" t="str">
        <f>'© Copyright'!A4</f>
        <v>Op geen enkele wijze mag dit programma gekopieerd of hergebruikt worden tenzij schriftelijke toestemming is verleend door Glasdiscount.nl</v>
      </c>
      <c r="C97" s="297"/>
      <c r="D97" s="297"/>
      <c r="E97" s="297"/>
      <c r="F97" s="297"/>
      <c r="G97" s="297"/>
      <c r="H97" s="297"/>
      <c r="I97" s="297"/>
      <c r="J97" s="297"/>
      <c r="K97" s="297"/>
      <c r="L97" s="297"/>
    </row>
    <row r="98" spans="2:12" x14ac:dyDescent="0.25">
      <c r="B98" s="214"/>
    </row>
    <row r="99" spans="2:12" x14ac:dyDescent="0.25">
      <c r="B99" s="214"/>
    </row>
  </sheetData>
  <sheetProtection password="E729" sheet="1" objects="1" scenarios="1" selectLockedCells="1"/>
  <mergeCells count="81">
    <mergeCell ref="C5:F5"/>
    <mergeCell ref="B37:D37"/>
    <mergeCell ref="B36:D36"/>
    <mergeCell ref="K59:L59"/>
    <mergeCell ref="B86:L86"/>
    <mergeCell ref="C66:F66"/>
    <mergeCell ref="B65:F65"/>
    <mergeCell ref="I66:L66"/>
    <mergeCell ref="I67:L67"/>
    <mergeCell ref="I68:L68"/>
    <mergeCell ref="I69:L69"/>
    <mergeCell ref="H65:L65"/>
    <mergeCell ref="B39:L39"/>
    <mergeCell ref="B40:G40"/>
    <mergeCell ref="C68:F68"/>
    <mergeCell ref="C70:F70"/>
    <mergeCell ref="B83:G83"/>
    <mergeCell ref="B82:L82"/>
    <mergeCell ref="B76:G76"/>
    <mergeCell ref="I71:L71"/>
    <mergeCell ref="C77:D77"/>
    <mergeCell ref="C74:F74"/>
    <mergeCell ref="C73:F73"/>
    <mergeCell ref="I73:K73"/>
    <mergeCell ref="I74:K74"/>
    <mergeCell ref="I75:K75"/>
    <mergeCell ref="H77:L77"/>
    <mergeCell ref="C79:D79"/>
    <mergeCell ref="C75:F75"/>
    <mergeCell ref="E79:F79"/>
    <mergeCell ref="H78:L80"/>
    <mergeCell ref="C67:F67"/>
    <mergeCell ref="K58:L58"/>
    <mergeCell ref="I72:L72"/>
    <mergeCell ref="C69:F69"/>
    <mergeCell ref="C72:F72"/>
    <mergeCell ref="C71:F71"/>
    <mergeCell ref="B63:L63"/>
    <mergeCell ref="B64:G64"/>
    <mergeCell ref="I70:L70"/>
    <mergeCell ref="K61:L61"/>
    <mergeCell ref="B57:F61"/>
    <mergeCell ref="B47:D47"/>
    <mergeCell ref="B48:D48"/>
    <mergeCell ref="B42:F42"/>
    <mergeCell ref="H42:L42"/>
    <mergeCell ref="B49:D49"/>
    <mergeCell ref="E49:F49"/>
    <mergeCell ref="H47:K47"/>
    <mergeCell ref="B46:D46"/>
    <mergeCell ref="K53:L53"/>
    <mergeCell ref="K51:L51"/>
    <mergeCell ref="H46:K46"/>
    <mergeCell ref="H48:K48"/>
    <mergeCell ref="H49:K49"/>
    <mergeCell ref="B2:L2"/>
    <mergeCell ref="B45:D45"/>
    <mergeCell ref="K54:L54"/>
    <mergeCell ref="K56:L56"/>
    <mergeCell ref="H44:K44"/>
    <mergeCell ref="B44:D44"/>
    <mergeCell ref="H41:L41"/>
    <mergeCell ref="G4:L5"/>
    <mergeCell ref="B11:G11"/>
    <mergeCell ref="C4:D4"/>
    <mergeCell ref="B10:L10"/>
    <mergeCell ref="B8:L8"/>
    <mergeCell ref="H13:I13"/>
    <mergeCell ref="H12:I12"/>
    <mergeCell ref="K37:L37"/>
    <mergeCell ref="B41:G41"/>
    <mergeCell ref="B97:L97"/>
    <mergeCell ref="B84:L84"/>
    <mergeCell ref="B85:L85"/>
    <mergeCell ref="B90:L90"/>
    <mergeCell ref="B91:L91"/>
    <mergeCell ref="B88:L88"/>
    <mergeCell ref="B89:L89"/>
    <mergeCell ref="B95:L95"/>
    <mergeCell ref="B96:L96"/>
    <mergeCell ref="B87:L87"/>
  </mergeCells>
  <phoneticPr fontId="2" type="noConversion"/>
  <conditionalFormatting sqref="K59:L59">
    <cfRule type="expression" dxfId="3" priority="2">
      <formula>O59&gt;0</formula>
    </cfRule>
  </conditionalFormatting>
  <dataValidations xWindow="466" yWindow="856" count="20">
    <dataValidation allowBlank="1" showInputMessage="1" showErrorMessage="1" promptTitle="Beglazingsmaterialen bestellen" prompt="Selecteer NEE indien u de beglazingsmaterialen niet wilt bestellen." sqref="G46:G50 G77 G79:G80"/>
    <dataValidation allowBlank="1" showErrorMessage="1" promptTitle="Afwijkende RAL kleur" prompt="Indien u een niet standaard RAL-kleur wenst dient u die hier in te voeren" sqref="I35"/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35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35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35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35">
      <formula1>0</formula1>
      <formula2>2700</formula2>
    </dataValidation>
    <dataValidation type="list" showInputMessage="1" showErrorMessage="1" sqref="E49:F49">
      <formula1>ja_nee_selectie</formula1>
    </dataValidation>
    <dataValidation type="list" allowBlank="1" showInputMessage="1" showErrorMessage="1" sqref="C71:F71 I71:L71">
      <formula1>adres_land</formula1>
    </dataValidation>
    <dataValidation type="list" allowBlank="1" showInputMessage="1" showErrorMessage="1" sqref="C79:D79">
      <formula1>afhalen_bezorgen</formula1>
    </dataValidation>
    <dataValidation type="list" allowBlank="1" showInputMessage="1" showErrorMessage="1" sqref="C77:D77">
      <formula1>ja_nee_selectie</formula1>
    </dataValidation>
    <dataValidation type="list" allowBlank="1" showInputMessage="1" showErrorMessage="1" sqref="E79:F79">
      <formula1>afhaallocatie</formula1>
    </dataValidation>
    <dataValidation type="list" showInputMessage="1" showErrorMessage="1" errorTitle="Foutieve invoer" error="Maak uw keuze uit de lijst." sqref="B16:B34">
      <formula1>isoglas_artikel</formula1>
    </dataValidation>
    <dataValidation type="list" showInputMessage="1" showErrorMessage="1" errorTitle="Foutieve invoer" error="Maak uw keuze uit de lijst" promptTitle="Keuze ventilatierooster" prompt="Indien gewenst kunt u hier een ventilatierooster uit de lijst kiezen." sqref="H16:H34">
      <formula1>vent.rooster_artikel</formula1>
    </dataValidation>
    <dataValidation type="whole" allowBlank="1" showInputMessage="1" showErrorMessage="1" errorTitle="Foutieve afmeting" error="Breedte van de ruit is max. 5.000 mm._x000a_Is uw breedte &gt; 5.000 mm, neem contact op met Glasdiscount.nl." promptTitle="Breedte in mm" prompt="-Breedte &gt;0 en &lt; 5.000 mm._x000a_-Houd rekening met omtrekspeling." sqref="F16:F34">
      <formula1>0</formula1>
      <formula2>5000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_x000a_-Houd rekening met omtrekspeling._x000a_-Houd geen rekening met glasaftrek bij eventuele ventilatieroosters." sqref="G16:G32 G34">
      <formula1>0</formula1>
      <formula2>2700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._x000a_-Houd rekening met omtrekspeling._x000a_-Houd geen rekening met glasaftrek bij eventuele ventilatieroosters." sqref="G33">
      <formula1>0</formula1>
      <formula2>2700</formula2>
    </dataValidation>
    <dataValidation type="list" errorStyle="information" showInputMessage="1" showErrorMessage="1" errorTitle="Niet standaard kleur" error="De door uw ingevoerde kleur is geen standaard RAL kleur en geeft een meerpijs._x000a_Wilt u een standaard kleur, maak dan een keuze uit de lijst." promptTitle="RAL kleur" prompt="Rooster in een RAL kleur gekozen?_x000a_Kies uw standaard RAL kleur uit de lijst of geef uw niet standaard RAL kleur op." sqref="I16:I34">
      <formula1>vent.rooster_kleur</formula1>
    </dataValidation>
    <dataValidation allowBlank="1" showErrorMessage="1" sqref="I67:L67"/>
    <dataValidation type="list" showInputMessage="1" showErrorMessage="1" errorTitle="Foutieve invoer" error="Maak uw keuze uit de lijst." promptTitle="HR-classificatie" prompt="HR+ spouw ≤ 12 mm_x000a_HR++ spouw ≥ 13 mm" sqref="C16:C34">
      <formula1>isoglas_spouw</formula1>
    </dataValidation>
    <dataValidation allowBlank="1" showErrorMessage="1" promptTitle="Aantal" prompt="Voer het aantal ruiten in" sqref="E16:E35"/>
  </dataValidations>
  <printOptions horizontalCentered="1"/>
  <pageMargins left="0.23622047244094491" right="0.23622047244094491" top="0.62992125984251968" bottom="0.62992125984251968" header="0.31496062992125984" footer="0.23622047244094491"/>
  <pageSetup paperSize="9" scale="75" fitToHeight="2" orientation="portrait" horizontalDpi="4294967294" verticalDpi="4294967294" r:id="rId1"/>
  <headerFooter>
    <oddHeader>&amp;L&amp;"Arial,Cursief"&amp;8&amp;K06506FVersie 07-05-2014</oddHeader>
    <oddFooter>&amp;R&amp;8&amp;K06506FPagina &amp;P van &amp;N</oddFooter>
  </headerFooter>
  <rowBreaks count="1" manualBreakCount="1">
    <brk id="51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L29"/>
  <sheetViews>
    <sheetView workbookViewId="0"/>
  </sheetViews>
  <sheetFormatPr defaultColWidth="9.109375" defaultRowHeight="13.2" x14ac:dyDescent="0.25"/>
  <cols>
    <col min="1" max="1" width="5.6640625" style="6" customWidth="1"/>
    <col min="2" max="8" width="9.6640625" style="6" customWidth="1"/>
    <col min="9" max="9" width="5.6640625" style="6" customWidth="1"/>
    <col min="10" max="12" width="9.6640625" style="6" customWidth="1"/>
    <col min="13" max="13" width="5.6640625" style="6" customWidth="1"/>
    <col min="14" max="16384" width="9.109375" style="6"/>
  </cols>
  <sheetData>
    <row r="1" spans="2:12" x14ac:dyDescent="0.25">
      <c r="B1" s="517" t="s">
        <v>86</v>
      </c>
      <c r="C1" s="517"/>
      <c r="D1" s="517"/>
      <c r="E1" s="517"/>
      <c r="F1" s="517"/>
      <c r="G1" s="517"/>
      <c r="H1" s="517"/>
      <c r="J1" s="517" t="s">
        <v>87</v>
      </c>
      <c r="K1" s="517"/>
      <c r="L1" s="517"/>
    </row>
    <row r="2" spans="2:12" x14ac:dyDescent="0.25">
      <c r="B2" s="231"/>
      <c r="C2" s="231"/>
      <c r="D2" s="231"/>
      <c r="E2" s="231"/>
      <c r="F2" s="219"/>
      <c r="G2" s="219"/>
      <c r="H2" s="219"/>
      <c r="J2" s="219"/>
      <c r="K2" s="219"/>
      <c r="L2" s="219"/>
    </row>
    <row r="3" spans="2:12" x14ac:dyDescent="0.25">
      <c r="B3" s="220" t="s">
        <v>219</v>
      </c>
      <c r="C3" s="220" t="s">
        <v>220</v>
      </c>
      <c r="D3" s="220" t="s">
        <v>221</v>
      </c>
      <c r="E3" s="220" t="s">
        <v>222</v>
      </c>
      <c r="F3" s="222" t="s">
        <v>223</v>
      </c>
      <c r="G3" s="222" t="s">
        <v>224</v>
      </c>
      <c r="H3" s="222" t="s">
        <v>225</v>
      </c>
      <c r="J3" s="222" t="s">
        <v>226</v>
      </c>
      <c r="K3" s="222" t="s">
        <v>227</v>
      </c>
      <c r="L3" s="222" t="s">
        <v>228</v>
      </c>
    </row>
    <row r="4" spans="2:12" x14ac:dyDescent="0.25">
      <c r="B4" s="220" t="s">
        <v>20</v>
      </c>
      <c r="C4" s="220" t="s">
        <v>18</v>
      </c>
      <c r="D4" s="220" t="s">
        <v>18</v>
      </c>
      <c r="E4" s="220" t="s">
        <v>18</v>
      </c>
      <c r="F4" s="222" t="s">
        <v>23</v>
      </c>
      <c r="G4" s="222" t="s">
        <v>93</v>
      </c>
      <c r="H4" s="222" t="s">
        <v>23</v>
      </c>
      <c r="J4" s="222" t="s">
        <v>19</v>
      </c>
      <c r="K4" s="222" t="s">
        <v>19</v>
      </c>
      <c r="L4" s="222" t="s">
        <v>229</v>
      </c>
    </row>
    <row r="5" spans="2:12" x14ac:dyDescent="0.25">
      <c r="B5" s="6">
        <f>Offerteblad!E16</f>
        <v>0</v>
      </c>
      <c r="C5" s="229">
        <f>Offerteblad!F16</f>
        <v>0</v>
      </c>
      <c r="D5" s="229">
        <f>Offerteblad!G16</f>
        <v>0</v>
      </c>
      <c r="E5" s="229">
        <f>B5*((C5+D5)*2)</f>
        <v>0</v>
      </c>
      <c r="F5" s="224">
        <f>Offerteblad!J16</f>
        <v>0</v>
      </c>
      <c r="G5" s="224">
        <f>IF(F5=0,0,(IF(F5&lt;0.5,0.5,F5)))</f>
        <v>0</v>
      </c>
      <c r="H5" s="224">
        <f>Offerteblad!E16*Offerteblad!J16</f>
        <v>0</v>
      </c>
      <c r="J5" s="236">
        <f>VLOOKUP(Offerteblad!H16,vent.rooster,2,FALSE)</f>
        <v>0</v>
      </c>
      <c r="K5" s="236">
        <f>VLOOKUP(Offerteblad!H16,vent.rooster,2,FALSE)+(L5*(VLOOKUP(Offerteblad!H16,vent.rooster,3,FALSE)))</f>
        <v>0</v>
      </c>
      <c r="L5" s="131">
        <f>CEILING((C5-500)/100,1)</f>
        <v>-5</v>
      </c>
    </row>
    <row r="6" spans="2:12" x14ac:dyDescent="0.25">
      <c r="B6" s="6">
        <f>Offerteblad!E17</f>
        <v>0</v>
      </c>
      <c r="C6" s="229">
        <f>Offerteblad!F17</f>
        <v>0</v>
      </c>
      <c r="D6" s="229">
        <f>Offerteblad!G17</f>
        <v>0</v>
      </c>
      <c r="E6" s="229">
        <f t="shared" ref="E6:E23" si="0">B6*((C6+D6)*2)</f>
        <v>0</v>
      </c>
      <c r="F6" s="224">
        <f>Offerteblad!J17</f>
        <v>0</v>
      </c>
      <c r="G6" s="224">
        <f t="shared" ref="G6:G23" si="1">IF(F6=0,0,(IF(F6&lt;0.5,0.5,F6)))</f>
        <v>0</v>
      </c>
      <c r="H6" s="224">
        <f>Offerteblad!E17*Offerteblad!J17</f>
        <v>0</v>
      </c>
      <c r="J6" s="236">
        <f>VLOOKUP(Offerteblad!H17,vent.rooster,2,FALSE)</f>
        <v>0</v>
      </c>
      <c r="K6" s="236">
        <f>VLOOKUP(Offerteblad!H17,vent.rooster,2,FALSE)+(L6*(VLOOKUP(Offerteblad!H17,vent.rooster,3,FALSE)))</f>
        <v>0</v>
      </c>
      <c r="L6" s="131">
        <f t="shared" ref="L6:L23" si="2">CEILING((C6-500)/100,1)</f>
        <v>-5</v>
      </c>
    </row>
    <row r="7" spans="2:12" x14ac:dyDescent="0.25">
      <c r="B7" s="6">
        <f>Offerteblad!E18</f>
        <v>0</v>
      </c>
      <c r="C7" s="229">
        <f>Offerteblad!F18</f>
        <v>0</v>
      </c>
      <c r="D7" s="229">
        <f>Offerteblad!G18</f>
        <v>0</v>
      </c>
      <c r="E7" s="229">
        <f t="shared" ref="E7" si="3">B7*((C7+D7)*2)</f>
        <v>0</v>
      </c>
      <c r="F7" s="224">
        <f>Offerteblad!J18</f>
        <v>0</v>
      </c>
      <c r="G7" s="224">
        <f t="shared" si="1"/>
        <v>0</v>
      </c>
      <c r="H7" s="224">
        <f>Offerteblad!E18*Offerteblad!J18</f>
        <v>0</v>
      </c>
      <c r="J7" s="236">
        <f>VLOOKUP(Offerteblad!H18,vent.rooster,2,FALSE)</f>
        <v>0</v>
      </c>
      <c r="K7" s="236">
        <f>VLOOKUP(Offerteblad!H18,vent.rooster,2,FALSE)+(L7*(VLOOKUP(Offerteblad!H18,vent.rooster,3,FALSE)))</f>
        <v>0</v>
      </c>
      <c r="L7" s="131">
        <f t="shared" si="2"/>
        <v>-5</v>
      </c>
    </row>
    <row r="8" spans="2:12" x14ac:dyDescent="0.25">
      <c r="B8" s="6">
        <f>Offerteblad!E19</f>
        <v>0</v>
      </c>
      <c r="C8" s="229">
        <f>Offerteblad!F19</f>
        <v>0</v>
      </c>
      <c r="D8" s="229">
        <f>Offerteblad!G19</f>
        <v>0</v>
      </c>
      <c r="E8" s="229">
        <f t="shared" si="0"/>
        <v>0</v>
      </c>
      <c r="F8" s="224">
        <f>Offerteblad!J19</f>
        <v>0</v>
      </c>
      <c r="G8" s="224">
        <f t="shared" si="1"/>
        <v>0</v>
      </c>
      <c r="H8" s="224">
        <f>Offerteblad!E19*Offerteblad!J19</f>
        <v>0</v>
      </c>
      <c r="J8" s="236">
        <f>VLOOKUP(Offerteblad!H19,vent.rooster,2,FALSE)</f>
        <v>0</v>
      </c>
      <c r="K8" s="236">
        <f>VLOOKUP(Offerteblad!H19,vent.rooster,2,FALSE)+(L8*(VLOOKUP(Offerteblad!H19,vent.rooster,3,FALSE)))</f>
        <v>0</v>
      </c>
      <c r="L8" s="131">
        <f t="shared" si="2"/>
        <v>-5</v>
      </c>
    </row>
    <row r="9" spans="2:12" x14ac:dyDescent="0.25">
      <c r="B9" s="6">
        <f>Offerteblad!E20</f>
        <v>0</v>
      </c>
      <c r="C9" s="229">
        <f>Offerteblad!F20</f>
        <v>0</v>
      </c>
      <c r="D9" s="229">
        <f>Offerteblad!G20</f>
        <v>0</v>
      </c>
      <c r="E9" s="229">
        <f t="shared" si="0"/>
        <v>0</v>
      </c>
      <c r="F9" s="224">
        <f>Offerteblad!J20</f>
        <v>0</v>
      </c>
      <c r="G9" s="224">
        <f t="shared" si="1"/>
        <v>0</v>
      </c>
      <c r="H9" s="224">
        <f>Offerteblad!E20*Offerteblad!J20</f>
        <v>0</v>
      </c>
      <c r="J9" s="236">
        <f>VLOOKUP(Offerteblad!H20,vent.rooster,2,FALSE)</f>
        <v>40.15</v>
      </c>
      <c r="K9" s="236">
        <f>VLOOKUP(Offerteblad!H20,vent.rooster,2,FALSE)+(L9*(VLOOKUP(Offerteblad!H20,vent.rooster,3,FALSE)))</f>
        <v>7.1499999999999986</v>
      </c>
      <c r="L9" s="131">
        <f t="shared" si="2"/>
        <v>-5</v>
      </c>
    </row>
    <row r="10" spans="2:12" x14ac:dyDescent="0.25">
      <c r="B10" s="6">
        <f>Offerteblad!E21</f>
        <v>5</v>
      </c>
      <c r="C10" s="229">
        <f>Offerteblad!F21</f>
        <v>50</v>
      </c>
      <c r="D10" s="229">
        <f>Offerteblad!G21</f>
        <v>100</v>
      </c>
      <c r="E10" s="229">
        <f t="shared" si="0"/>
        <v>1500</v>
      </c>
      <c r="F10" s="224">
        <f>Offerteblad!J21</f>
        <v>5.0000000000000001E-3</v>
      </c>
      <c r="G10" s="224">
        <f t="shared" si="1"/>
        <v>0.5</v>
      </c>
      <c r="H10" s="224">
        <f>Offerteblad!E21*Offerteblad!J21</f>
        <v>2.5000000000000001E-2</v>
      </c>
      <c r="J10" s="236">
        <f>VLOOKUP(Offerteblad!H21,vent.rooster,2,FALSE)</f>
        <v>42.35</v>
      </c>
      <c r="K10" s="236">
        <f>VLOOKUP(Offerteblad!H21,vent.rooster,2,FALSE)+(L10*(VLOOKUP(Offerteblad!H21,vent.rooster,3,FALSE)))</f>
        <v>18.350000000000001</v>
      </c>
      <c r="L10" s="131">
        <f t="shared" si="2"/>
        <v>-4</v>
      </c>
    </row>
    <row r="11" spans="2:12" x14ac:dyDescent="0.25">
      <c r="B11" s="6">
        <f>Offerteblad!E22</f>
        <v>0</v>
      </c>
      <c r="C11" s="229">
        <f>Offerteblad!F22</f>
        <v>0</v>
      </c>
      <c r="D11" s="229">
        <f>Offerteblad!G22</f>
        <v>0</v>
      </c>
      <c r="E11" s="229">
        <f t="shared" si="0"/>
        <v>0</v>
      </c>
      <c r="F11" s="224">
        <f>Offerteblad!J22</f>
        <v>0</v>
      </c>
      <c r="G11" s="224">
        <f t="shared" si="1"/>
        <v>0</v>
      </c>
      <c r="H11" s="224">
        <f>Offerteblad!E22*Offerteblad!J22</f>
        <v>0</v>
      </c>
      <c r="J11" s="236">
        <f>VLOOKUP(Offerteblad!H22,vent.rooster,2,FALSE)</f>
        <v>0</v>
      </c>
      <c r="K11" s="236">
        <f>VLOOKUP(Offerteblad!H22,vent.rooster,2,FALSE)+(L11*(VLOOKUP(Offerteblad!H22,vent.rooster,3,FALSE)))</f>
        <v>0</v>
      </c>
      <c r="L11" s="131">
        <f t="shared" si="2"/>
        <v>-5</v>
      </c>
    </row>
    <row r="12" spans="2:12" x14ac:dyDescent="0.25">
      <c r="B12" s="6">
        <f>Offerteblad!E23</f>
        <v>0</v>
      </c>
      <c r="C12" s="229">
        <f>Offerteblad!F23</f>
        <v>0</v>
      </c>
      <c r="D12" s="229">
        <f>Offerteblad!G23</f>
        <v>0</v>
      </c>
      <c r="E12" s="229">
        <f t="shared" si="0"/>
        <v>0</v>
      </c>
      <c r="F12" s="224">
        <f>Offerteblad!J23</f>
        <v>0</v>
      </c>
      <c r="G12" s="224">
        <f t="shared" si="1"/>
        <v>0</v>
      </c>
      <c r="H12" s="224">
        <f>Offerteblad!E23*Offerteblad!J23</f>
        <v>0</v>
      </c>
      <c r="J12" s="236">
        <f>VLOOKUP(Offerteblad!H23,vent.rooster,2,FALSE)</f>
        <v>0</v>
      </c>
      <c r="K12" s="236">
        <f>VLOOKUP(Offerteblad!H23,vent.rooster,2,FALSE)+(L12*(VLOOKUP(Offerteblad!H23,vent.rooster,3,FALSE)))</f>
        <v>0</v>
      </c>
      <c r="L12" s="131">
        <f t="shared" si="2"/>
        <v>-5</v>
      </c>
    </row>
    <row r="13" spans="2:12" x14ac:dyDescent="0.25">
      <c r="B13" s="6">
        <f>Offerteblad!E24</f>
        <v>0</v>
      </c>
      <c r="C13" s="229">
        <f>Offerteblad!F24</f>
        <v>0</v>
      </c>
      <c r="D13" s="229">
        <f>Offerteblad!G24</f>
        <v>0</v>
      </c>
      <c r="E13" s="229">
        <f t="shared" si="0"/>
        <v>0</v>
      </c>
      <c r="F13" s="224">
        <f>Offerteblad!J24</f>
        <v>0</v>
      </c>
      <c r="G13" s="224">
        <f t="shared" si="1"/>
        <v>0</v>
      </c>
      <c r="H13" s="224">
        <f>Offerteblad!E24*Offerteblad!J24</f>
        <v>0</v>
      </c>
      <c r="J13" s="236">
        <f>VLOOKUP(Offerteblad!H24,vent.rooster,2,FALSE)</f>
        <v>0</v>
      </c>
      <c r="K13" s="236">
        <f>VLOOKUP(Offerteblad!H24,vent.rooster,2,FALSE)+(L13*(VLOOKUP(Offerteblad!H24,vent.rooster,3,FALSE)))</f>
        <v>0</v>
      </c>
      <c r="L13" s="131">
        <f t="shared" si="2"/>
        <v>-5</v>
      </c>
    </row>
    <row r="14" spans="2:12" x14ac:dyDescent="0.25">
      <c r="B14" s="6">
        <f>Offerteblad!E25</f>
        <v>0</v>
      </c>
      <c r="C14" s="229">
        <f>Offerteblad!F25</f>
        <v>0</v>
      </c>
      <c r="D14" s="229">
        <f>Offerteblad!G25</f>
        <v>0</v>
      </c>
      <c r="E14" s="229">
        <f t="shared" si="0"/>
        <v>0</v>
      </c>
      <c r="F14" s="224">
        <f>Offerteblad!J25</f>
        <v>0</v>
      </c>
      <c r="G14" s="224">
        <f t="shared" si="1"/>
        <v>0</v>
      </c>
      <c r="H14" s="224">
        <f>Offerteblad!E25*Offerteblad!J25</f>
        <v>0</v>
      </c>
      <c r="J14" s="236">
        <f>VLOOKUP(Offerteblad!H25,vent.rooster,2,FALSE)</f>
        <v>0</v>
      </c>
      <c r="K14" s="236">
        <f>VLOOKUP(Offerteblad!H25,vent.rooster,2,FALSE)+(L14*(VLOOKUP(Offerteblad!H25,vent.rooster,3,FALSE)))</f>
        <v>0</v>
      </c>
      <c r="L14" s="131">
        <f t="shared" si="2"/>
        <v>-5</v>
      </c>
    </row>
    <row r="15" spans="2:12" x14ac:dyDescent="0.25">
      <c r="B15" s="6">
        <f>Offerteblad!E26</f>
        <v>0</v>
      </c>
      <c r="C15" s="229">
        <f>Offerteblad!F26</f>
        <v>0</v>
      </c>
      <c r="D15" s="229">
        <f>Offerteblad!G26</f>
        <v>0</v>
      </c>
      <c r="E15" s="229">
        <f t="shared" si="0"/>
        <v>0</v>
      </c>
      <c r="F15" s="224">
        <f>Offerteblad!J26</f>
        <v>0</v>
      </c>
      <c r="G15" s="224">
        <f t="shared" si="1"/>
        <v>0</v>
      </c>
      <c r="H15" s="224">
        <f>Offerteblad!E26*Offerteblad!J26</f>
        <v>0</v>
      </c>
      <c r="J15" s="236">
        <f>VLOOKUP(Offerteblad!H26,vent.rooster,2,FALSE)</f>
        <v>0</v>
      </c>
      <c r="K15" s="236">
        <f>VLOOKUP(Offerteblad!H26,vent.rooster,2,FALSE)+(L15*(VLOOKUP(Offerteblad!H26,vent.rooster,3,FALSE)))</f>
        <v>0</v>
      </c>
      <c r="L15" s="131">
        <f t="shared" si="2"/>
        <v>-5</v>
      </c>
    </row>
    <row r="16" spans="2:12" x14ac:dyDescent="0.25">
      <c r="B16" s="6">
        <f>Offerteblad!E27</f>
        <v>0</v>
      </c>
      <c r="C16" s="229">
        <f>Offerteblad!F27</f>
        <v>0</v>
      </c>
      <c r="D16" s="229">
        <f>Offerteblad!G27</f>
        <v>0</v>
      </c>
      <c r="E16" s="229">
        <f t="shared" si="0"/>
        <v>0</v>
      </c>
      <c r="F16" s="224">
        <f>Offerteblad!J27</f>
        <v>0</v>
      </c>
      <c r="G16" s="224">
        <f t="shared" si="1"/>
        <v>0</v>
      </c>
      <c r="H16" s="224">
        <f>Offerteblad!E27*Offerteblad!J27</f>
        <v>0</v>
      </c>
      <c r="J16" s="236">
        <f>VLOOKUP(Offerteblad!H27,vent.rooster,2,FALSE)</f>
        <v>0</v>
      </c>
      <c r="K16" s="236">
        <f>VLOOKUP(Offerteblad!H27,vent.rooster,2,FALSE)+(L16*(VLOOKUP(Offerteblad!H27,vent.rooster,3,FALSE)))</f>
        <v>0</v>
      </c>
      <c r="L16" s="131">
        <f t="shared" si="2"/>
        <v>-5</v>
      </c>
    </row>
    <row r="17" spans="2:12" x14ac:dyDescent="0.25">
      <c r="B17" s="6">
        <f>Offerteblad!E28</f>
        <v>0</v>
      </c>
      <c r="C17" s="229">
        <f>Offerteblad!F28</f>
        <v>0</v>
      </c>
      <c r="D17" s="229">
        <f>Offerteblad!G28</f>
        <v>0</v>
      </c>
      <c r="E17" s="229">
        <f t="shared" si="0"/>
        <v>0</v>
      </c>
      <c r="F17" s="224">
        <f>Offerteblad!J28</f>
        <v>0</v>
      </c>
      <c r="G17" s="224">
        <f t="shared" si="1"/>
        <v>0</v>
      </c>
      <c r="H17" s="224">
        <f>Offerteblad!E28*Offerteblad!J28</f>
        <v>0</v>
      </c>
      <c r="J17" s="236">
        <f>VLOOKUP(Offerteblad!H28,vent.rooster,2,FALSE)</f>
        <v>0</v>
      </c>
      <c r="K17" s="236">
        <f>VLOOKUP(Offerteblad!H28,vent.rooster,2,FALSE)+(L17*(VLOOKUP(Offerteblad!H28,vent.rooster,3,FALSE)))</f>
        <v>0</v>
      </c>
      <c r="L17" s="131">
        <f t="shared" si="2"/>
        <v>-5</v>
      </c>
    </row>
    <row r="18" spans="2:12" x14ac:dyDescent="0.25">
      <c r="B18" s="6">
        <f>Offerteblad!E29</f>
        <v>0</v>
      </c>
      <c r="C18" s="229">
        <f>Offerteblad!F29</f>
        <v>0</v>
      </c>
      <c r="D18" s="229">
        <f>Offerteblad!G29</f>
        <v>0</v>
      </c>
      <c r="E18" s="229">
        <f t="shared" si="0"/>
        <v>0</v>
      </c>
      <c r="F18" s="224">
        <f>Offerteblad!J29</f>
        <v>0</v>
      </c>
      <c r="G18" s="224">
        <f t="shared" si="1"/>
        <v>0</v>
      </c>
      <c r="H18" s="224">
        <f>Offerteblad!E29*Offerteblad!J29</f>
        <v>0</v>
      </c>
      <c r="J18" s="236">
        <f>VLOOKUP(Offerteblad!H29,vent.rooster,2,FALSE)</f>
        <v>0</v>
      </c>
      <c r="K18" s="236">
        <f>VLOOKUP(Offerteblad!H29,vent.rooster,2,FALSE)+(L18*(VLOOKUP(Offerteblad!H29,vent.rooster,3,FALSE)))</f>
        <v>0</v>
      </c>
      <c r="L18" s="131">
        <f t="shared" si="2"/>
        <v>-5</v>
      </c>
    </row>
    <row r="19" spans="2:12" x14ac:dyDescent="0.25">
      <c r="B19" s="6">
        <f>Offerteblad!E30</f>
        <v>0</v>
      </c>
      <c r="C19" s="229">
        <f>Offerteblad!F30</f>
        <v>0</v>
      </c>
      <c r="D19" s="229">
        <f>Offerteblad!G30</f>
        <v>0</v>
      </c>
      <c r="E19" s="229">
        <f t="shared" si="0"/>
        <v>0</v>
      </c>
      <c r="F19" s="224">
        <f>Offerteblad!J30</f>
        <v>0</v>
      </c>
      <c r="G19" s="224">
        <f t="shared" si="1"/>
        <v>0</v>
      </c>
      <c r="H19" s="224">
        <f>Offerteblad!E30*Offerteblad!J30</f>
        <v>0</v>
      </c>
      <c r="J19" s="236">
        <f>VLOOKUP(Offerteblad!H30,vent.rooster,2,FALSE)</f>
        <v>0</v>
      </c>
      <c r="K19" s="236">
        <f>VLOOKUP(Offerteblad!H30,vent.rooster,2,FALSE)+(L19*(VLOOKUP(Offerteblad!H30,vent.rooster,3,FALSE)))</f>
        <v>0</v>
      </c>
      <c r="L19" s="131">
        <f t="shared" si="2"/>
        <v>-5</v>
      </c>
    </row>
    <row r="20" spans="2:12" x14ac:dyDescent="0.25">
      <c r="B20" s="6">
        <f>Offerteblad!E31</f>
        <v>0</v>
      </c>
      <c r="C20" s="229">
        <f>Offerteblad!F31</f>
        <v>0</v>
      </c>
      <c r="D20" s="229">
        <f>Offerteblad!G31</f>
        <v>0</v>
      </c>
      <c r="E20" s="229">
        <f t="shared" si="0"/>
        <v>0</v>
      </c>
      <c r="F20" s="224">
        <f>Offerteblad!J31</f>
        <v>0</v>
      </c>
      <c r="G20" s="224">
        <f t="shared" si="1"/>
        <v>0</v>
      </c>
      <c r="H20" s="224">
        <f>Offerteblad!E31*Offerteblad!J31</f>
        <v>0</v>
      </c>
      <c r="J20" s="236">
        <f>VLOOKUP(Offerteblad!H31,vent.rooster,2,FALSE)</f>
        <v>0</v>
      </c>
      <c r="K20" s="236">
        <f>VLOOKUP(Offerteblad!H31,vent.rooster,2,FALSE)+(L20*(VLOOKUP(Offerteblad!H31,vent.rooster,3,FALSE)))</f>
        <v>0</v>
      </c>
      <c r="L20" s="131">
        <f t="shared" si="2"/>
        <v>-5</v>
      </c>
    </row>
    <row r="21" spans="2:12" x14ac:dyDescent="0.25">
      <c r="B21" s="6">
        <f>Offerteblad!E32</f>
        <v>0</v>
      </c>
      <c r="C21" s="229">
        <f>Offerteblad!F32</f>
        <v>0</v>
      </c>
      <c r="D21" s="229">
        <f>Offerteblad!G32</f>
        <v>0</v>
      </c>
      <c r="E21" s="229">
        <f t="shared" si="0"/>
        <v>0</v>
      </c>
      <c r="F21" s="224">
        <f>Offerteblad!J32</f>
        <v>0</v>
      </c>
      <c r="G21" s="224">
        <f t="shared" si="1"/>
        <v>0</v>
      </c>
      <c r="H21" s="224">
        <f>Offerteblad!E32*Offerteblad!J32</f>
        <v>0</v>
      </c>
      <c r="J21" s="236">
        <f>VLOOKUP(Offerteblad!H32,vent.rooster,2,FALSE)</f>
        <v>0</v>
      </c>
      <c r="K21" s="236">
        <f>VLOOKUP(Offerteblad!H32,vent.rooster,2,FALSE)+(L21*(VLOOKUP(Offerteblad!H32,vent.rooster,3,FALSE)))</f>
        <v>0</v>
      </c>
      <c r="L21" s="131">
        <f t="shared" si="2"/>
        <v>-5</v>
      </c>
    </row>
    <row r="22" spans="2:12" x14ac:dyDescent="0.25">
      <c r="B22" s="6">
        <f>Offerteblad!E33</f>
        <v>0</v>
      </c>
      <c r="C22" s="229">
        <f>Offerteblad!F33</f>
        <v>0</v>
      </c>
      <c r="D22" s="229">
        <f>Offerteblad!G33</f>
        <v>0</v>
      </c>
      <c r="E22" s="229">
        <f t="shared" si="0"/>
        <v>0</v>
      </c>
      <c r="F22" s="224">
        <f>Offerteblad!J33</f>
        <v>0</v>
      </c>
      <c r="G22" s="224">
        <f t="shared" si="1"/>
        <v>0</v>
      </c>
      <c r="H22" s="224">
        <f>Offerteblad!E33*Offerteblad!J33</f>
        <v>0</v>
      </c>
      <c r="J22" s="236">
        <f>VLOOKUP(Offerteblad!H33,vent.rooster,2,FALSE)</f>
        <v>0</v>
      </c>
      <c r="K22" s="236">
        <f>VLOOKUP(Offerteblad!H33,vent.rooster,2,FALSE)+(L22*(VLOOKUP(Offerteblad!H33,vent.rooster,3,FALSE)))</f>
        <v>0</v>
      </c>
      <c r="L22" s="131">
        <f t="shared" si="2"/>
        <v>-5</v>
      </c>
    </row>
    <row r="23" spans="2:12" x14ac:dyDescent="0.25">
      <c r="B23" s="6">
        <f>Offerteblad!E34</f>
        <v>0</v>
      </c>
      <c r="C23" s="229">
        <f>Offerteblad!F34</f>
        <v>0</v>
      </c>
      <c r="D23" s="229">
        <f>Offerteblad!G34</f>
        <v>0</v>
      </c>
      <c r="E23" s="229">
        <f t="shared" si="0"/>
        <v>0</v>
      </c>
      <c r="F23" s="224">
        <f>Offerteblad!J34</f>
        <v>0</v>
      </c>
      <c r="G23" s="224">
        <f t="shared" si="1"/>
        <v>0</v>
      </c>
      <c r="H23" s="224">
        <f>Offerteblad!E34*Offerteblad!J34</f>
        <v>0</v>
      </c>
      <c r="J23" s="236">
        <f>VLOOKUP(Offerteblad!H34,vent.rooster,2,FALSE)</f>
        <v>0</v>
      </c>
      <c r="K23" s="236">
        <f>VLOOKUP(Offerteblad!H34,vent.rooster,2,FALSE)+(L23*(VLOOKUP(Offerteblad!H34,vent.rooster,3,FALSE)))</f>
        <v>0</v>
      </c>
      <c r="L23" s="131">
        <f t="shared" si="2"/>
        <v>-5</v>
      </c>
    </row>
    <row r="24" spans="2:12" ht="13.8" thickBot="1" x14ac:dyDescent="0.3">
      <c r="B24" s="227"/>
      <c r="C24" s="229"/>
      <c r="D24" s="229"/>
      <c r="E24" s="230"/>
      <c r="F24" s="131"/>
      <c r="G24" s="131"/>
      <c r="H24" s="223"/>
      <c r="J24" s="131"/>
      <c r="K24" s="131"/>
      <c r="L24" s="131"/>
    </row>
    <row r="25" spans="2:12" ht="13.8" thickTop="1" x14ac:dyDescent="0.25">
      <c r="B25" s="228">
        <f>SUM(B5:B24)</f>
        <v>5</v>
      </c>
      <c r="C25" s="6" t="s">
        <v>20</v>
      </c>
      <c r="E25" s="229">
        <f>SUM(E5:E24)/1000</f>
        <v>1.5</v>
      </c>
      <c r="F25" s="131" t="s">
        <v>230</v>
      </c>
      <c r="G25" s="131"/>
      <c r="H25" s="225">
        <f>SUM(H5:H23)</f>
        <v>2.5000000000000001E-2</v>
      </c>
      <c r="I25" s="6" t="s">
        <v>23</v>
      </c>
      <c r="J25" s="131"/>
      <c r="K25" s="131"/>
      <c r="L25" s="131"/>
    </row>
    <row r="27" spans="2:12" x14ac:dyDescent="0.25">
      <c r="B27" s="6" t="s">
        <v>231</v>
      </c>
      <c r="C27" s="250">
        <f>CEILING(E25*2/13,1)</f>
        <v>1</v>
      </c>
      <c r="D27" s="6" t="s">
        <v>232</v>
      </c>
    </row>
    <row r="28" spans="2:12" x14ac:dyDescent="0.25">
      <c r="B28" s="6" t="s">
        <v>233</v>
      </c>
      <c r="C28" s="250">
        <f>CEILING(E25*2,25)/25</f>
        <v>1</v>
      </c>
      <c r="D28" s="6" t="s">
        <v>234</v>
      </c>
    </row>
    <row r="29" spans="2:12" x14ac:dyDescent="0.25">
      <c r="B29" s="6" t="s">
        <v>235</v>
      </c>
      <c r="C29" s="250">
        <f>B25</f>
        <v>5</v>
      </c>
      <c r="D29" s="6" t="s">
        <v>236</v>
      </c>
    </row>
  </sheetData>
  <sheetProtection algorithmName="SHA-512" hashValue="mMk8gm+G+7y9Y0CwzFnhfrPffDSbBvrqIIvRAIWsTbH/2Im2SgKRu3DIEw+b/QQlhZDvU8EUIJEXIrI6eAKZaQ==" saltValue="hJVukTWIuQ675oHhlVJgLw==" spinCount="100000" sheet="1" objects="1" scenarios="1" selectLockedCells="1" selectUnlockedCells="1"/>
  <mergeCells count="2">
    <mergeCell ref="J1:L1"/>
    <mergeCell ref="B1:H1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V70"/>
  <sheetViews>
    <sheetView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34" t="s">
        <v>303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23" t="s">
        <v>1</v>
      </c>
      <c r="C4" s="424"/>
      <c r="D4" s="247">
        <f ca="1">TODAY()</f>
        <v>43055</v>
      </c>
      <c r="E4" s="49"/>
      <c r="F4" s="7"/>
      <c r="G4" s="447"/>
      <c r="H4" s="447"/>
      <c r="I4" s="445" t="s">
        <v>61</v>
      </c>
      <c r="J4" s="445"/>
      <c r="K4" s="445"/>
      <c r="L4" s="446"/>
      <c r="M4" s="16"/>
    </row>
    <row r="5" spans="1:13" ht="12.75" customHeight="1" x14ac:dyDescent="0.25">
      <c r="A5" s="16"/>
      <c r="B5" s="423" t="s">
        <v>62</v>
      </c>
      <c r="C5" s="424"/>
      <c r="D5" s="460"/>
      <c r="E5" s="460"/>
      <c r="F5" s="460"/>
      <c r="G5" s="460"/>
      <c r="H5" s="7"/>
      <c r="I5" s="445"/>
      <c r="J5" s="445"/>
      <c r="K5" s="445"/>
      <c r="L5" s="446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16" t="s">
        <v>44</v>
      </c>
      <c r="C8" s="416"/>
      <c r="D8" s="416"/>
      <c r="E8" s="416"/>
      <c r="F8" s="416"/>
      <c r="G8" s="416"/>
      <c r="H8" s="416" t="str">
        <f>Offerteblad!H65</f>
        <v>Afleveradres</v>
      </c>
      <c r="I8" s="416"/>
      <c r="J8" s="416"/>
      <c r="K8" s="416"/>
      <c r="L8" s="416"/>
      <c r="M8" s="16"/>
    </row>
    <row r="9" spans="1:13" ht="6" customHeight="1" x14ac:dyDescent="0.25">
      <c r="A9" s="16"/>
      <c r="B9" s="417"/>
      <c r="C9" s="418"/>
      <c r="D9" s="419"/>
      <c r="E9" s="419"/>
      <c r="F9" s="419"/>
      <c r="G9" s="419"/>
      <c r="H9" s="464"/>
      <c r="I9" s="464"/>
      <c r="J9" s="464"/>
      <c r="K9" s="464"/>
      <c r="L9" s="465"/>
      <c r="M9" s="16"/>
    </row>
    <row r="10" spans="1:13" x14ac:dyDescent="0.25">
      <c r="A10" s="16"/>
      <c r="B10" s="420" t="str">
        <f>IF(Offerteblad!C67="","",Offerteblad!C67)</f>
        <v/>
      </c>
      <c r="C10" s="421"/>
      <c r="D10" s="422"/>
      <c r="E10" s="422"/>
      <c r="F10" s="422"/>
      <c r="G10" s="422"/>
      <c r="H10" s="422" t="str">
        <f>IF(Offerteblad!I67="","",Offerteblad!I67)</f>
        <v/>
      </c>
      <c r="I10" s="422"/>
      <c r="J10" s="422"/>
      <c r="K10" s="422"/>
      <c r="L10" s="425"/>
      <c r="M10" s="16"/>
    </row>
    <row r="11" spans="1:13" x14ac:dyDescent="0.25">
      <c r="A11" s="16"/>
      <c r="B11" s="420" t="str">
        <f>IF(Offerteblad!C68="","",Offerteblad!C68)</f>
        <v/>
      </c>
      <c r="C11" s="421"/>
      <c r="D11" s="422"/>
      <c r="E11" s="422"/>
      <c r="F11" s="422"/>
      <c r="G11" s="422"/>
      <c r="H11" s="422" t="str">
        <f>IF(Offerteblad!I68="","",Offerteblad!I68)</f>
        <v/>
      </c>
      <c r="I11" s="422"/>
      <c r="J11" s="422"/>
      <c r="K11" s="422"/>
      <c r="L11" s="425"/>
      <c r="M11" s="16"/>
    </row>
    <row r="12" spans="1:13" x14ac:dyDescent="0.25">
      <c r="A12" s="16"/>
      <c r="B12" s="428" t="str">
        <f>IF(Offerteblad!C69="","",Offerteblad!C69)</f>
        <v/>
      </c>
      <c r="C12" s="429"/>
      <c r="D12" s="442" t="str">
        <f>IF(Offerteblad!C70="","",Offerteblad!C70)</f>
        <v/>
      </c>
      <c r="E12" s="442"/>
      <c r="F12" s="442"/>
      <c r="G12" s="442"/>
      <c r="H12" s="245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20" t="str">
        <f>IF(Offerteblad!C71="&lt;selecteer&gt;","",Offerteblad!C71)</f>
        <v/>
      </c>
      <c r="C13" s="421"/>
      <c r="D13" s="422"/>
      <c r="E13" s="422"/>
      <c r="F13" s="422"/>
      <c r="G13" s="422"/>
      <c r="H13" s="421" t="str">
        <f>IF(Offerteblad!I71="&lt;selecteer&gt;","",Offerteblad!I71)</f>
        <v/>
      </c>
      <c r="I13" s="422"/>
      <c r="J13" s="422"/>
      <c r="K13" s="422"/>
      <c r="L13" s="425"/>
      <c r="M13" s="16"/>
    </row>
    <row r="14" spans="1:13" x14ac:dyDescent="0.25">
      <c r="A14" s="16"/>
      <c r="B14" s="420" t="str">
        <f>IF(Offerteblad!C72="","",Offerteblad!C72)</f>
        <v/>
      </c>
      <c r="C14" s="421"/>
      <c r="D14" s="421"/>
      <c r="E14" s="466" t="str">
        <f>IF(Offerteblad!C73="","",Offerteblad!C73)</f>
        <v/>
      </c>
      <c r="F14" s="466"/>
      <c r="G14" s="466"/>
      <c r="H14" s="422" t="str">
        <f>IF(Offerteblad!I72="","",Offerteblad!I72)</f>
        <v/>
      </c>
      <c r="I14" s="422"/>
      <c r="J14" s="422"/>
      <c r="K14" s="422"/>
      <c r="L14" s="425"/>
      <c r="M14" s="16"/>
    </row>
    <row r="15" spans="1:13" x14ac:dyDescent="0.25">
      <c r="A15" s="16"/>
      <c r="B15" s="420" t="str">
        <f>IF(Offerteblad!C74="","",Offerteblad!C74)</f>
        <v/>
      </c>
      <c r="C15" s="421"/>
      <c r="D15" s="422"/>
      <c r="E15" s="422"/>
      <c r="F15" s="422"/>
      <c r="G15" s="422"/>
      <c r="H15" s="426"/>
      <c r="I15" s="426"/>
      <c r="J15" s="426"/>
      <c r="K15" s="426"/>
      <c r="L15" s="427"/>
      <c r="M15" s="16"/>
    </row>
    <row r="16" spans="1:13" ht="6" customHeight="1" x14ac:dyDescent="0.25">
      <c r="A16" s="16"/>
      <c r="B16" s="432"/>
      <c r="C16" s="433"/>
      <c r="D16" s="433"/>
      <c r="E16" s="433"/>
      <c r="F16" s="433"/>
      <c r="G16" s="433"/>
      <c r="H16" s="462"/>
      <c r="I16" s="462"/>
      <c r="J16" s="462"/>
      <c r="K16" s="462"/>
      <c r="L16" s="463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16" t="s">
        <v>239</v>
      </c>
      <c r="C18" s="416"/>
      <c r="D18" s="416"/>
      <c r="E18" s="416"/>
      <c r="F18" s="416"/>
      <c r="G18" s="416"/>
      <c r="H18" s="416" t="s">
        <v>240</v>
      </c>
      <c r="I18" s="416"/>
      <c r="J18" s="416"/>
      <c r="K18" s="416"/>
      <c r="L18" s="416"/>
      <c r="M18" s="16"/>
    </row>
    <row r="19" spans="1:13" ht="7.5" customHeight="1" x14ac:dyDescent="0.25">
      <c r="A19" s="16"/>
      <c r="B19" s="417"/>
      <c r="C19" s="418"/>
      <c r="D19" s="419"/>
      <c r="E19" s="419"/>
      <c r="F19" s="419"/>
      <c r="G19" s="419"/>
      <c r="H19" s="464"/>
      <c r="I19" s="464"/>
      <c r="J19" s="464"/>
      <c r="K19" s="464"/>
      <c r="L19" s="465"/>
      <c r="M19" s="16"/>
    </row>
    <row r="20" spans="1:13" x14ac:dyDescent="0.25">
      <c r="A20" s="16"/>
      <c r="B20" s="409"/>
      <c r="C20" s="410"/>
      <c r="D20" s="410"/>
      <c r="E20" s="410"/>
      <c r="F20" s="410"/>
      <c r="G20" s="410"/>
      <c r="H20" s="56" t="str">
        <f>IF(Offerteblad!C79="&lt;selecteer&gt;","",Offerteblad!C79)</f>
        <v>Bezorgen</v>
      </c>
      <c r="I20" s="411" t="str">
        <f>IF(Offerteblad!E79="&lt;kies locatie&gt;","",Offerteblad!E79)</f>
        <v/>
      </c>
      <c r="J20" s="411"/>
      <c r="K20" s="411"/>
      <c r="L20" s="58"/>
      <c r="M20" s="16"/>
    </row>
    <row r="21" spans="1:13" ht="7.5" customHeight="1" x14ac:dyDescent="0.25">
      <c r="A21" s="16"/>
      <c r="B21" s="432"/>
      <c r="C21" s="433"/>
      <c r="D21" s="433"/>
      <c r="E21" s="433"/>
      <c r="F21" s="433"/>
      <c r="G21" s="433"/>
      <c r="H21" s="462"/>
      <c r="I21" s="462"/>
      <c r="J21" s="462"/>
      <c r="K21" s="462"/>
      <c r="L21" s="463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56" t="s">
        <v>10</v>
      </c>
      <c r="C23" s="412" t="s">
        <v>63</v>
      </c>
      <c r="D23" s="413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ht="13.8" x14ac:dyDescent="0.3">
      <c r="A24" s="16"/>
      <c r="B24" s="457"/>
      <c r="C24" s="414"/>
      <c r="D24" s="415"/>
      <c r="E24" s="42" t="s">
        <v>18</v>
      </c>
      <c r="F24" s="42" t="s">
        <v>18</v>
      </c>
      <c r="G24" s="42" t="s">
        <v>18</v>
      </c>
      <c r="H24" s="468" t="s">
        <v>21</v>
      </c>
      <c r="I24" s="469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1" t="str">
        <f>IF(Offerteblad!K16= 0, "",Offerteblad!K16)</f>
        <v/>
      </c>
      <c r="L26" s="292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1" t="str">
        <f>IF(Offerteblad!K17= 0, "",Offerteblad!K17)</f>
        <v/>
      </c>
      <c r="L27" s="292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1" t="str">
        <f>IF(Offerteblad!K18= 0, "",Offerteblad!K18)</f>
        <v/>
      </c>
      <c r="L28" s="292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1" t="str">
        <f>IF(Offerteblad!K19= 0, "",Offerteblad!K19)</f>
        <v/>
      </c>
      <c r="L29" s="292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>Ducoline 10/17/23 RAL standaard</v>
      </c>
      <c r="I30" s="402"/>
      <c r="J30" s="54" t="str">
        <f>IF(Offerteblad!I20="", "", Offerteblad!I20)</f>
        <v/>
      </c>
      <c r="K30" s="291" t="str">
        <f>IF(Offerteblad!K20= 0, "",Offerteblad!K20)</f>
        <v/>
      </c>
      <c r="L30" s="292" t="str">
        <f>IF(Offerteblad!L20= 0, "",Offerteblad!L20)</f>
        <v/>
      </c>
      <c r="M30" s="16"/>
    </row>
    <row r="31" spans="1:13" x14ac:dyDescent="0.25">
      <c r="A31" s="16"/>
      <c r="B31" s="55">
        <f>IF(Offerteblad!E21=0,"",Offerteblad!E21)</f>
        <v>5</v>
      </c>
      <c r="C31" s="401" t="str">
        <f>IF(Offerteblad!B21="  &lt;selecteer&gt;","",Offerteblad!B21)</f>
        <v>HR++ 4 - 4*</v>
      </c>
      <c r="D31" s="402"/>
      <c r="E31" s="53">
        <f>IF(Offerteblad!F21= 0, "",Offerteblad!F21)</f>
        <v>50</v>
      </c>
      <c r="F31" s="53">
        <f>IF(Offerteblad!G21= 0, "",Offerteblad!G21)</f>
        <v>100</v>
      </c>
      <c r="G31" s="53" t="str">
        <f>IF(Offerteblad!C21="&lt;selecteer&gt;", "", Offerteblad!C21)</f>
        <v>13 mm</v>
      </c>
      <c r="H31" s="401" t="str">
        <f>IF(Offerteblad!H21="  &lt;selecteer&gt;","",Offerteblad!H21)</f>
        <v>Ducoline 10/17/23 ZR F1 Alu</v>
      </c>
      <c r="I31" s="402"/>
      <c r="J31" s="54" t="str">
        <f>IF(Offerteblad!I21="", "", Offerteblad!I21)</f>
        <v>RAL 9010</v>
      </c>
      <c r="K31" s="291">
        <f>IF(Offerteblad!K21= 0, "",Offerteblad!K21)</f>
        <v>87.5</v>
      </c>
      <c r="L31" s="292">
        <f>IF(Offerteblad!L21= 0, "",Offerteblad!L21)</f>
        <v>211.75</v>
      </c>
      <c r="M31" s="16"/>
    </row>
    <row r="32" spans="1:13" x14ac:dyDescent="0.25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1" t="str">
        <f>IF(Offerteblad!K22= 0, "",Offerteblad!K22)</f>
        <v/>
      </c>
      <c r="L32" s="292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1" t="str">
        <f>IF(Offerteblad!K23= 0, "",Offerteblad!K23)</f>
        <v/>
      </c>
      <c r="L33" s="292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1" t="str">
        <f>IF(Offerteblad!K24= 0, "",Offerteblad!K24)</f>
        <v/>
      </c>
      <c r="L34" s="292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1" t="str">
        <f>IF(Offerteblad!K25= 0, "",Offerteblad!K25)</f>
        <v/>
      </c>
      <c r="L35" s="292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1" t="str">
        <f>IF(Offerteblad!K26= 0, "",Offerteblad!K26)</f>
        <v/>
      </c>
      <c r="L36" s="292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1" t="str">
        <f>IF(Offerteblad!K27= 0, "",Offerteblad!K27)</f>
        <v/>
      </c>
      <c r="L37" s="292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1" t="str">
        <f>IF(Offerteblad!K28= 0, "",Offerteblad!K28)</f>
        <v/>
      </c>
      <c r="L38" s="292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1" t="str">
        <f>IF(Offerteblad!K29= 0, "",Offerteblad!K29)</f>
        <v/>
      </c>
      <c r="L39" s="292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1" t="str">
        <f>IF(Offerteblad!K30= 0, "",Offerteblad!K30)</f>
        <v/>
      </c>
      <c r="L40" s="292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1" t="str">
        <f>IF(Offerteblad!K31= 0, "",Offerteblad!K31)</f>
        <v/>
      </c>
      <c r="L41" s="292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1" t="str">
        <f>IF(Offerteblad!K32= 0, "",Offerteblad!K32)</f>
        <v/>
      </c>
      <c r="L42" s="292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1" t="str">
        <f>IF(Offerteblad!K33= 0, "",Offerteblad!K33)</f>
        <v/>
      </c>
      <c r="L43" s="292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1" t="str">
        <f>IF(Offerteblad!K34= 0, "",Offerteblad!K34)</f>
        <v/>
      </c>
      <c r="L44" s="292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30"/>
      <c r="D45" s="431"/>
      <c r="E45" s="25"/>
      <c r="F45" s="25"/>
      <c r="G45" s="25"/>
      <c r="H45" s="430"/>
      <c r="I45" s="431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36">
        <f>SUM(K26:L44)</f>
        <v>299.25</v>
      </c>
      <c r="L46" s="437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22" ht="6" customHeight="1" x14ac:dyDescent="0.25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22" x14ac:dyDescent="0.25">
      <c r="A50" s="16"/>
      <c r="B50" s="52">
        <f>IF(K50="","",IF(K50&gt;0,Offerteblad!F46))</f>
        <v>1</v>
      </c>
      <c r="C50" s="401" t="str">
        <f>Offerteblad!H46</f>
        <v>Beglazingskit Easyseal XPS wit, koker á 310 ml</v>
      </c>
      <c r="D50" s="405"/>
      <c r="E50" s="405"/>
      <c r="F50" s="405"/>
      <c r="G50" s="405"/>
      <c r="H50" s="405"/>
      <c r="I50" s="405"/>
      <c r="J50" s="402"/>
      <c r="K50" s="403">
        <f>Offerteblad!L46</f>
        <v>3.9</v>
      </c>
      <c r="L50" s="404"/>
      <c r="M50" s="16"/>
    </row>
    <row r="51" spans="1:22" x14ac:dyDescent="0.25">
      <c r="A51" s="16"/>
      <c r="B51" s="52">
        <f>IF(K51="","",IF(K51&gt;0,Offerteblad!F47))</f>
        <v>1</v>
      </c>
      <c r="C51" s="401" t="str">
        <f>Offerteblad!H47</f>
        <v>Beglazingsband 9x3 mm wit, rol á 25 m1</v>
      </c>
      <c r="D51" s="405"/>
      <c r="E51" s="405"/>
      <c r="F51" s="405"/>
      <c r="G51" s="405"/>
      <c r="H51" s="405"/>
      <c r="I51" s="405"/>
      <c r="J51" s="402"/>
      <c r="K51" s="403">
        <f>Offerteblad!L47</f>
        <v>3</v>
      </c>
      <c r="L51" s="404"/>
      <c r="M51" s="16"/>
    </row>
    <row r="52" spans="1:22" x14ac:dyDescent="0.25">
      <c r="A52" s="16"/>
      <c r="B52" s="52">
        <f>IF(K52="","",IF(K52&gt;0,Offerteblad!F48))</f>
        <v>5</v>
      </c>
      <c r="C52" s="401" t="str">
        <f>Offerteblad!H48</f>
        <v>Beglazingsblokjes, set per ruit</v>
      </c>
      <c r="D52" s="405"/>
      <c r="E52" s="405"/>
      <c r="F52" s="405"/>
      <c r="G52" s="405"/>
      <c r="H52" s="405"/>
      <c r="I52" s="405"/>
      <c r="J52" s="402"/>
      <c r="K52" s="403">
        <f>Offerteblad!L48</f>
        <v>5</v>
      </c>
      <c r="L52" s="404"/>
      <c r="M52" s="16"/>
    </row>
    <row r="53" spans="1:22" x14ac:dyDescent="0.25">
      <c r="A53" s="16"/>
      <c r="B53" s="52">
        <f>IF(K53="","",IF(K53&gt;0,1,""))</f>
        <v>1</v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>
        <f>Offerteblad!L49</f>
        <v>7</v>
      </c>
      <c r="L53" s="404"/>
      <c r="M53" s="16"/>
    </row>
    <row r="54" spans="1:22" ht="6" customHeight="1" x14ac:dyDescent="0.25">
      <c r="A54" s="16"/>
      <c r="B54" s="24"/>
      <c r="C54" s="430"/>
      <c r="D54" s="459"/>
      <c r="E54" s="459"/>
      <c r="F54" s="459"/>
      <c r="G54" s="459"/>
      <c r="H54" s="459"/>
      <c r="I54" s="459"/>
      <c r="J54" s="431"/>
      <c r="K54" s="452"/>
      <c r="L54" s="453"/>
      <c r="M54" s="16"/>
    </row>
    <row r="55" spans="1:22" ht="18.75" customHeight="1" x14ac:dyDescent="0.25">
      <c r="A55" s="16"/>
      <c r="B55" s="467" t="s">
        <v>67</v>
      </c>
      <c r="C55" s="467"/>
      <c r="D55" s="467"/>
      <c r="E55" s="467"/>
      <c r="F55" s="467"/>
      <c r="G55" s="467"/>
      <c r="H55" s="246"/>
      <c r="I55" s="246"/>
      <c r="J55" s="48" t="s">
        <v>29</v>
      </c>
      <c r="K55" s="470">
        <f>SUM(K50:L53)</f>
        <v>18.899999999999999</v>
      </c>
      <c r="L55" s="471"/>
      <c r="M55" s="16"/>
      <c r="N55" s="221" t="str">
        <f>IF(Offerteblad!$B$85="","","Zie offerteblad voor opmerkingen klant")</f>
        <v/>
      </c>
    </row>
    <row r="56" spans="1:22" ht="6" customHeight="1" x14ac:dyDescent="0.25">
      <c r="A56" s="16"/>
      <c r="B56" s="400" t="s">
        <v>4</v>
      </c>
      <c r="C56" s="400"/>
      <c r="D56" s="400"/>
      <c r="E56" s="400"/>
      <c r="F56" s="400"/>
      <c r="G56" s="400"/>
      <c r="H56" s="246"/>
      <c r="I56" s="246"/>
      <c r="J56" s="246"/>
      <c r="K56" s="12"/>
      <c r="L56" s="13"/>
      <c r="M56" s="16"/>
    </row>
    <row r="57" spans="1:22" x14ac:dyDescent="0.25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23</v>
      </c>
      <c r="L57" s="449"/>
      <c r="M57" s="16"/>
    </row>
    <row r="58" spans="1:22" x14ac:dyDescent="0.25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22" ht="6" customHeight="1" x14ac:dyDescent="0.25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22" ht="18.75" customHeight="1" x14ac:dyDescent="0.25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43">
        <f>Offerteblad!K56</f>
        <v>341.15</v>
      </c>
      <c r="L60" s="444"/>
      <c r="M60" s="16"/>
    </row>
    <row r="61" spans="1:22" ht="6" customHeight="1" x14ac:dyDescent="0.25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22" ht="12.75" customHeight="1" x14ac:dyDescent="0.25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40">
        <f>Offerteblad!K58</f>
        <v>71.641499999999994</v>
      </c>
      <c r="L62" s="441"/>
      <c r="M62" s="16"/>
    </row>
    <row r="63" spans="1:22" ht="12.75" customHeight="1" x14ac:dyDescent="0.25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37" t="str">
        <f>IF(K63="","",("Btw regeling bouw"))</f>
        <v/>
      </c>
    </row>
    <row r="64" spans="1:22" s="8" customFormat="1" ht="6" customHeight="1" x14ac:dyDescent="0.25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  <c r="Q64" s="5"/>
      <c r="R64" s="5"/>
      <c r="S64" s="5"/>
      <c r="T64" s="5"/>
      <c r="U64" s="5"/>
      <c r="V64" s="5"/>
    </row>
    <row r="65" spans="1:13" ht="18.75" customHeight="1" x14ac:dyDescent="0.25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412.79149999999998</v>
      </c>
      <c r="L65" s="439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61" t="str">
        <f>'© Copyright'!A1</f>
        <v>© 2004 - 2019 Glasdiscount.nl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</row>
    <row r="69" spans="1:13" ht="13.8" x14ac:dyDescent="0.3">
      <c r="B69" s="461" t="str">
        <f>'© Copyright'!A3</f>
        <v>Deze spreadsheet is eigendom van Glasdiscount.nl en mag uitsluitend gebruikt worden door (potentiële) relaties en klanten van Glasdiscount.nl</v>
      </c>
      <c r="C69" s="461"/>
      <c r="D69" s="461"/>
      <c r="E69" s="461"/>
      <c r="F69" s="461"/>
      <c r="G69" s="461"/>
      <c r="H69" s="461"/>
      <c r="I69" s="461"/>
      <c r="J69" s="461"/>
      <c r="K69" s="461"/>
      <c r="L69" s="461"/>
    </row>
    <row r="70" spans="1:13" ht="13.8" x14ac:dyDescent="0.3">
      <c r="B70" s="461" t="str">
        <f>'© Copyright'!A4</f>
        <v>Op geen enkele wijze mag dit programma gekopieerd of hergebruikt worden tenzij schriftelijke toestemming is verleend door Glasdiscount.nl</v>
      </c>
      <c r="C70" s="461"/>
      <c r="D70" s="461"/>
      <c r="E70" s="461"/>
      <c r="F70" s="461"/>
      <c r="G70" s="461"/>
      <c r="H70" s="461"/>
      <c r="I70" s="461"/>
      <c r="J70" s="461"/>
      <c r="K70" s="461"/>
      <c r="L70" s="461"/>
    </row>
  </sheetData>
  <sheetProtection password="E729" sheet="1" objects="1" scenarios="1" selectLockedCells="1"/>
  <mergeCells count="105">
    <mergeCell ref="K55:L55"/>
    <mergeCell ref="K52:L52"/>
    <mergeCell ref="H10:L10"/>
    <mergeCell ref="H11:L11"/>
    <mergeCell ref="C54:J54"/>
    <mergeCell ref="D5:G5"/>
    <mergeCell ref="B68:L68"/>
    <mergeCell ref="B69:L69"/>
    <mergeCell ref="B70:L70"/>
    <mergeCell ref="H16:L16"/>
    <mergeCell ref="H9:L9"/>
    <mergeCell ref="H19:L19"/>
    <mergeCell ref="H21:L21"/>
    <mergeCell ref="B14:D14"/>
    <mergeCell ref="E14:G14"/>
    <mergeCell ref="H30:I30"/>
    <mergeCell ref="H31:I31"/>
    <mergeCell ref="H32:I32"/>
    <mergeCell ref="H37:I37"/>
    <mergeCell ref="H38:I38"/>
    <mergeCell ref="B55:G55"/>
    <mergeCell ref="B9:G9"/>
    <mergeCell ref="B10:G10"/>
    <mergeCell ref="B11:G11"/>
    <mergeCell ref="H24:I24"/>
    <mergeCell ref="B8:G8"/>
    <mergeCell ref="C29:D29"/>
    <mergeCell ref="C33:D33"/>
    <mergeCell ref="C34:D34"/>
    <mergeCell ref="B21:G21"/>
    <mergeCell ref="C25:D25"/>
    <mergeCell ref="B2:L2"/>
    <mergeCell ref="H23:J23"/>
    <mergeCell ref="K46:L46"/>
    <mergeCell ref="B16:G16"/>
    <mergeCell ref="D12:G12"/>
    <mergeCell ref="I4:L5"/>
    <mergeCell ref="G4:H4"/>
    <mergeCell ref="B15:G15"/>
    <mergeCell ref="C28:D28"/>
    <mergeCell ref="B23:B24"/>
    <mergeCell ref="H25:I25"/>
    <mergeCell ref="H26:I26"/>
    <mergeCell ref="H45:I45"/>
    <mergeCell ref="H8:L8"/>
    <mergeCell ref="B18:G18"/>
    <mergeCell ref="H18:L18"/>
    <mergeCell ref="B19:G19"/>
    <mergeCell ref="B13:G13"/>
    <mergeCell ref="C35:D35"/>
    <mergeCell ref="C52:J52"/>
    <mergeCell ref="B4:C4"/>
    <mergeCell ref="B5:C5"/>
    <mergeCell ref="H13:L13"/>
    <mergeCell ref="H14:L14"/>
    <mergeCell ref="H15:L15"/>
    <mergeCell ref="K51:L51"/>
    <mergeCell ref="H36:I36"/>
    <mergeCell ref="B12:C12"/>
    <mergeCell ref="C44:D44"/>
    <mergeCell ref="C45:D45"/>
    <mergeCell ref="H39:I39"/>
    <mergeCell ref="H41:I41"/>
    <mergeCell ref="H42:I42"/>
    <mergeCell ref="H43:I43"/>
    <mergeCell ref="H44:I44"/>
    <mergeCell ref="C43:D43"/>
    <mergeCell ref="C42:D42"/>
    <mergeCell ref="C32:D32"/>
    <mergeCell ref="H33:I33"/>
    <mergeCell ref="B20:G20"/>
    <mergeCell ref="H27:I27"/>
    <mergeCell ref="H29:I29"/>
    <mergeCell ref="H28:I28"/>
    <mergeCell ref="C30:D30"/>
    <mergeCell ref="C31:D31"/>
    <mergeCell ref="H34:I34"/>
    <mergeCell ref="I20:K20"/>
    <mergeCell ref="C23:D24"/>
    <mergeCell ref="C26:D26"/>
    <mergeCell ref="C27:D27"/>
    <mergeCell ref="B61:H65"/>
    <mergeCell ref="B56:G59"/>
    <mergeCell ref="H35:I35"/>
    <mergeCell ref="C37:D37"/>
    <mergeCell ref="C39:D39"/>
    <mergeCell ref="C40:D40"/>
    <mergeCell ref="C41:D41"/>
    <mergeCell ref="K53:L53"/>
    <mergeCell ref="C53:J53"/>
    <mergeCell ref="C49:J49"/>
    <mergeCell ref="C50:J50"/>
    <mergeCell ref="C51:J51"/>
    <mergeCell ref="C38:D38"/>
    <mergeCell ref="C36:D36"/>
    <mergeCell ref="H40:I40"/>
    <mergeCell ref="K65:L65"/>
    <mergeCell ref="K62:L62"/>
    <mergeCell ref="K50:L50"/>
    <mergeCell ref="K60:L60"/>
    <mergeCell ref="K57:L57"/>
    <mergeCell ref="K58:L58"/>
    <mergeCell ref="K54:L54"/>
    <mergeCell ref="K49:L49"/>
    <mergeCell ref="K63:L63"/>
  </mergeCells>
  <conditionalFormatting sqref="K63:L63">
    <cfRule type="expression" dxfId="2" priority="1">
      <formula>$K$63*1&gt;0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N70"/>
  <sheetViews>
    <sheetView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34" t="s">
        <v>303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23" t="s">
        <v>1</v>
      </c>
      <c r="C4" s="424"/>
      <c r="D4" s="247">
        <f ca="1">TODAY()</f>
        <v>43055</v>
      </c>
      <c r="E4" s="49"/>
      <c r="F4" s="7"/>
      <c r="G4" s="447"/>
      <c r="H4" s="447"/>
      <c r="I4" s="445" t="s">
        <v>70</v>
      </c>
      <c r="J4" s="445"/>
      <c r="K4" s="445"/>
      <c r="L4" s="446"/>
      <c r="M4" s="16"/>
    </row>
    <row r="5" spans="1:13" ht="12.75" customHeight="1" x14ac:dyDescent="0.25">
      <c r="A5" s="16"/>
      <c r="B5" s="423" t="s">
        <v>3</v>
      </c>
      <c r="C5" s="424"/>
      <c r="D5" s="474" t="str">
        <f>Offerteblad!C5</f>
        <v>……</v>
      </c>
      <c r="E5" s="474"/>
      <c r="F5" s="474"/>
      <c r="G5" s="474"/>
      <c r="H5" s="7"/>
      <c r="I5" s="445"/>
      <c r="J5" s="445"/>
      <c r="K5" s="445"/>
      <c r="L5" s="446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16" t="s">
        <v>44</v>
      </c>
      <c r="C8" s="416"/>
      <c r="D8" s="416"/>
      <c r="E8" s="416"/>
      <c r="F8" s="416"/>
      <c r="G8" s="416"/>
      <c r="H8" s="416" t="str">
        <f>Offerteblad!H65</f>
        <v>Afleveradres</v>
      </c>
      <c r="I8" s="416"/>
      <c r="J8" s="416"/>
      <c r="K8" s="416"/>
      <c r="L8" s="416"/>
      <c r="M8" s="16"/>
    </row>
    <row r="9" spans="1:13" ht="6" customHeight="1" x14ac:dyDescent="0.25">
      <c r="A9" s="16"/>
      <c r="B9" s="417"/>
      <c r="C9" s="418"/>
      <c r="D9" s="419"/>
      <c r="E9" s="419"/>
      <c r="F9" s="419"/>
      <c r="G9" s="419"/>
      <c r="H9" s="464"/>
      <c r="I9" s="464"/>
      <c r="J9" s="464"/>
      <c r="K9" s="464"/>
      <c r="L9" s="465"/>
      <c r="M9" s="16"/>
    </row>
    <row r="10" spans="1:13" x14ac:dyDescent="0.25">
      <c r="A10" s="16"/>
      <c r="B10" s="420" t="str">
        <f>IF(Offerteblad!C67="","",Offerteblad!C67)</f>
        <v/>
      </c>
      <c r="C10" s="421"/>
      <c r="D10" s="422"/>
      <c r="E10" s="422"/>
      <c r="F10" s="422"/>
      <c r="G10" s="422"/>
      <c r="H10" s="422" t="str">
        <f>IF(Offerteblad!I67="","",Offerteblad!I67)</f>
        <v/>
      </c>
      <c r="I10" s="422"/>
      <c r="J10" s="422"/>
      <c r="K10" s="422"/>
      <c r="L10" s="425"/>
      <c r="M10" s="16"/>
    </row>
    <row r="11" spans="1:13" x14ac:dyDescent="0.25">
      <c r="A11" s="16"/>
      <c r="B11" s="420" t="str">
        <f>IF(Offerteblad!C68="","",Offerteblad!C68)</f>
        <v/>
      </c>
      <c r="C11" s="421"/>
      <c r="D11" s="422"/>
      <c r="E11" s="422"/>
      <c r="F11" s="422"/>
      <c r="G11" s="422"/>
      <c r="H11" s="422" t="str">
        <f>IF(Offerteblad!I68="","",Offerteblad!I68)</f>
        <v/>
      </c>
      <c r="I11" s="422"/>
      <c r="J11" s="422"/>
      <c r="K11" s="422"/>
      <c r="L11" s="425"/>
      <c r="M11" s="16"/>
    </row>
    <row r="12" spans="1:13" x14ac:dyDescent="0.25">
      <c r="A12" s="16"/>
      <c r="B12" s="428" t="str">
        <f>IF(Offerteblad!C69="","",Offerteblad!C69)</f>
        <v/>
      </c>
      <c r="C12" s="429"/>
      <c r="D12" s="442" t="str">
        <f>IF(Offerteblad!C70="","",Offerteblad!C70)</f>
        <v/>
      </c>
      <c r="E12" s="442"/>
      <c r="F12" s="442"/>
      <c r="G12" s="442"/>
      <c r="H12" s="245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20" t="str">
        <f>IF(Offerteblad!C71="&lt;selecteer&gt;","",Offerteblad!C71)</f>
        <v/>
      </c>
      <c r="C13" s="421"/>
      <c r="D13" s="422"/>
      <c r="E13" s="422"/>
      <c r="F13" s="422"/>
      <c r="G13" s="422"/>
      <c r="H13" s="421" t="str">
        <f>IF(Offerteblad!I71="&lt;selecteer&gt;","",Offerteblad!I71)</f>
        <v/>
      </c>
      <c r="I13" s="422"/>
      <c r="J13" s="422"/>
      <c r="K13" s="422"/>
      <c r="L13" s="425"/>
      <c r="M13" s="16"/>
    </row>
    <row r="14" spans="1:13" x14ac:dyDescent="0.25">
      <c r="A14" s="16"/>
      <c r="B14" s="420" t="str">
        <f>IF(Offerteblad!C72="","",Offerteblad!C72)</f>
        <v/>
      </c>
      <c r="C14" s="421"/>
      <c r="D14" s="421"/>
      <c r="E14" s="466" t="str">
        <f>IF(Offerteblad!C73="","",Offerteblad!C73)</f>
        <v/>
      </c>
      <c r="F14" s="466"/>
      <c r="G14" s="466"/>
      <c r="H14" s="422" t="str">
        <f>IF(Offerteblad!I72="","",Offerteblad!I72)</f>
        <v/>
      </c>
      <c r="I14" s="422"/>
      <c r="J14" s="422"/>
      <c r="K14" s="422"/>
      <c r="L14" s="425"/>
      <c r="M14" s="16"/>
    </row>
    <row r="15" spans="1:13" x14ac:dyDescent="0.25">
      <c r="A15" s="16"/>
      <c r="B15" s="420" t="str">
        <f>IF(Offerteblad!C74="","",Offerteblad!C74)</f>
        <v/>
      </c>
      <c r="C15" s="421"/>
      <c r="D15" s="422"/>
      <c r="E15" s="422"/>
      <c r="F15" s="422"/>
      <c r="G15" s="422"/>
      <c r="H15" s="426"/>
      <c r="I15" s="426"/>
      <c r="J15" s="426"/>
      <c r="K15" s="426"/>
      <c r="L15" s="427"/>
      <c r="M15" s="16"/>
    </row>
    <row r="16" spans="1:13" ht="6" customHeight="1" x14ac:dyDescent="0.25">
      <c r="A16" s="16"/>
      <c r="B16" s="432"/>
      <c r="C16" s="433"/>
      <c r="D16" s="433"/>
      <c r="E16" s="433"/>
      <c r="F16" s="433"/>
      <c r="G16" s="433"/>
      <c r="H16" s="462"/>
      <c r="I16" s="462"/>
      <c r="J16" s="462"/>
      <c r="K16" s="462"/>
      <c r="L16" s="463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16" t="s">
        <v>239</v>
      </c>
      <c r="C18" s="416"/>
      <c r="D18" s="416"/>
      <c r="E18" s="416"/>
      <c r="F18" s="416"/>
      <c r="G18" s="416"/>
      <c r="H18" s="416" t="s">
        <v>240</v>
      </c>
      <c r="I18" s="416"/>
      <c r="J18" s="416"/>
      <c r="K18" s="416"/>
      <c r="L18" s="416"/>
      <c r="M18" s="16"/>
    </row>
    <row r="19" spans="1:13" ht="7.5" customHeight="1" x14ac:dyDescent="0.25">
      <c r="A19" s="16"/>
      <c r="B19" s="417"/>
      <c r="C19" s="418"/>
      <c r="D19" s="419"/>
      <c r="E19" s="419"/>
      <c r="F19" s="419"/>
      <c r="G19" s="419"/>
      <c r="H19" s="464"/>
      <c r="I19" s="464"/>
      <c r="J19" s="464"/>
      <c r="K19" s="464"/>
      <c r="L19" s="465"/>
      <c r="M19" s="16"/>
    </row>
    <row r="20" spans="1:13" x14ac:dyDescent="0.25">
      <c r="A20" s="16"/>
      <c r="B20" s="472"/>
      <c r="C20" s="473"/>
      <c r="D20" s="473"/>
      <c r="E20" s="473"/>
      <c r="F20" s="473"/>
      <c r="G20" s="473"/>
      <c r="H20" s="56" t="str">
        <f>IF(Offerteblad!C79="&lt;selecteer&gt;","",Offerteblad!C79)</f>
        <v>Bezorgen</v>
      </c>
      <c r="I20" s="411" t="str">
        <f>IF(Offerteblad!E79="&lt;kies locatie&gt;","",Offerteblad!E79)</f>
        <v/>
      </c>
      <c r="J20" s="411"/>
      <c r="K20" s="411"/>
      <c r="L20" s="58"/>
      <c r="M20" s="16"/>
    </row>
    <row r="21" spans="1:13" ht="7.5" customHeight="1" x14ac:dyDescent="0.25">
      <c r="A21" s="16"/>
      <c r="B21" s="432"/>
      <c r="C21" s="433"/>
      <c r="D21" s="433"/>
      <c r="E21" s="433"/>
      <c r="F21" s="433"/>
      <c r="G21" s="433"/>
      <c r="H21" s="462"/>
      <c r="I21" s="462"/>
      <c r="J21" s="462"/>
      <c r="K21" s="462"/>
      <c r="L21" s="463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56" t="s">
        <v>10</v>
      </c>
      <c r="C23" s="412" t="s">
        <v>63</v>
      </c>
      <c r="D23" s="413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ht="13.8" x14ac:dyDescent="0.3">
      <c r="A24" s="16"/>
      <c r="B24" s="457"/>
      <c r="C24" s="414"/>
      <c r="D24" s="415"/>
      <c r="E24" s="42" t="s">
        <v>18</v>
      </c>
      <c r="F24" s="42" t="s">
        <v>18</v>
      </c>
      <c r="G24" s="42" t="s">
        <v>18</v>
      </c>
      <c r="H24" s="468" t="s">
        <v>21</v>
      </c>
      <c r="I24" s="469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1" t="str">
        <f>IF(Offerteblad!K16= 0, "",Offerteblad!K16)</f>
        <v/>
      </c>
      <c r="L26" s="292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1" t="str">
        <f>IF(Offerteblad!K17= 0, "",Offerteblad!K17)</f>
        <v/>
      </c>
      <c r="L27" s="292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1" t="str">
        <f>IF(Offerteblad!K18= 0, "",Offerteblad!K18)</f>
        <v/>
      </c>
      <c r="L28" s="292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1" t="str">
        <f>IF(Offerteblad!K19= 0, "",Offerteblad!K19)</f>
        <v/>
      </c>
      <c r="L29" s="292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>Ducoline 10/17/23 RAL standaard</v>
      </c>
      <c r="I30" s="402"/>
      <c r="J30" s="54" t="str">
        <f>IF(Offerteblad!I20="", "", Offerteblad!I20)</f>
        <v/>
      </c>
      <c r="K30" s="291" t="str">
        <f>IF(Offerteblad!K20= 0, "",Offerteblad!K20)</f>
        <v/>
      </c>
      <c r="L30" s="292" t="str">
        <f>IF(Offerteblad!L20= 0, "",Offerteblad!L20)</f>
        <v/>
      </c>
      <c r="M30" s="16"/>
    </row>
    <row r="31" spans="1:13" x14ac:dyDescent="0.25">
      <c r="A31" s="16"/>
      <c r="B31" s="55">
        <f>IF(Offerteblad!E21=0,"",Offerteblad!E21)</f>
        <v>5</v>
      </c>
      <c r="C31" s="401" t="str">
        <f>IF(Offerteblad!B21="  &lt;selecteer&gt;","",Offerteblad!B21)</f>
        <v>HR++ 4 - 4*</v>
      </c>
      <c r="D31" s="402"/>
      <c r="E31" s="53">
        <f>IF(Offerteblad!F21= 0, "",Offerteblad!F21)</f>
        <v>50</v>
      </c>
      <c r="F31" s="53">
        <f>IF(Offerteblad!G21= 0, "",Offerteblad!G21)</f>
        <v>100</v>
      </c>
      <c r="G31" s="53" t="str">
        <f>IF(Offerteblad!C21="&lt;selecteer&gt;", "", Offerteblad!C21)</f>
        <v>13 mm</v>
      </c>
      <c r="H31" s="401" t="str">
        <f>IF(Offerteblad!H21="  &lt;selecteer&gt;","",Offerteblad!H21)</f>
        <v>Ducoline 10/17/23 ZR F1 Alu</v>
      </c>
      <c r="I31" s="402"/>
      <c r="J31" s="54" t="str">
        <f>IF(Offerteblad!I21="", "", Offerteblad!I21)</f>
        <v>RAL 9010</v>
      </c>
      <c r="K31" s="291">
        <f>IF(Offerteblad!K21= 0, "",Offerteblad!K21)</f>
        <v>87.5</v>
      </c>
      <c r="L31" s="292">
        <f>IF(Offerteblad!L21= 0, "",Offerteblad!L21)</f>
        <v>211.75</v>
      </c>
      <c r="M31" s="16"/>
    </row>
    <row r="32" spans="1:13" x14ac:dyDescent="0.25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1" t="str">
        <f>IF(Offerteblad!K22= 0, "",Offerteblad!K22)</f>
        <v/>
      </c>
      <c r="L32" s="292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1" t="str">
        <f>IF(Offerteblad!K23= 0, "",Offerteblad!K23)</f>
        <v/>
      </c>
      <c r="L33" s="292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1" t="str">
        <f>IF(Offerteblad!K24= 0, "",Offerteblad!K24)</f>
        <v/>
      </c>
      <c r="L34" s="292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1" t="str">
        <f>IF(Offerteblad!K25= 0, "",Offerteblad!K25)</f>
        <v/>
      </c>
      <c r="L35" s="292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1" t="str">
        <f>IF(Offerteblad!K26= 0, "",Offerteblad!K26)</f>
        <v/>
      </c>
      <c r="L36" s="292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1" t="str">
        <f>IF(Offerteblad!K27= 0, "",Offerteblad!K27)</f>
        <v/>
      </c>
      <c r="L37" s="292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1" t="str">
        <f>IF(Offerteblad!K28= 0, "",Offerteblad!K28)</f>
        <v/>
      </c>
      <c r="L38" s="292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1" t="str">
        <f>IF(Offerteblad!K29= 0, "",Offerteblad!K29)</f>
        <v/>
      </c>
      <c r="L39" s="292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1" t="str">
        <f>IF(Offerteblad!K30= 0, "",Offerteblad!K30)</f>
        <v/>
      </c>
      <c r="L40" s="292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1" t="str">
        <f>IF(Offerteblad!K31= 0, "",Offerteblad!K31)</f>
        <v/>
      </c>
      <c r="L41" s="292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1" t="str">
        <f>IF(Offerteblad!K32= 0, "",Offerteblad!K32)</f>
        <v/>
      </c>
      <c r="L42" s="292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1" t="str">
        <f>IF(Offerteblad!K33= 0, "",Offerteblad!K33)</f>
        <v/>
      </c>
      <c r="L43" s="292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1" t="str">
        <f>IF(Offerteblad!K34= 0, "",Offerteblad!K34)</f>
        <v/>
      </c>
      <c r="L44" s="292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30"/>
      <c r="D45" s="431"/>
      <c r="E45" s="25"/>
      <c r="F45" s="25"/>
      <c r="G45" s="25"/>
      <c r="H45" s="430"/>
      <c r="I45" s="431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36">
        <f>SUM(K26:L44)</f>
        <v>299.25</v>
      </c>
      <c r="L46" s="437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5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14" x14ac:dyDescent="0.25">
      <c r="A50" s="16"/>
      <c r="B50" s="51">
        <f>IF(K50="","",IF(K50&gt;0,Offerteblad!F46))</f>
        <v>1</v>
      </c>
      <c r="C50" s="401" t="str">
        <f>Offerteblad!H46</f>
        <v>Beglazingskit Easyseal XPS wit, koker á 310 ml</v>
      </c>
      <c r="D50" s="405"/>
      <c r="E50" s="405"/>
      <c r="F50" s="405"/>
      <c r="G50" s="405"/>
      <c r="H50" s="405"/>
      <c r="I50" s="405"/>
      <c r="J50" s="402"/>
      <c r="K50" s="403">
        <f>Offerteblad!L46</f>
        <v>3.9</v>
      </c>
      <c r="L50" s="404"/>
      <c r="M50" s="16"/>
    </row>
    <row r="51" spans="1:14" x14ac:dyDescent="0.25">
      <c r="A51" s="16"/>
      <c r="B51" s="51">
        <f>IF(K51="","",IF(K51&gt;0,Offerteblad!F47))</f>
        <v>1</v>
      </c>
      <c r="C51" s="401" t="str">
        <f>Offerteblad!H47</f>
        <v>Beglazingsband 9x3 mm wit, rol á 25 m1</v>
      </c>
      <c r="D51" s="405"/>
      <c r="E51" s="405"/>
      <c r="F51" s="405"/>
      <c r="G51" s="405"/>
      <c r="H51" s="405"/>
      <c r="I51" s="405"/>
      <c r="J51" s="402"/>
      <c r="K51" s="403">
        <f>Offerteblad!L47</f>
        <v>3</v>
      </c>
      <c r="L51" s="404"/>
      <c r="M51" s="16"/>
    </row>
    <row r="52" spans="1:14" x14ac:dyDescent="0.25">
      <c r="A52" s="16"/>
      <c r="B52" s="51">
        <f>IF(K52="","",IF(K52&gt;0,Offerteblad!F48))</f>
        <v>5</v>
      </c>
      <c r="C52" s="401" t="str">
        <f>Offerteblad!H48</f>
        <v>Beglazingsblokjes, set per ruit</v>
      </c>
      <c r="D52" s="405"/>
      <c r="E52" s="405"/>
      <c r="F52" s="405"/>
      <c r="G52" s="405"/>
      <c r="H52" s="405"/>
      <c r="I52" s="405"/>
      <c r="J52" s="402"/>
      <c r="K52" s="403">
        <f>Offerteblad!L48</f>
        <v>5</v>
      </c>
      <c r="L52" s="404"/>
      <c r="M52" s="16"/>
    </row>
    <row r="53" spans="1:14" x14ac:dyDescent="0.25">
      <c r="A53" s="16"/>
      <c r="B53" s="52">
        <f>IF(K53="","",IF(K53&gt;0,1,""))</f>
        <v>1</v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>
        <f>Offerteblad!L49</f>
        <v>7</v>
      </c>
      <c r="L53" s="404"/>
      <c r="M53" s="16"/>
    </row>
    <row r="54" spans="1:14" ht="6" customHeight="1" x14ac:dyDescent="0.25">
      <c r="A54" s="16"/>
      <c r="B54" s="24"/>
      <c r="C54" s="430"/>
      <c r="D54" s="459"/>
      <c r="E54" s="459"/>
      <c r="F54" s="459"/>
      <c r="G54" s="459"/>
      <c r="H54" s="459"/>
      <c r="I54" s="459"/>
      <c r="J54" s="431"/>
      <c r="K54" s="452"/>
      <c r="L54" s="453"/>
      <c r="M54" s="16"/>
    </row>
    <row r="55" spans="1:14" ht="18.75" customHeight="1" x14ac:dyDescent="0.25">
      <c r="A55" s="16"/>
      <c r="B55" s="467" t="s">
        <v>67</v>
      </c>
      <c r="C55" s="467"/>
      <c r="D55" s="467"/>
      <c r="E55" s="467"/>
      <c r="F55" s="467"/>
      <c r="G55" s="467"/>
      <c r="H55" s="246"/>
      <c r="I55" s="246"/>
      <c r="J55" s="48" t="s">
        <v>29</v>
      </c>
      <c r="K55" s="470">
        <f>SUM(K50:L53)</f>
        <v>18.899999999999999</v>
      </c>
      <c r="L55" s="471"/>
      <c r="M55" s="16"/>
      <c r="N55" s="239" t="str">
        <f>IF(Offerteblad!$B$85="","","Zie offerteblad voor opmerkingen klant")</f>
        <v/>
      </c>
    </row>
    <row r="56" spans="1:14" ht="6" customHeight="1" x14ac:dyDescent="0.25">
      <c r="A56" s="16"/>
      <c r="B56" s="400" t="s">
        <v>4</v>
      </c>
      <c r="C56" s="400"/>
      <c r="D56" s="400"/>
      <c r="E56" s="400"/>
      <c r="F56" s="400"/>
      <c r="G56" s="400"/>
      <c r="H56" s="246"/>
      <c r="I56" s="246"/>
      <c r="J56" s="246"/>
      <c r="K56" s="12"/>
      <c r="L56" s="13"/>
      <c r="M56" s="16"/>
    </row>
    <row r="57" spans="1:14" x14ac:dyDescent="0.25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23</v>
      </c>
      <c r="L57" s="449"/>
      <c r="M57" s="16"/>
    </row>
    <row r="58" spans="1:14" x14ac:dyDescent="0.25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14" ht="6" customHeight="1" x14ac:dyDescent="0.25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14" ht="18.75" customHeight="1" x14ac:dyDescent="0.25">
      <c r="A60" s="16"/>
      <c r="B60" s="47"/>
      <c r="C60" s="47"/>
      <c r="D60" s="47"/>
      <c r="E60" s="47"/>
      <c r="F60" s="47"/>
      <c r="G60" s="47"/>
      <c r="H60" s="47"/>
      <c r="J60" s="50" t="s">
        <v>39</v>
      </c>
      <c r="K60" s="443">
        <f>Offerteblad!K56</f>
        <v>341.15</v>
      </c>
      <c r="L60" s="444"/>
      <c r="M60" s="16"/>
    </row>
    <row r="61" spans="1:14" ht="6" customHeight="1" x14ac:dyDescent="0.25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14" ht="12.75" customHeight="1" x14ac:dyDescent="0.25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75">
        <f>Offerteblad!K58</f>
        <v>71.641499999999994</v>
      </c>
      <c r="L62" s="476"/>
      <c r="M62" s="16"/>
    </row>
    <row r="63" spans="1:14" ht="12.75" customHeight="1" x14ac:dyDescent="0.25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21" t="str">
        <f>IF(K63="","",("Btw regeling bouw"))</f>
        <v/>
      </c>
    </row>
    <row r="64" spans="1:14" s="8" customFormat="1" ht="6" customHeight="1" x14ac:dyDescent="0.25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</row>
    <row r="65" spans="1:13" ht="18.75" customHeight="1" x14ac:dyDescent="0.25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412.79149999999998</v>
      </c>
      <c r="L65" s="439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61" t="str">
        <f>'© Copyright'!A1</f>
        <v>© 2004 - 2019 Glasdiscount.nl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</row>
    <row r="69" spans="1:13" ht="13.8" x14ac:dyDescent="0.3">
      <c r="B69" s="461" t="str">
        <f>'© Copyright'!A3</f>
        <v>Deze spreadsheet is eigendom van Glasdiscount.nl en mag uitsluitend gebruikt worden door (potentiële) relaties en klanten van Glasdiscount.nl</v>
      </c>
      <c r="C69" s="461"/>
      <c r="D69" s="461"/>
      <c r="E69" s="461"/>
      <c r="F69" s="461"/>
      <c r="G69" s="461"/>
      <c r="H69" s="461"/>
      <c r="I69" s="461"/>
      <c r="J69" s="461"/>
      <c r="K69" s="461"/>
      <c r="L69" s="461"/>
    </row>
    <row r="70" spans="1:13" ht="13.8" x14ac:dyDescent="0.3">
      <c r="B70" s="461" t="str">
        <f>'© Copyright'!A4</f>
        <v>Op geen enkele wijze mag dit programma gekopieerd of hergebruikt worden tenzij schriftelijke toestemming is verleend door Glasdiscount.nl</v>
      </c>
      <c r="C70" s="461"/>
      <c r="D70" s="461"/>
      <c r="E70" s="461"/>
      <c r="F70" s="461"/>
      <c r="G70" s="461"/>
      <c r="H70" s="461"/>
      <c r="I70" s="461"/>
      <c r="J70" s="461"/>
      <c r="K70" s="461"/>
      <c r="L70" s="461"/>
    </row>
  </sheetData>
  <sheetProtection password="E729" sheet="1" objects="1" scenarios="1" selectLockedCells="1"/>
  <mergeCells count="105">
    <mergeCell ref="D5:G5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  <mergeCell ref="C51:J51"/>
    <mergeCell ref="C40:D40"/>
    <mergeCell ref="H40:I40"/>
    <mergeCell ref="C41:D41"/>
    <mergeCell ref="H41:I41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C35:D35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C30:D30"/>
    <mergeCell ref="H30:I30"/>
    <mergeCell ref="C31:D31"/>
    <mergeCell ref="H31:I31"/>
    <mergeCell ref="C32:D32"/>
    <mergeCell ref="H32:I32"/>
    <mergeCell ref="C33:D33"/>
    <mergeCell ref="H33:I33"/>
    <mergeCell ref="C34:D34"/>
    <mergeCell ref="H34:I34"/>
    <mergeCell ref="C25:D25"/>
    <mergeCell ref="H25:I25"/>
    <mergeCell ref="C26:D26"/>
    <mergeCell ref="H26:I26"/>
    <mergeCell ref="C27:D27"/>
    <mergeCell ref="H27:I27"/>
    <mergeCell ref="C29:D29"/>
    <mergeCell ref="H29:I29"/>
    <mergeCell ref="C28:D28"/>
    <mergeCell ref="H28:I28"/>
    <mergeCell ref="H13:L13"/>
    <mergeCell ref="B14:D14"/>
    <mergeCell ref="E14:G14"/>
    <mergeCell ref="H14:L14"/>
    <mergeCell ref="B21:G21"/>
    <mergeCell ref="B23:B24"/>
    <mergeCell ref="C23:D24"/>
    <mergeCell ref="H23:J23"/>
    <mergeCell ref="H24:I24"/>
    <mergeCell ref="I20:K20"/>
    <mergeCell ref="B61:H65"/>
    <mergeCell ref="B56:G59"/>
    <mergeCell ref="B2:L2"/>
    <mergeCell ref="B4:C4"/>
    <mergeCell ref="G4:H4"/>
    <mergeCell ref="I4:L5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</mergeCells>
  <conditionalFormatting sqref="K63:L63">
    <cfRule type="expression" dxfId="1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P70"/>
  <sheetViews>
    <sheetView zoomScaleNormal="100" workbookViewId="0">
      <selection activeCell="D4" sqref="D4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6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6" ht="60" customHeight="1" x14ac:dyDescent="0.25">
      <c r="A2" s="16"/>
      <c r="B2" s="434" t="s">
        <v>303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6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6" ht="12.75" customHeight="1" x14ac:dyDescent="0.25">
      <c r="A4" s="16"/>
      <c r="B4" s="423" t="s">
        <v>1</v>
      </c>
      <c r="C4" s="424"/>
      <c r="D4" s="247">
        <f ca="1">TODAY()</f>
        <v>43055</v>
      </c>
      <c r="E4" s="49"/>
      <c r="F4" s="7"/>
      <c r="G4" s="295" t="s">
        <v>71</v>
      </c>
      <c r="H4" s="478">
        <f ca="1">D4+8</f>
        <v>43063</v>
      </c>
      <c r="I4" s="478"/>
      <c r="J4" s="445" t="s">
        <v>72</v>
      </c>
      <c r="K4" s="445"/>
      <c r="L4" s="446"/>
      <c r="M4" s="16"/>
    </row>
    <row r="5" spans="1:16" ht="12.75" customHeight="1" x14ac:dyDescent="0.25">
      <c r="A5" s="16"/>
      <c r="B5" s="423" t="s">
        <v>3</v>
      </c>
      <c r="C5" s="424"/>
      <c r="D5" s="474" t="str">
        <f>Offerteblad!C5</f>
        <v>……</v>
      </c>
      <c r="E5" s="474"/>
      <c r="F5" s="474"/>
      <c r="G5" s="474"/>
      <c r="H5" s="7"/>
      <c r="I5" s="294"/>
      <c r="J5" s="445"/>
      <c r="K5" s="445"/>
      <c r="L5" s="446"/>
      <c r="M5" s="16"/>
    </row>
    <row r="6" spans="1:16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6" ht="6" customHeight="1" x14ac:dyDescent="0.25">
      <c r="A7" s="16"/>
      <c r="M7" s="16"/>
    </row>
    <row r="8" spans="1:16" ht="18" customHeight="1" x14ac:dyDescent="0.25">
      <c r="A8" s="16"/>
      <c r="B8" s="416" t="s">
        <v>44</v>
      </c>
      <c r="C8" s="416"/>
      <c r="D8" s="416"/>
      <c r="E8" s="416"/>
      <c r="F8" s="416"/>
      <c r="G8" s="416"/>
      <c r="H8" s="416" t="str">
        <f>Offerteblad!H65</f>
        <v>Afleveradres</v>
      </c>
      <c r="I8" s="416"/>
      <c r="J8" s="416"/>
      <c r="K8" s="416"/>
      <c r="L8" s="416"/>
      <c r="M8" s="16"/>
      <c r="P8" s="293"/>
    </row>
    <row r="9" spans="1:16" ht="6" customHeight="1" x14ac:dyDescent="0.25">
      <c r="A9" s="16"/>
      <c r="B9" s="417"/>
      <c r="C9" s="418"/>
      <c r="D9" s="419"/>
      <c r="E9" s="419"/>
      <c r="F9" s="419"/>
      <c r="G9" s="419"/>
      <c r="H9" s="464"/>
      <c r="I9" s="464"/>
      <c r="J9" s="464"/>
      <c r="K9" s="464"/>
      <c r="L9" s="465"/>
      <c r="M9" s="16"/>
    </row>
    <row r="10" spans="1:16" x14ac:dyDescent="0.25">
      <c r="A10" s="16"/>
      <c r="B10" s="420" t="str">
        <f>IF(Offerteblad!C67="","",Offerteblad!C67)</f>
        <v/>
      </c>
      <c r="C10" s="421"/>
      <c r="D10" s="422"/>
      <c r="E10" s="422"/>
      <c r="F10" s="422"/>
      <c r="G10" s="422"/>
      <c r="H10" s="422" t="str">
        <f>IF(Offerteblad!I67="","",Offerteblad!I67)</f>
        <v/>
      </c>
      <c r="I10" s="422"/>
      <c r="J10" s="422"/>
      <c r="K10" s="422"/>
      <c r="L10" s="425"/>
      <c r="M10" s="16"/>
    </row>
    <row r="11" spans="1:16" x14ac:dyDescent="0.25">
      <c r="A11" s="16"/>
      <c r="B11" s="420" t="str">
        <f>IF(Offerteblad!C68="","",Offerteblad!C68)</f>
        <v/>
      </c>
      <c r="C11" s="421"/>
      <c r="D11" s="422"/>
      <c r="E11" s="422"/>
      <c r="F11" s="422"/>
      <c r="G11" s="422"/>
      <c r="H11" s="422" t="str">
        <f>IF(Offerteblad!I68="","",Offerteblad!I68)</f>
        <v/>
      </c>
      <c r="I11" s="422"/>
      <c r="J11" s="422"/>
      <c r="K11" s="422"/>
      <c r="L11" s="425"/>
      <c r="M11" s="16"/>
    </row>
    <row r="12" spans="1:16" x14ac:dyDescent="0.25">
      <c r="A12" s="16"/>
      <c r="B12" s="428" t="str">
        <f>IF(Offerteblad!C69="","",Offerteblad!C69)</f>
        <v/>
      </c>
      <c r="C12" s="429"/>
      <c r="D12" s="442" t="str">
        <f>IF(Offerteblad!C70="","",Offerteblad!C70)</f>
        <v/>
      </c>
      <c r="E12" s="442"/>
      <c r="F12" s="442"/>
      <c r="G12" s="442"/>
      <c r="H12" s="245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6" x14ac:dyDescent="0.25">
      <c r="A13" s="16"/>
      <c r="B13" s="420" t="str">
        <f>IF(Offerteblad!C71="&lt;selecteer&gt;","",Offerteblad!C71)</f>
        <v/>
      </c>
      <c r="C13" s="421"/>
      <c r="D13" s="422"/>
      <c r="E13" s="422"/>
      <c r="F13" s="422"/>
      <c r="G13" s="422"/>
      <c r="H13" s="421" t="str">
        <f>IF(Offerteblad!I71="&lt;selecteer&gt;","",Offerteblad!I71)</f>
        <v/>
      </c>
      <c r="I13" s="422"/>
      <c r="J13" s="422"/>
      <c r="K13" s="422"/>
      <c r="L13" s="425"/>
      <c r="M13" s="16"/>
    </row>
    <row r="14" spans="1:16" x14ac:dyDescent="0.25">
      <c r="A14" s="16"/>
      <c r="B14" s="420" t="str">
        <f>IF(Offerteblad!C72="","",Offerteblad!C72)</f>
        <v/>
      </c>
      <c r="C14" s="421"/>
      <c r="D14" s="421"/>
      <c r="E14" s="466" t="str">
        <f>IF(Offerteblad!C73="","",Offerteblad!C73)</f>
        <v/>
      </c>
      <c r="F14" s="466"/>
      <c r="G14" s="466"/>
      <c r="H14" s="422" t="str">
        <f>IF(Offerteblad!I72="","",Offerteblad!I72)</f>
        <v/>
      </c>
      <c r="I14" s="422"/>
      <c r="J14" s="422"/>
      <c r="K14" s="422"/>
      <c r="L14" s="425"/>
      <c r="M14" s="16"/>
    </row>
    <row r="15" spans="1:16" x14ac:dyDescent="0.25">
      <c r="A15" s="16"/>
      <c r="B15" s="420" t="str">
        <f>IF(Offerteblad!C74="","",Offerteblad!C74)</f>
        <v/>
      </c>
      <c r="C15" s="421"/>
      <c r="D15" s="422"/>
      <c r="E15" s="422"/>
      <c r="F15" s="422"/>
      <c r="G15" s="422"/>
      <c r="H15" s="426"/>
      <c r="I15" s="426"/>
      <c r="J15" s="426"/>
      <c r="K15" s="426"/>
      <c r="L15" s="427"/>
      <c r="M15" s="16"/>
    </row>
    <row r="16" spans="1:16" ht="6" customHeight="1" x14ac:dyDescent="0.25">
      <c r="A16" s="16"/>
      <c r="B16" s="432"/>
      <c r="C16" s="433"/>
      <c r="D16" s="433"/>
      <c r="E16" s="433"/>
      <c r="F16" s="433"/>
      <c r="G16" s="433"/>
      <c r="H16" s="462"/>
      <c r="I16" s="462"/>
      <c r="J16" s="462"/>
      <c r="K16" s="462"/>
      <c r="L16" s="463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16" t="s">
        <v>239</v>
      </c>
      <c r="C18" s="416"/>
      <c r="D18" s="416"/>
      <c r="E18" s="416"/>
      <c r="F18" s="416"/>
      <c r="G18" s="416"/>
      <c r="H18" s="416" t="s">
        <v>240</v>
      </c>
      <c r="I18" s="416"/>
      <c r="J18" s="416"/>
      <c r="K18" s="416"/>
      <c r="L18" s="416"/>
      <c r="M18" s="16"/>
    </row>
    <row r="19" spans="1:13" ht="7.5" customHeight="1" x14ac:dyDescent="0.25">
      <c r="A19" s="16"/>
      <c r="B19" s="417"/>
      <c r="C19" s="418"/>
      <c r="D19" s="419"/>
      <c r="E19" s="419"/>
      <c r="F19" s="419"/>
      <c r="G19" s="419"/>
      <c r="H19" s="464"/>
      <c r="I19" s="464"/>
      <c r="J19" s="464"/>
      <c r="K19" s="464"/>
      <c r="L19" s="465"/>
      <c r="M19" s="16"/>
    </row>
    <row r="20" spans="1:13" x14ac:dyDescent="0.25">
      <c r="A20" s="16"/>
      <c r="B20" s="409"/>
      <c r="C20" s="410"/>
      <c r="D20" s="410"/>
      <c r="E20" s="410"/>
      <c r="F20" s="410"/>
      <c r="G20" s="410"/>
      <c r="H20" s="56" t="str">
        <f>IF(Offerteblad!C79="&lt;selecteer&gt;","",Offerteblad!C79)</f>
        <v>Bezorgen</v>
      </c>
      <c r="I20" s="411" t="str">
        <f>IF(Offerteblad!E79="&lt;kies locatie&gt;","",Offerteblad!E79)</f>
        <v/>
      </c>
      <c r="J20" s="411"/>
      <c r="K20" s="411"/>
      <c r="L20" s="58"/>
      <c r="M20" s="16"/>
    </row>
    <row r="21" spans="1:13" ht="7.5" customHeight="1" x14ac:dyDescent="0.25">
      <c r="A21" s="16"/>
      <c r="B21" s="432"/>
      <c r="C21" s="433"/>
      <c r="D21" s="433"/>
      <c r="E21" s="433"/>
      <c r="F21" s="433"/>
      <c r="G21" s="433"/>
      <c r="H21" s="462"/>
      <c r="I21" s="462"/>
      <c r="J21" s="462"/>
      <c r="K21" s="462"/>
      <c r="L21" s="463"/>
      <c r="M21" s="16"/>
    </row>
    <row r="22" spans="1:13" ht="12" customHeight="1" x14ac:dyDescent="0.25">
      <c r="A22" s="16"/>
      <c r="M22" s="16"/>
    </row>
    <row r="23" spans="1:13" ht="13.8" x14ac:dyDescent="0.3">
      <c r="A23" s="16"/>
      <c r="B23" s="456" t="s">
        <v>10</v>
      </c>
      <c r="C23" s="412" t="s">
        <v>63</v>
      </c>
      <c r="D23" s="413"/>
      <c r="E23" s="41" t="s">
        <v>11</v>
      </c>
      <c r="F23" s="41" t="s">
        <v>12</v>
      </c>
      <c r="G23" s="41" t="s">
        <v>9</v>
      </c>
      <c r="H23" s="435" t="s">
        <v>13</v>
      </c>
      <c r="I23" s="435"/>
      <c r="J23" s="435"/>
      <c r="K23" s="41" t="s">
        <v>64</v>
      </c>
      <c r="L23" s="43" t="s">
        <v>65</v>
      </c>
      <c r="M23" s="16"/>
    </row>
    <row r="24" spans="1:13" ht="13.8" x14ac:dyDescent="0.3">
      <c r="A24" s="16"/>
      <c r="B24" s="457"/>
      <c r="C24" s="414"/>
      <c r="D24" s="415"/>
      <c r="E24" s="42" t="s">
        <v>18</v>
      </c>
      <c r="F24" s="42" t="s">
        <v>18</v>
      </c>
      <c r="G24" s="42" t="s">
        <v>18</v>
      </c>
      <c r="H24" s="468" t="s">
        <v>21</v>
      </c>
      <c r="I24" s="469"/>
      <c r="J24" s="19" t="s">
        <v>22</v>
      </c>
      <c r="K24" s="42" t="s">
        <v>19</v>
      </c>
      <c r="L24" s="44" t="s">
        <v>19</v>
      </c>
      <c r="M24" s="16"/>
    </row>
    <row r="25" spans="1:13" ht="6" customHeight="1" x14ac:dyDescent="0.25">
      <c r="A25" s="16"/>
      <c r="B25" s="20"/>
      <c r="C25" s="406"/>
      <c r="D25" s="408"/>
      <c r="E25" s="21"/>
      <c r="F25" s="21"/>
      <c r="G25" s="21"/>
      <c r="H25" s="406"/>
      <c r="I25" s="408"/>
      <c r="J25" s="21"/>
      <c r="K25" s="22"/>
      <c r="L25" s="23"/>
      <c r="M25" s="16"/>
    </row>
    <row r="26" spans="1:13" x14ac:dyDescent="0.25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2"/>
      <c r="E26" s="53" t="str">
        <f>IF(Offerteblad!F16= 0, "",Offerteblad!F16)</f>
        <v/>
      </c>
      <c r="F26" s="53" t="str">
        <f>IF(Offerteblad!G16= 0, "",Offerteblad!G16)</f>
        <v/>
      </c>
      <c r="G26" s="53" t="str">
        <f>IF(Offerteblad!C16="&lt;selecteer&gt;", "", Offerteblad!C16)</f>
        <v/>
      </c>
      <c r="H26" s="401" t="str">
        <f>IF(Offerteblad!H16="  &lt;selecteer&gt;","",Offerteblad!H16)</f>
        <v/>
      </c>
      <c r="I26" s="402"/>
      <c r="J26" s="54" t="str">
        <f>IF(Offerteblad!I16="", "", Offerteblad!I16)</f>
        <v/>
      </c>
      <c r="K26" s="291" t="str">
        <f>IF(Offerteblad!K16= 0, "",Offerteblad!K16)</f>
        <v/>
      </c>
      <c r="L26" s="292" t="str">
        <f>IF(Offerteblad!L16= 0, "",Offerteblad!L16)</f>
        <v/>
      </c>
      <c r="M26" s="16"/>
    </row>
    <row r="27" spans="1:13" x14ac:dyDescent="0.25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2"/>
      <c r="E27" s="53" t="str">
        <f>IF(Offerteblad!F17= 0, "",Offerteblad!F17)</f>
        <v/>
      </c>
      <c r="F27" s="53" t="str">
        <f>IF(Offerteblad!G17= 0, "",Offerteblad!G17)</f>
        <v/>
      </c>
      <c r="G27" s="53" t="str">
        <f>IF(Offerteblad!C17="&lt;selecteer&gt;", "", Offerteblad!C17)</f>
        <v/>
      </c>
      <c r="H27" s="401" t="str">
        <f>IF(Offerteblad!H17="  &lt;selecteer&gt;","",Offerteblad!H17)</f>
        <v/>
      </c>
      <c r="I27" s="402"/>
      <c r="J27" s="54" t="str">
        <f>IF(Offerteblad!I17="", "", Offerteblad!I17)</f>
        <v/>
      </c>
      <c r="K27" s="291" t="str">
        <f>IF(Offerteblad!K17= 0, "",Offerteblad!K17)</f>
        <v/>
      </c>
      <c r="L27" s="292" t="str">
        <f>IF(Offerteblad!L17= 0, "",Offerteblad!L17)</f>
        <v/>
      </c>
      <c r="M27" s="16"/>
    </row>
    <row r="28" spans="1:13" x14ac:dyDescent="0.25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2"/>
      <c r="E28" s="53" t="str">
        <f>IF(Offerteblad!F18= 0, "",Offerteblad!F18)</f>
        <v/>
      </c>
      <c r="F28" s="53" t="str">
        <f>IF(Offerteblad!G18= 0, "",Offerteblad!G18)</f>
        <v/>
      </c>
      <c r="G28" s="53" t="str">
        <f>IF(Offerteblad!C18="&lt;selecteer&gt;", "", Offerteblad!C18)</f>
        <v/>
      </c>
      <c r="H28" s="401" t="str">
        <f>IF(Offerteblad!H18="  &lt;selecteer&gt;","",Offerteblad!H18)</f>
        <v/>
      </c>
      <c r="I28" s="402"/>
      <c r="J28" s="54" t="str">
        <f>IF(Offerteblad!I18="", "", Offerteblad!I18)</f>
        <v/>
      </c>
      <c r="K28" s="291" t="str">
        <f>IF(Offerteblad!K18= 0, "",Offerteblad!K18)</f>
        <v/>
      </c>
      <c r="L28" s="292" t="str">
        <f>IF(Offerteblad!L18= 0, "",Offerteblad!L18)</f>
        <v/>
      </c>
      <c r="M28" s="16"/>
    </row>
    <row r="29" spans="1:13" x14ac:dyDescent="0.25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2"/>
      <c r="E29" s="53" t="str">
        <f>IF(Offerteblad!F19= 0, "",Offerteblad!F19)</f>
        <v/>
      </c>
      <c r="F29" s="53" t="str">
        <f>IF(Offerteblad!G19= 0, "",Offerteblad!G19)</f>
        <v/>
      </c>
      <c r="G29" s="53" t="str">
        <f>IF(Offerteblad!C19="&lt;selecteer&gt;", "", Offerteblad!C19)</f>
        <v/>
      </c>
      <c r="H29" s="401" t="str">
        <f>IF(Offerteblad!H19="  &lt;selecteer&gt;","",Offerteblad!H19)</f>
        <v/>
      </c>
      <c r="I29" s="402"/>
      <c r="J29" s="54" t="str">
        <f>IF(Offerteblad!I19="", "", Offerteblad!I19)</f>
        <v/>
      </c>
      <c r="K29" s="291" t="str">
        <f>IF(Offerteblad!K19= 0, "",Offerteblad!K19)</f>
        <v/>
      </c>
      <c r="L29" s="292" t="str">
        <f>IF(Offerteblad!L19= 0, "",Offerteblad!L19)</f>
        <v/>
      </c>
      <c r="M29" s="16"/>
    </row>
    <row r="30" spans="1:13" x14ac:dyDescent="0.25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2"/>
      <c r="E30" s="53" t="str">
        <f>IF(Offerteblad!F20= 0, "",Offerteblad!F20)</f>
        <v/>
      </c>
      <c r="F30" s="53" t="str">
        <f>IF(Offerteblad!G20= 0, "",Offerteblad!G20)</f>
        <v/>
      </c>
      <c r="G30" s="53" t="str">
        <f>IF(Offerteblad!C20="&lt;selecteer&gt;", "", Offerteblad!C20)</f>
        <v/>
      </c>
      <c r="H30" s="401" t="str">
        <f>IF(Offerteblad!H20="  &lt;selecteer&gt;","",Offerteblad!H20)</f>
        <v>Ducoline 10/17/23 RAL standaard</v>
      </c>
      <c r="I30" s="402"/>
      <c r="J30" s="54" t="str">
        <f>IF(Offerteblad!I20="", "", Offerteblad!I20)</f>
        <v/>
      </c>
      <c r="K30" s="291" t="str">
        <f>IF(Offerteblad!K20= 0, "",Offerteblad!K20)</f>
        <v/>
      </c>
      <c r="L30" s="292" t="str">
        <f>IF(Offerteblad!L20= 0, "",Offerteblad!L20)</f>
        <v/>
      </c>
      <c r="M30" s="16"/>
    </row>
    <row r="31" spans="1:13" x14ac:dyDescent="0.25">
      <c r="A31" s="16"/>
      <c r="B31" s="55">
        <f>IF(Offerteblad!E21=0,"",Offerteblad!E21)</f>
        <v>5</v>
      </c>
      <c r="C31" s="401" t="str">
        <f>IF(Offerteblad!B21="  &lt;selecteer&gt;","",Offerteblad!B21)</f>
        <v>HR++ 4 - 4*</v>
      </c>
      <c r="D31" s="402"/>
      <c r="E31" s="53">
        <f>IF(Offerteblad!F21= 0, "",Offerteblad!F21)</f>
        <v>50</v>
      </c>
      <c r="F31" s="53">
        <f>IF(Offerteblad!G21= 0, "",Offerteblad!G21)</f>
        <v>100</v>
      </c>
      <c r="G31" s="53" t="str">
        <f>IF(Offerteblad!C21="&lt;selecteer&gt;", "", Offerteblad!C21)</f>
        <v>13 mm</v>
      </c>
      <c r="H31" s="401" t="str">
        <f>IF(Offerteblad!H21="  &lt;selecteer&gt;","",Offerteblad!H21)</f>
        <v>Ducoline 10/17/23 ZR F1 Alu</v>
      </c>
      <c r="I31" s="402"/>
      <c r="J31" s="54" t="str">
        <f>IF(Offerteblad!I21="", "", Offerteblad!I21)</f>
        <v>RAL 9010</v>
      </c>
      <c r="K31" s="291">
        <f>IF(Offerteblad!K21= 0, "",Offerteblad!K21)</f>
        <v>87.5</v>
      </c>
      <c r="L31" s="292">
        <f>IF(Offerteblad!L21= 0, "",Offerteblad!L21)</f>
        <v>211.75</v>
      </c>
      <c r="M31" s="16"/>
    </row>
    <row r="32" spans="1:13" x14ac:dyDescent="0.25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2"/>
      <c r="E32" s="53" t="str">
        <f>IF(Offerteblad!F22= 0, "",Offerteblad!F22)</f>
        <v/>
      </c>
      <c r="F32" s="53" t="str">
        <f>IF(Offerteblad!G22= 0, "",Offerteblad!G22)</f>
        <v/>
      </c>
      <c r="G32" s="53" t="str">
        <f>IF(Offerteblad!C22="&lt;selecteer&gt;", "", Offerteblad!C22)</f>
        <v/>
      </c>
      <c r="H32" s="401" t="str">
        <f>IF(Offerteblad!H22="  &lt;selecteer&gt;","",Offerteblad!H22)</f>
        <v/>
      </c>
      <c r="I32" s="402"/>
      <c r="J32" s="54" t="str">
        <f>IF(Offerteblad!I22="", "", Offerteblad!I22)</f>
        <v/>
      </c>
      <c r="K32" s="291" t="str">
        <f>IF(Offerteblad!K22= 0, "",Offerteblad!K22)</f>
        <v/>
      </c>
      <c r="L32" s="292" t="str">
        <f>IF(Offerteblad!L22= 0, "",Offerteblad!L22)</f>
        <v/>
      </c>
      <c r="M32" s="16"/>
    </row>
    <row r="33" spans="1:13" x14ac:dyDescent="0.25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2"/>
      <c r="E33" s="53" t="str">
        <f>IF(Offerteblad!F23= 0, "",Offerteblad!F23)</f>
        <v/>
      </c>
      <c r="F33" s="53" t="str">
        <f>IF(Offerteblad!G23= 0, "",Offerteblad!G23)</f>
        <v/>
      </c>
      <c r="G33" s="53" t="str">
        <f>IF(Offerteblad!C23="&lt;selecteer&gt;", "", Offerteblad!C23)</f>
        <v/>
      </c>
      <c r="H33" s="401" t="str">
        <f>IF(Offerteblad!H23="  &lt;selecteer&gt;","",Offerteblad!H23)</f>
        <v/>
      </c>
      <c r="I33" s="402"/>
      <c r="J33" s="54" t="str">
        <f>IF(Offerteblad!I23="", "", Offerteblad!I23)</f>
        <v/>
      </c>
      <c r="K33" s="291" t="str">
        <f>IF(Offerteblad!K23= 0, "",Offerteblad!K23)</f>
        <v/>
      </c>
      <c r="L33" s="292" t="str">
        <f>IF(Offerteblad!L23= 0, "",Offerteblad!L23)</f>
        <v/>
      </c>
      <c r="M33" s="16"/>
    </row>
    <row r="34" spans="1:13" x14ac:dyDescent="0.25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2"/>
      <c r="E34" s="53" t="str">
        <f>IF(Offerteblad!F24= 0, "",Offerteblad!F24)</f>
        <v/>
      </c>
      <c r="F34" s="53" t="str">
        <f>IF(Offerteblad!G24= 0, "",Offerteblad!G24)</f>
        <v/>
      </c>
      <c r="G34" s="53" t="str">
        <f>IF(Offerteblad!C24="&lt;selecteer&gt;", "", Offerteblad!C24)</f>
        <v/>
      </c>
      <c r="H34" s="401" t="str">
        <f>IF(Offerteblad!H24="  &lt;selecteer&gt;","",Offerteblad!H24)</f>
        <v/>
      </c>
      <c r="I34" s="402"/>
      <c r="J34" s="54" t="str">
        <f>IF(Offerteblad!I24="", "", Offerteblad!I24)</f>
        <v/>
      </c>
      <c r="K34" s="291" t="str">
        <f>IF(Offerteblad!K24= 0, "",Offerteblad!K24)</f>
        <v/>
      </c>
      <c r="L34" s="292" t="str">
        <f>IF(Offerteblad!L24= 0, "",Offerteblad!L24)</f>
        <v/>
      </c>
      <c r="M34" s="16"/>
    </row>
    <row r="35" spans="1:13" x14ac:dyDescent="0.25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2"/>
      <c r="E35" s="53" t="str">
        <f>IF(Offerteblad!F25= 0, "",Offerteblad!F25)</f>
        <v/>
      </c>
      <c r="F35" s="53" t="str">
        <f>IF(Offerteblad!G25= 0, "",Offerteblad!G25)</f>
        <v/>
      </c>
      <c r="G35" s="53" t="str">
        <f>IF(Offerteblad!C25="&lt;selecteer&gt;", "", Offerteblad!C25)</f>
        <v/>
      </c>
      <c r="H35" s="401" t="str">
        <f>IF(Offerteblad!H25="  &lt;selecteer&gt;","",Offerteblad!H25)</f>
        <v/>
      </c>
      <c r="I35" s="402"/>
      <c r="J35" s="54" t="str">
        <f>IF(Offerteblad!I25="", "", Offerteblad!I25)</f>
        <v/>
      </c>
      <c r="K35" s="291" t="str">
        <f>IF(Offerteblad!K25= 0, "",Offerteblad!K25)</f>
        <v/>
      </c>
      <c r="L35" s="292" t="str">
        <f>IF(Offerteblad!L25= 0, "",Offerteblad!L25)</f>
        <v/>
      </c>
      <c r="M35" s="16"/>
    </row>
    <row r="36" spans="1:13" x14ac:dyDescent="0.25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2"/>
      <c r="E36" s="53" t="str">
        <f>IF(Offerteblad!F26= 0, "",Offerteblad!F26)</f>
        <v/>
      </c>
      <c r="F36" s="53" t="str">
        <f>IF(Offerteblad!G26= 0, "",Offerteblad!G26)</f>
        <v/>
      </c>
      <c r="G36" s="53" t="str">
        <f>IF(Offerteblad!C26="&lt;selecteer&gt;", "", Offerteblad!C26)</f>
        <v/>
      </c>
      <c r="H36" s="401" t="str">
        <f>IF(Offerteblad!H26="  &lt;selecteer&gt;","",Offerteblad!H26)</f>
        <v/>
      </c>
      <c r="I36" s="402"/>
      <c r="J36" s="54" t="str">
        <f>IF(Offerteblad!I26="", "", Offerteblad!I26)</f>
        <v/>
      </c>
      <c r="K36" s="291" t="str">
        <f>IF(Offerteblad!K26= 0, "",Offerteblad!K26)</f>
        <v/>
      </c>
      <c r="L36" s="292" t="str">
        <f>IF(Offerteblad!L26= 0, "",Offerteblad!L26)</f>
        <v/>
      </c>
      <c r="M36" s="16"/>
    </row>
    <row r="37" spans="1:13" x14ac:dyDescent="0.25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2"/>
      <c r="E37" s="53" t="str">
        <f>IF(Offerteblad!F27= 0, "",Offerteblad!F27)</f>
        <v/>
      </c>
      <c r="F37" s="53" t="str">
        <f>IF(Offerteblad!G27= 0, "",Offerteblad!G27)</f>
        <v/>
      </c>
      <c r="G37" s="53" t="str">
        <f>IF(Offerteblad!C27="&lt;selecteer&gt;", "", Offerteblad!C27)</f>
        <v/>
      </c>
      <c r="H37" s="401" t="str">
        <f>IF(Offerteblad!H27="  &lt;selecteer&gt;","",Offerteblad!H27)</f>
        <v/>
      </c>
      <c r="I37" s="402"/>
      <c r="J37" s="54" t="str">
        <f>IF(Offerteblad!I27="", "", Offerteblad!I27)</f>
        <v/>
      </c>
      <c r="K37" s="291" t="str">
        <f>IF(Offerteblad!K27= 0, "",Offerteblad!K27)</f>
        <v/>
      </c>
      <c r="L37" s="292" t="str">
        <f>IF(Offerteblad!L27= 0, "",Offerteblad!L27)</f>
        <v/>
      </c>
      <c r="M37" s="16"/>
    </row>
    <row r="38" spans="1:13" x14ac:dyDescent="0.25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2"/>
      <c r="E38" s="53" t="str">
        <f>IF(Offerteblad!F28= 0, "",Offerteblad!F28)</f>
        <v/>
      </c>
      <c r="F38" s="53" t="str">
        <f>IF(Offerteblad!G28= 0, "",Offerteblad!G28)</f>
        <v/>
      </c>
      <c r="G38" s="53" t="str">
        <f>IF(Offerteblad!C28="&lt;selecteer&gt;", "", Offerteblad!C28)</f>
        <v/>
      </c>
      <c r="H38" s="401" t="str">
        <f>IF(Offerteblad!H28="  &lt;selecteer&gt;","",Offerteblad!H28)</f>
        <v/>
      </c>
      <c r="I38" s="402"/>
      <c r="J38" s="54" t="str">
        <f>IF(Offerteblad!I28="", "", Offerteblad!I28)</f>
        <v/>
      </c>
      <c r="K38" s="291" t="str">
        <f>IF(Offerteblad!K28= 0, "",Offerteblad!K28)</f>
        <v/>
      </c>
      <c r="L38" s="292" t="str">
        <f>IF(Offerteblad!L28= 0, "",Offerteblad!L28)</f>
        <v/>
      </c>
      <c r="M38" s="16"/>
    </row>
    <row r="39" spans="1:13" x14ac:dyDescent="0.25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2"/>
      <c r="E39" s="53" t="str">
        <f>IF(Offerteblad!F29= 0, "",Offerteblad!F29)</f>
        <v/>
      </c>
      <c r="F39" s="53" t="str">
        <f>IF(Offerteblad!G29= 0, "",Offerteblad!G29)</f>
        <v/>
      </c>
      <c r="G39" s="53" t="str">
        <f>IF(Offerteblad!C29="&lt;selecteer&gt;", "", Offerteblad!C29)</f>
        <v/>
      </c>
      <c r="H39" s="401" t="str">
        <f>IF(Offerteblad!H29="  &lt;selecteer&gt;","",Offerteblad!H29)</f>
        <v/>
      </c>
      <c r="I39" s="402"/>
      <c r="J39" s="54" t="str">
        <f>IF(Offerteblad!I29="", "", Offerteblad!I29)</f>
        <v/>
      </c>
      <c r="K39" s="291" t="str">
        <f>IF(Offerteblad!K29= 0, "",Offerteblad!K29)</f>
        <v/>
      </c>
      <c r="L39" s="292" t="str">
        <f>IF(Offerteblad!L29= 0, "",Offerteblad!L29)</f>
        <v/>
      </c>
      <c r="M39" s="16"/>
    </row>
    <row r="40" spans="1:13" x14ac:dyDescent="0.25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2"/>
      <c r="E40" s="53" t="str">
        <f>IF(Offerteblad!F30= 0, "",Offerteblad!F30)</f>
        <v/>
      </c>
      <c r="F40" s="53" t="str">
        <f>IF(Offerteblad!G30= 0, "",Offerteblad!G30)</f>
        <v/>
      </c>
      <c r="G40" s="53" t="str">
        <f>IF(Offerteblad!C30="&lt;selecteer&gt;", "", Offerteblad!C30)</f>
        <v/>
      </c>
      <c r="H40" s="401" t="str">
        <f>IF(Offerteblad!H30="  &lt;selecteer&gt;","",Offerteblad!H30)</f>
        <v/>
      </c>
      <c r="I40" s="402"/>
      <c r="J40" s="54" t="str">
        <f>IF(Offerteblad!I30="", "", Offerteblad!I30)</f>
        <v/>
      </c>
      <c r="K40" s="291" t="str">
        <f>IF(Offerteblad!K30= 0, "",Offerteblad!K30)</f>
        <v/>
      </c>
      <c r="L40" s="292" t="str">
        <f>IF(Offerteblad!L30= 0, "",Offerteblad!L30)</f>
        <v/>
      </c>
      <c r="M40" s="16"/>
    </row>
    <row r="41" spans="1:13" x14ac:dyDescent="0.25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2"/>
      <c r="E41" s="53" t="str">
        <f>IF(Offerteblad!F31= 0, "",Offerteblad!F31)</f>
        <v/>
      </c>
      <c r="F41" s="53" t="str">
        <f>IF(Offerteblad!G31= 0, "",Offerteblad!G31)</f>
        <v/>
      </c>
      <c r="G41" s="53" t="str">
        <f>IF(Offerteblad!C31="&lt;selecteer&gt;", "", Offerteblad!C31)</f>
        <v/>
      </c>
      <c r="H41" s="401" t="str">
        <f>IF(Offerteblad!H31="  &lt;selecteer&gt;","",Offerteblad!H31)</f>
        <v/>
      </c>
      <c r="I41" s="402"/>
      <c r="J41" s="54" t="str">
        <f>IF(Offerteblad!I31="", "", Offerteblad!I31)</f>
        <v/>
      </c>
      <c r="K41" s="291" t="str">
        <f>IF(Offerteblad!K31= 0, "",Offerteblad!K31)</f>
        <v/>
      </c>
      <c r="L41" s="292" t="str">
        <f>IF(Offerteblad!L31= 0, "",Offerteblad!L31)</f>
        <v/>
      </c>
      <c r="M41" s="16"/>
    </row>
    <row r="42" spans="1:13" x14ac:dyDescent="0.25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2"/>
      <c r="E42" s="53" t="str">
        <f>IF(Offerteblad!F32= 0, "",Offerteblad!F32)</f>
        <v/>
      </c>
      <c r="F42" s="53" t="str">
        <f>IF(Offerteblad!G32= 0, "",Offerteblad!G32)</f>
        <v/>
      </c>
      <c r="G42" s="53" t="str">
        <f>IF(Offerteblad!C32="&lt;selecteer&gt;", "", Offerteblad!C32)</f>
        <v/>
      </c>
      <c r="H42" s="401" t="str">
        <f>IF(Offerteblad!H32="  &lt;selecteer&gt;","",Offerteblad!H32)</f>
        <v/>
      </c>
      <c r="I42" s="402"/>
      <c r="J42" s="54" t="str">
        <f>IF(Offerteblad!I32="", "", Offerteblad!I32)</f>
        <v/>
      </c>
      <c r="K42" s="291" t="str">
        <f>IF(Offerteblad!K32= 0, "",Offerteblad!K32)</f>
        <v/>
      </c>
      <c r="L42" s="292" t="str">
        <f>IF(Offerteblad!L32= 0, "",Offerteblad!L32)</f>
        <v/>
      </c>
      <c r="M42" s="16"/>
    </row>
    <row r="43" spans="1:13" x14ac:dyDescent="0.25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2"/>
      <c r="E43" s="53" t="str">
        <f>IF(Offerteblad!F33= 0, "",Offerteblad!F33)</f>
        <v/>
      </c>
      <c r="F43" s="53" t="str">
        <f>IF(Offerteblad!G33= 0, "",Offerteblad!G33)</f>
        <v/>
      </c>
      <c r="G43" s="53" t="str">
        <f>IF(Offerteblad!C33="&lt;selecteer&gt;", "", Offerteblad!C33)</f>
        <v/>
      </c>
      <c r="H43" s="401" t="str">
        <f>IF(Offerteblad!H33="  &lt;selecteer&gt;","",Offerteblad!H33)</f>
        <v/>
      </c>
      <c r="I43" s="402"/>
      <c r="J43" s="54" t="str">
        <f>IF(Offerteblad!I33="", "", Offerteblad!I33)</f>
        <v/>
      </c>
      <c r="K43" s="291" t="str">
        <f>IF(Offerteblad!K33= 0, "",Offerteblad!K33)</f>
        <v/>
      </c>
      <c r="L43" s="292" t="str">
        <f>IF(Offerteblad!L33= 0, "",Offerteblad!L33)</f>
        <v/>
      </c>
      <c r="M43" s="16"/>
    </row>
    <row r="44" spans="1:13" x14ac:dyDescent="0.25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2"/>
      <c r="E44" s="53" t="str">
        <f>IF(Offerteblad!F34= 0, "",Offerteblad!F34)</f>
        <v/>
      </c>
      <c r="F44" s="53" t="str">
        <f>IF(Offerteblad!G34= 0, "",Offerteblad!G34)</f>
        <v/>
      </c>
      <c r="G44" s="53" t="str">
        <f>IF(Offerteblad!C34="&lt;selecteer&gt;", "", Offerteblad!C34)</f>
        <v/>
      </c>
      <c r="H44" s="401" t="str">
        <f>IF(Offerteblad!H34="  &lt;selecteer&gt;","",Offerteblad!H34)</f>
        <v/>
      </c>
      <c r="I44" s="402"/>
      <c r="J44" s="54" t="str">
        <f>IF(Offerteblad!I34="", "", Offerteblad!I34)</f>
        <v/>
      </c>
      <c r="K44" s="291" t="str">
        <f>IF(Offerteblad!K34= 0, "",Offerteblad!K34)</f>
        <v/>
      </c>
      <c r="L44" s="292" t="str">
        <f>IF(Offerteblad!L34= 0, "",Offerteblad!L34)</f>
        <v/>
      </c>
      <c r="M44" s="16"/>
    </row>
    <row r="45" spans="1:13" ht="6" customHeight="1" x14ac:dyDescent="0.25">
      <c r="A45" s="16"/>
      <c r="B45" s="24"/>
      <c r="C45" s="430"/>
      <c r="D45" s="431"/>
      <c r="E45" s="25"/>
      <c r="F45" s="25"/>
      <c r="G45" s="25"/>
      <c r="H45" s="430"/>
      <c r="I45" s="431"/>
      <c r="J45" s="25"/>
      <c r="K45" s="26"/>
      <c r="L45" s="27"/>
      <c r="M45" s="16"/>
    </row>
    <row r="46" spans="1:13" ht="18.75" customHeight="1" x14ac:dyDescent="0.25">
      <c r="A46" s="16"/>
      <c r="J46" s="45" t="s">
        <v>29</v>
      </c>
      <c r="K46" s="436">
        <f>SUM(K26:L44)</f>
        <v>299.25</v>
      </c>
      <c r="L46" s="437"/>
      <c r="M46" s="16"/>
    </row>
    <row r="47" spans="1:13" ht="6" customHeight="1" x14ac:dyDescent="0.25">
      <c r="A47" s="16"/>
      <c r="J47" s="10"/>
      <c r="M47" s="16"/>
    </row>
    <row r="48" spans="1:13" x14ac:dyDescent="0.25">
      <c r="A48" s="16"/>
      <c r="B48" s="28" t="s">
        <v>66</v>
      </c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16"/>
    </row>
    <row r="49" spans="1:14" ht="6" customHeight="1" x14ac:dyDescent="0.25">
      <c r="A49" s="16"/>
      <c r="B49" s="20"/>
      <c r="C49" s="406"/>
      <c r="D49" s="407"/>
      <c r="E49" s="407"/>
      <c r="F49" s="407"/>
      <c r="G49" s="407"/>
      <c r="H49" s="407"/>
      <c r="I49" s="407"/>
      <c r="J49" s="408"/>
      <c r="K49" s="454"/>
      <c r="L49" s="455"/>
      <c r="M49" s="16"/>
    </row>
    <row r="50" spans="1:14" x14ac:dyDescent="0.25">
      <c r="A50" s="16"/>
      <c r="B50" s="51">
        <f>IF(K50="","",IF(K50&gt;0,Offerteblad!F46))</f>
        <v>1</v>
      </c>
      <c r="C50" s="401" t="str">
        <f>Offerteblad!H46</f>
        <v>Beglazingskit Easyseal XPS wit, koker á 310 ml</v>
      </c>
      <c r="D50" s="405"/>
      <c r="E50" s="405"/>
      <c r="F50" s="405"/>
      <c r="G50" s="405"/>
      <c r="H50" s="405"/>
      <c r="I50" s="405"/>
      <c r="J50" s="402"/>
      <c r="K50" s="403">
        <f>Offerteblad!L46</f>
        <v>3.9</v>
      </c>
      <c r="L50" s="404"/>
      <c r="M50" s="16"/>
    </row>
    <row r="51" spans="1:14" x14ac:dyDescent="0.25">
      <c r="A51" s="16"/>
      <c r="B51" s="51">
        <f>IF(K51="","",IF(K51&gt;0,Offerteblad!F47))</f>
        <v>1</v>
      </c>
      <c r="C51" s="401" t="str">
        <f>Offerteblad!H47</f>
        <v>Beglazingsband 9x3 mm wit, rol á 25 m1</v>
      </c>
      <c r="D51" s="405"/>
      <c r="E51" s="405"/>
      <c r="F51" s="405"/>
      <c r="G51" s="405"/>
      <c r="H51" s="405"/>
      <c r="I51" s="405"/>
      <c r="J51" s="402"/>
      <c r="K51" s="403">
        <f>Offerteblad!L47</f>
        <v>3</v>
      </c>
      <c r="L51" s="404"/>
      <c r="M51" s="16"/>
    </row>
    <row r="52" spans="1:14" x14ac:dyDescent="0.25">
      <c r="A52" s="16"/>
      <c r="B52" s="51">
        <f>IF(K52="","",IF(K52&gt;0,Offerteblad!F48))</f>
        <v>5</v>
      </c>
      <c r="C52" s="401" t="str">
        <f>Offerteblad!H48</f>
        <v>Beglazingsblokjes, set per ruit</v>
      </c>
      <c r="D52" s="405"/>
      <c r="E52" s="405"/>
      <c r="F52" s="405"/>
      <c r="G52" s="405"/>
      <c r="H52" s="405"/>
      <c r="I52" s="405"/>
      <c r="J52" s="402"/>
      <c r="K52" s="403">
        <f>Offerteblad!L48</f>
        <v>5</v>
      </c>
      <c r="L52" s="404"/>
      <c r="M52" s="16"/>
    </row>
    <row r="53" spans="1:14" x14ac:dyDescent="0.25">
      <c r="A53" s="16"/>
      <c r="B53" s="52">
        <f>IF(K53="","",IF(K53&gt;0,1,""))</f>
        <v>1</v>
      </c>
      <c r="C53" s="401" t="str">
        <f>Offerteblad!H49</f>
        <v>Bezorgkosten beglazingsmateriaal</v>
      </c>
      <c r="D53" s="405"/>
      <c r="E53" s="405"/>
      <c r="F53" s="405"/>
      <c r="G53" s="405"/>
      <c r="H53" s="405"/>
      <c r="I53" s="405"/>
      <c r="J53" s="402"/>
      <c r="K53" s="403">
        <f>Offerteblad!L49</f>
        <v>7</v>
      </c>
      <c r="L53" s="404"/>
      <c r="M53" s="16"/>
    </row>
    <row r="54" spans="1:14" ht="6" customHeight="1" x14ac:dyDescent="0.25">
      <c r="A54" s="16"/>
      <c r="B54" s="24"/>
      <c r="C54" s="430"/>
      <c r="D54" s="459"/>
      <c r="E54" s="459"/>
      <c r="F54" s="459"/>
      <c r="G54" s="459"/>
      <c r="H54" s="459"/>
      <c r="I54" s="459"/>
      <c r="J54" s="431"/>
      <c r="K54" s="452"/>
      <c r="L54" s="453"/>
      <c r="M54" s="16"/>
    </row>
    <row r="55" spans="1:14" ht="18.75" customHeight="1" x14ac:dyDescent="0.25">
      <c r="A55" s="16"/>
      <c r="B55" s="467" t="s">
        <v>67</v>
      </c>
      <c r="C55" s="467"/>
      <c r="D55" s="467"/>
      <c r="E55" s="467"/>
      <c r="F55" s="467"/>
      <c r="G55" s="467"/>
      <c r="H55" s="246"/>
      <c r="I55" s="246"/>
      <c r="J55" s="48" t="s">
        <v>29</v>
      </c>
      <c r="K55" s="470">
        <f>SUM(K50:L53)</f>
        <v>18.899999999999999</v>
      </c>
      <c r="L55" s="471"/>
      <c r="M55" s="16"/>
      <c r="N55" s="239" t="str">
        <f>IF(Offerteblad!$B$85="","","Zie offerteblad voor opmerkingen klant")</f>
        <v/>
      </c>
    </row>
    <row r="56" spans="1:14" ht="6" customHeight="1" x14ac:dyDescent="0.25">
      <c r="A56" s="16"/>
      <c r="B56" s="400" t="s">
        <v>4</v>
      </c>
      <c r="C56" s="400"/>
      <c r="D56" s="400"/>
      <c r="E56" s="400"/>
      <c r="F56" s="400"/>
      <c r="G56" s="400"/>
      <c r="H56" s="246"/>
      <c r="I56" s="246"/>
      <c r="J56" s="246"/>
      <c r="K56" s="12"/>
      <c r="L56" s="13"/>
      <c r="M56" s="16"/>
    </row>
    <row r="57" spans="1:14" x14ac:dyDescent="0.25">
      <c r="A57" s="16"/>
      <c r="B57" s="400"/>
      <c r="C57" s="400"/>
      <c r="D57" s="400"/>
      <c r="E57" s="400"/>
      <c r="F57" s="400"/>
      <c r="G57" s="400"/>
      <c r="J57" s="45" t="s">
        <v>68</v>
      </c>
      <c r="K57" s="448">
        <f>Offerteblad!K53</f>
        <v>23</v>
      </c>
      <c r="L57" s="449"/>
      <c r="M57" s="16"/>
    </row>
    <row r="58" spans="1:14" x14ac:dyDescent="0.25">
      <c r="A58" s="16"/>
      <c r="B58" s="400"/>
      <c r="C58" s="400"/>
      <c r="D58" s="400"/>
      <c r="E58" s="400"/>
      <c r="F58" s="400"/>
      <c r="G58" s="400"/>
      <c r="J58" s="45" t="str">
        <f>Offerteblad!J54</f>
        <v>0% korting</v>
      </c>
      <c r="K58" s="450">
        <f>Offerteblad!K54</f>
        <v>0</v>
      </c>
      <c r="L58" s="451"/>
      <c r="M58" s="16"/>
    </row>
    <row r="59" spans="1:14" ht="6" customHeight="1" x14ac:dyDescent="0.25">
      <c r="A59" s="16"/>
      <c r="B59" s="400"/>
      <c r="C59" s="400"/>
      <c r="D59" s="400"/>
      <c r="E59" s="400"/>
      <c r="F59" s="400"/>
      <c r="G59" s="400"/>
      <c r="J59" s="9"/>
      <c r="K59" s="15"/>
      <c r="L59" s="15"/>
      <c r="M59" s="16"/>
    </row>
    <row r="60" spans="1:14" ht="18.75" customHeight="1" x14ac:dyDescent="0.25">
      <c r="A60" s="16"/>
      <c r="B60" s="477" t="s">
        <v>73</v>
      </c>
      <c r="C60" s="477"/>
      <c r="D60" s="477"/>
      <c r="E60" s="477"/>
      <c r="F60" s="477"/>
      <c r="G60" s="477"/>
      <c r="H60" s="477"/>
      <c r="J60" s="50" t="s">
        <v>39</v>
      </c>
      <c r="K60" s="443">
        <f>Offerteblad!K56</f>
        <v>341.15</v>
      </c>
      <c r="L60" s="444"/>
      <c r="M60" s="16"/>
    </row>
    <row r="61" spans="1:14" ht="6" customHeight="1" x14ac:dyDescent="0.25">
      <c r="A61" s="16"/>
      <c r="B61" s="399" t="s">
        <v>69</v>
      </c>
      <c r="C61" s="399"/>
      <c r="D61" s="399"/>
      <c r="E61" s="399"/>
      <c r="F61" s="399"/>
      <c r="G61" s="399"/>
      <c r="H61" s="399"/>
      <c r="J61" s="45"/>
      <c r="K61" s="46"/>
      <c r="L61" s="46"/>
      <c r="M61" s="16"/>
    </row>
    <row r="62" spans="1:14" ht="12.75" customHeight="1" x14ac:dyDescent="0.25">
      <c r="A62" s="16"/>
      <c r="B62" s="399"/>
      <c r="C62" s="399"/>
      <c r="D62" s="399"/>
      <c r="E62" s="399"/>
      <c r="F62" s="399"/>
      <c r="G62" s="399"/>
      <c r="H62" s="399"/>
      <c r="J62" s="45" t="str">
        <f>Offerteblad!J58</f>
        <v>Btw bedrag 21%</v>
      </c>
      <c r="K62" s="475">
        <f>Offerteblad!K58</f>
        <v>71.641499999999994</v>
      </c>
      <c r="L62" s="476"/>
      <c r="M62" s="16"/>
    </row>
    <row r="63" spans="1:14" ht="12.75" customHeight="1" x14ac:dyDescent="0.25">
      <c r="A63" s="16"/>
      <c r="B63" s="399"/>
      <c r="C63" s="399"/>
      <c r="D63" s="399"/>
      <c r="E63" s="399"/>
      <c r="F63" s="399"/>
      <c r="G63" s="399"/>
      <c r="H63" s="399"/>
      <c r="J63" s="45" t="str">
        <f>Offerteblad!J59</f>
        <v/>
      </c>
      <c r="K63" s="458" t="str">
        <f>Offerteblad!K59</f>
        <v/>
      </c>
      <c r="L63" s="458"/>
      <c r="M63" s="16"/>
      <c r="N63" s="221" t="str">
        <f>IF(K63="","",("Btw regeling bouw"))</f>
        <v/>
      </c>
    </row>
    <row r="64" spans="1:14" s="8" customFormat="1" ht="6" customHeight="1" x14ac:dyDescent="0.25">
      <c r="A64" s="17"/>
      <c r="B64" s="399"/>
      <c r="C64" s="399"/>
      <c r="D64" s="399"/>
      <c r="E64" s="399"/>
      <c r="F64" s="399"/>
      <c r="G64" s="399"/>
      <c r="H64" s="399"/>
      <c r="J64" s="14"/>
      <c r="K64" s="15"/>
      <c r="L64" s="15"/>
      <c r="M64" s="17"/>
    </row>
    <row r="65" spans="1:13" ht="18.75" customHeight="1" x14ac:dyDescent="0.25">
      <c r="A65" s="16"/>
      <c r="B65" s="399"/>
      <c r="C65" s="399"/>
      <c r="D65" s="399"/>
      <c r="E65" s="399"/>
      <c r="F65" s="399"/>
      <c r="G65" s="399"/>
      <c r="H65" s="399"/>
      <c r="J65" s="50" t="s">
        <v>42</v>
      </c>
      <c r="K65" s="438">
        <f>Offerteblad!K61</f>
        <v>412.79149999999998</v>
      </c>
      <c r="L65" s="439"/>
      <c r="M65" s="16"/>
    </row>
    <row r="66" spans="1:13" ht="7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8" spans="1:13" ht="13.8" x14ac:dyDescent="0.3">
      <c r="B68" s="461" t="str">
        <f>'© Copyright'!A1</f>
        <v>© 2004 - 2019 Glasdiscount.nl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</row>
    <row r="69" spans="1:13" ht="13.8" x14ac:dyDescent="0.3">
      <c r="B69" s="461" t="str">
        <f>'© Copyright'!A3</f>
        <v>Deze spreadsheet is eigendom van Glasdiscount.nl en mag uitsluitend gebruikt worden door (potentiële) relaties en klanten van Glasdiscount.nl</v>
      </c>
      <c r="C69" s="461"/>
      <c r="D69" s="461"/>
      <c r="E69" s="461"/>
      <c r="F69" s="461"/>
      <c r="G69" s="461"/>
      <c r="H69" s="461"/>
      <c r="I69" s="461"/>
      <c r="J69" s="461"/>
      <c r="K69" s="461"/>
      <c r="L69" s="461"/>
    </row>
    <row r="70" spans="1:13" ht="13.8" x14ac:dyDescent="0.3">
      <c r="B70" s="461" t="str">
        <f>'© Copyright'!A4</f>
        <v>Op geen enkele wijze mag dit programma gekopieerd of hergebruikt worden tenzij schriftelijke toestemming is verleend door Glasdiscount.nl</v>
      </c>
      <c r="C70" s="461"/>
      <c r="D70" s="461"/>
      <c r="E70" s="461"/>
      <c r="F70" s="461"/>
      <c r="G70" s="461"/>
      <c r="H70" s="461"/>
      <c r="I70" s="461"/>
      <c r="J70" s="461"/>
      <c r="K70" s="461"/>
      <c r="L70" s="461"/>
    </row>
  </sheetData>
  <sheetProtection password="E729" sheet="1" objects="1" scenarios="1" selectLockedCells="1"/>
  <mergeCells count="106">
    <mergeCell ref="D5:G5"/>
    <mergeCell ref="J4:L5"/>
    <mergeCell ref="H4:I4"/>
    <mergeCell ref="B68:L68"/>
    <mergeCell ref="B69:L69"/>
    <mergeCell ref="B70:L70"/>
    <mergeCell ref="H16:L16"/>
    <mergeCell ref="H9:L9"/>
    <mergeCell ref="H19:L19"/>
    <mergeCell ref="H21:L21"/>
    <mergeCell ref="K60:L60"/>
    <mergeCell ref="K62:L62"/>
    <mergeCell ref="K65:L65"/>
    <mergeCell ref="C54:J54"/>
    <mergeCell ref="K54:L54"/>
    <mergeCell ref="B55:G55"/>
    <mergeCell ref="K55:L55"/>
    <mergeCell ref="K57:L57"/>
    <mergeCell ref="K58:L58"/>
    <mergeCell ref="K63:L63"/>
    <mergeCell ref="C49:J49"/>
    <mergeCell ref="K49:L49"/>
    <mergeCell ref="C50:J50"/>
    <mergeCell ref="K50:L50"/>
    <mergeCell ref="K51:L51"/>
    <mergeCell ref="C52:J52"/>
    <mergeCell ref="K52:L52"/>
    <mergeCell ref="C53:J53"/>
    <mergeCell ref="K53:L53"/>
    <mergeCell ref="C42:D42"/>
    <mergeCell ref="H42:I42"/>
    <mergeCell ref="C43:D43"/>
    <mergeCell ref="H43:I43"/>
    <mergeCell ref="C44:D44"/>
    <mergeCell ref="H44:I44"/>
    <mergeCell ref="C45:D45"/>
    <mergeCell ref="H45:I45"/>
    <mergeCell ref="K46:L46"/>
    <mergeCell ref="C36:D36"/>
    <mergeCell ref="H36:I36"/>
    <mergeCell ref="C37:D37"/>
    <mergeCell ref="H37:I37"/>
    <mergeCell ref="C38:D38"/>
    <mergeCell ref="H38:I38"/>
    <mergeCell ref="C39:D39"/>
    <mergeCell ref="H39:I39"/>
    <mergeCell ref="B60:H60"/>
    <mergeCell ref="C40:D40"/>
    <mergeCell ref="H40:I40"/>
    <mergeCell ref="C41:D41"/>
    <mergeCell ref="H41:I41"/>
    <mergeCell ref="C51:J51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26:D26"/>
    <mergeCell ref="H26:I26"/>
    <mergeCell ref="C27:D27"/>
    <mergeCell ref="H27:I27"/>
    <mergeCell ref="C29:D29"/>
    <mergeCell ref="H29:I29"/>
    <mergeCell ref="C28:D28"/>
    <mergeCell ref="H28:I28"/>
    <mergeCell ref="C30:D30"/>
    <mergeCell ref="H30:I30"/>
    <mergeCell ref="E14:G14"/>
    <mergeCell ref="H14:L14"/>
    <mergeCell ref="B21:G21"/>
    <mergeCell ref="B23:B24"/>
    <mergeCell ref="C23:D24"/>
    <mergeCell ref="H23:J23"/>
    <mergeCell ref="H24:I24"/>
    <mergeCell ref="I20:K20"/>
    <mergeCell ref="C25:D25"/>
    <mergeCell ref="H25:I25"/>
    <mergeCell ref="B61:H65"/>
    <mergeCell ref="B56:G59"/>
    <mergeCell ref="B2:L2"/>
    <mergeCell ref="B4:C4"/>
    <mergeCell ref="B5:C5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6:G16"/>
    <mergeCell ref="B18:G18"/>
    <mergeCell ref="H18:L18"/>
    <mergeCell ref="B19:G19"/>
    <mergeCell ref="B20:G20"/>
    <mergeCell ref="B13:G13"/>
    <mergeCell ref="H13:L13"/>
    <mergeCell ref="B14:D14"/>
  </mergeCells>
  <conditionalFormatting sqref="K63:L63">
    <cfRule type="expression" dxfId="0" priority="1">
      <formula>$K$63*1&gt;0</formula>
    </cfRule>
  </conditionalFormatting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U68"/>
  <sheetViews>
    <sheetView zoomScaleNormal="100" workbookViewId="0">
      <selection activeCell="B20" sqref="B20:G20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4" width="9.109375" style="5"/>
    <col min="15" max="15" width="39.109375" style="5" customWidth="1"/>
    <col min="16" max="16384" width="9.109375" style="5"/>
  </cols>
  <sheetData>
    <row r="1" spans="1:15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 ht="60" customHeight="1" x14ac:dyDescent="0.25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5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5" ht="12.75" customHeight="1" x14ac:dyDescent="0.25">
      <c r="A4" s="16"/>
      <c r="B4" s="423" t="s">
        <v>1</v>
      </c>
      <c r="C4" s="424"/>
      <c r="D4" s="247">
        <f ca="1">TODAY()</f>
        <v>43055</v>
      </c>
      <c r="E4" s="49"/>
      <c r="F4" s="7"/>
      <c r="G4" s="447"/>
      <c r="H4" s="447"/>
      <c r="I4" s="445" t="s">
        <v>74</v>
      </c>
      <c r="J4" s="445"/>
      <c r="K4" s="445"/>
      <c r="L4" s="446"/>
      <c r="M4" s="16"/>
    </row>
    <row r="5" spans="1:15" ht="12.75" customHeight="1" x14ac:dyDescent="0.25">
      <c r="A5" s="16"/>
      <c r="B5" s="423" t="s">
        <v>3</v>
      </c>
      <c r="C5" s="424"/>
      <c r="D5" s="474" t="str">
        <f>Offerteblad!C5</f>
        <v>……</v>
      </c>
      <c r="E5" s="474"/>
      <c r="F5" s="474"/>
      <c r="G5" s="474"/>
      <c r="H5" s="7"/>
      <c r="I5" s="445"/>
      <c r="J5" s="445"/>
      <c r="K5" s="445"/>
      <c r="L5" s="446"/>
      <c r="M5" s="16"/>
    </row>
    <row r="6" spans="1:15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5" ht="6" customHeight="1" x14ac:dyDescent="0.25">
      <c r="A7" s="16"/>
      <c r="M7" s="16"/>
    </row>
    <row r="8" spans="1:15" ht="18" customHeight="1" x14ac:dyDescent="0.25">
      <c r="A8" s="16"/>
      <c r="B8" s="416" t="s">
        <v>44</v>
      </c>
      <c r="C8" s="416"/>
      <c r="D8" s="416"/>
      <c r="E8" s="416"/>
      <c r="F8" s="416"/>
      <c r="G8" s="416"/>
      <c r="H8" s="416" t="str">
        <f>Offerteblad!H65</f>
        <v>Afleveradres</v>
      </c>
      <c r="I8" s="416"/>
      <c r="J8" s="416"/>
      <c r="K8" s="416"/>
      <c r="L8" s="416"/>
      <c r="M8" s="16"/>
    </row>
    <row r="9" spans="1:15" ht="6" customHeight="1" x14ac:dyDescent="0.25">
      <c r="A9" s="16"/>
      <c r="B9" s="417"/>
      <c r="C9" s="418"/>
      <c r="D9" s="419"/>
      <c r="E9" s="419"/>
      <c r="F9" s="419"/>
      <c r="G9" s="419"/>
      <c r="H9" s="464"/>
      <c r="I9" s="464"/>
      <c r="J9" s="464"/>
      <c r="K9" s="464"/>
      <c r="L9" s="465"/>
      <c r="M9" s="16"/>
    </row>
    <row r="10" spans="1:15" x14ac:dyDescent="0.25">
      <c r="A10" s="16"/>
      <c r="B10" s="420" t="str">
        <f>IF(Offerteblad!C67="","",Offerteblad!C67)</f>
        <v/>
      </c>
      <c r="C10" s="421"/>
      <c r="D10" s="422"/>
      <c r="E10" s="422"/>
      <c r="F10" s="422"/>
      <c r="G10" s="422"/>
      <c r="H10" s="422" t="str">
        <f>IF(Offerteblad!I67="","",Offerteblad!I67)</f>
        <v/>
      </c>
      <c r="I10" s="422"/>
      <c r="J10" s="422"/>
      <c r="K10" s="422"/>
      <c r="L10" s="425"/>
      <c r="M10" s="16"/>
    </row>
    <row r="11" spans="1:15" x14ac:dyDescent="0.25">
      <c r="A11" s="16"/>
      <c r="B11" s="420" t="str">
        <f>IF(Offerteblad!C68="","",Offerteblad!C68)</f>
        <v/>
      </c>
      <c r="C11" s="421"/>
      <c r="D11" s="422"/>
      <c r="E11" s="422"/>
      <c r="F11" s="422"/>
      <c r="G11" s="422"/>
      <c r="H11" s="422" t="str">
        <f>IF(Offerteblad!I68="","",Offerteblad!I68)</f>
        <v/>
      </c>
      <c r="I11" s="422"/>
      <c r="J11" s="422"/>
      <c r="K11" s="422"/>
      <c r="L11" s="425"/>
      <c r="M11" s="16"/>
    </row>
    <row r="12" spans="1:15" x14ac:dyDescent="0.25">
      <c r="A12" s="16"/>
      <c r="B12" s="428" t="str">
        <f>IF(Offerteblad!C69="","",Offerteblad!C69)</f>
        <v/>
      </c>
      <c r="C12" s="429"/>
      <c r="D12" s="442" t="str">
        <f>IF(Offerteblad!C70="","",Offerteblad!C70)</f>
        <v/>
      </c>
      <c r="E12" s="442"/>
      <c r="F12" s="442"/>
      <c r="G12" s="442"/>
      <c r="H12" s="245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5" x14ac:dyDescent="0.25">
      <c r="A13" s="16"/>
      <c r="B13" s="420" t="str">
        <f>IF(Offerteblad!C71="&lt;selecteer&gt;","",Offerteblad!C71)</f>
        <v/>
      </c>
      <c r="C13" s="421"/>
      <c r="D13" s="422"/>
      <c r="E13" s="422"/>
      <c r="F13" s="422"/>
      <c r="G13" s="422"/>
      <c r="H13" s="421" t="str">
        <f>IF(Offerteblad!I71="&lt;selecteer&gt;","",Offerteblad!I71)</f>
        <v/>
      </c>
      <c r="I13" s="422"/>
      <c r="J13" s="422"/>
      <c r="K13" s="422"/>
      <c r="L13" s="425"/>
      <c r="M13" s="16"/>
    </row>
    <row r="14" spans="1:15" x14ac:dyDescent="0.25">
      <c r="A14" s="16"/>
      <c r="B14" s="420" t="str">
        <f>IF(Offerteblad!C72="","",Offerteblad!C72)</f>
        <v/>
      </c>
      <c r="C14" s="421"/>
      <c r="D14" s="421"/>
      <c r="E14" s="466" t="str">
        <f>IF(Offerteblad!C73="","",Offerteblad!C73)</f>
        <v/>
      </c>
      <c r="F14" s="466"/>
      <c r="G14" s="466"/>
      <c r="H14" s="422" t="str">
        <f>IF(Offerteblad!I72="","",Offerteblad!I72)</f>
        <v/>
      </c>
      <c r="I14" s="422"/>
      <c r="J14" s="422"/>
      <c r="K14" s="422"/>
      <c r="L14" s="425"/>
      <c r="M14" s="16"/>
    </row>
    <row r="15" spans="1:15" x14ac:dyDescent="0.25">
      <c r="A15" s="16"/>
      <c r="B15" s="420" t="str">
        <f>IF(Offerteblad!C74="","",Offerteblad!C74)</f>
        <v/>
      </c>
      <c r="C15" s="421"/>
      <c r="D15" s="422"/>
      <c r="E15" s="422"/>
      <c r="F15" s="422"/>
      <c r="G15" s="422"/>
      <c r="H15" s="426"/>
      <c r="I15" s="426"/>
      <c r="J15" s="426"/>
      <c r="K15" s="426"/>
      <c r="L15" s="427"/>
      <c r="M15" s="16"/>
      <c r="O15" s="68"/>
    </row>
    <row r="16" spans="1:15" ht="6" customHeight="1" x14ac:dyDescent="0.25">
      <c r="A16" s="16"/>
      <c r="B16" s="432"/>
      <c r="C16" s="433"/>
      <c r="D16" s="433"/>
      <c r="E16" s="433"/>
      <c r="F16" s="433"/>
      <c r="G16" s="433"/>
      <c r="H16" s="462"/>
      <c r="I16" s="462"/>
      <c r="J16" s="462"/>
      <c r="K16" s="462"/>
      <c r="L16" s="463"/>
      <c r="M16" s="16"/>
    </row>
    <row r="17" spans="1:21" ht="6" customHeight="1" x14ac:dyDescent="0.25">
      <c r="A17" s="16"/>
      <c r="M17" s="16"/>
      <c r="O17" s="496" t="s">
        <v>75</v>
      </c>
      <c r="P17" s="496"/>
    </row>
    <row r="18" spans="1:21" ht="18" customHeight="1" x14ac:dyDescent="0.25">
      <c r="A18" s="16"/>
      <c r="B18" s="416" t="s">
        <v>242</v>
      </c>
      <c r="C18" s="416"/>
      <c r="D18" s="416"/>
      <c r="E18" s="416"/>
      <c r="F18" s="416"/>
      <c r="G18" s="416"/>
      <c r="H18" s="416" t="s">
        <v>240</v>
      </c>
      <c r="I18" s="416"/>
      <c r="J18" s="416"/>
      <c r="K18" s="416"/>
      <c r="L18" s="416"/>
      <c r="M18" s="16"/>
      <c r="O18" s="496"/>
      <c r="P18" s="496"/>
    </row>
    <row r="19" spans="1:21" ht="7.5" customHeight="1" x14ac:dyDescent="0.25">
      <c r="A19" s="16"/>
      <c r="B19" s="417"/>
      <c r="C19" s="418"/>
      <c r="D19" s="419"/>
      <c r="E19" s="419"/>
      <c r="F19" s="419"/>
      <c r="G19" s="419"/>
      <c r="H19" s="464"/>
      <c r="I19" s="464"/>
      <c r="J19" s="464"/>
      <c r="K19" s="464"/>
      <c r="L19" s="465"/>
      <c r="M19" s="16"/>
      <c r="O19" s="496"/>
      <c r="P19" s="496"/>
    </row>
    <row r="20" spans="1:21" x14ac:dyDescent="0.25">
      <c r="A20" s="16"/>
      <c r="B20" s="501" t="s">
        <v>76</v>
      </c>
      <c r="C20" s="502"/>
      <c r="D20" s="502"/>
      <c r="E20" s="502"/>
      <c r="F20" s="502"/>
      <c r="G20" s="502"/>
      <c r="H20" s="238" t="str">
        <f>IF(Offerteblad!C79="&lt;selecteer&gt;","",Offerteblad!C79)</f>
        <v>Bezorgen</v>
      </c>
      <c r="I20" s="494" t="str">
        <f>IF(Offerteblad!E79="&lt;kies locatie&gt;","",Offerteblad!E79)</f>
        <v/>
      </c>
      <c r="J20" s="494"/>
      <c r="K20" s="494"/>
      <c r="L20" s="495"/>
      <c r="M20" s="16"/>
      <c r="O20" s="496"/>
      <c r="P20" s="496"/>
    </row>
    <row r="21" spans="1:21" ht="7.5" customHeight="1" x14ac:dyDescent="0.25">
      <c r="A21" s="16"/>
      <c r="B21" s="432"/>
      <c r="C21" s="433"/>
      <c r="D21" s="433"/>
      <c r="E21" s="433"/>
      <c r="F21" s="433"/>
      <c r="G21" s="433"/>
      <c r="H21" s="462"/>
      <c r="I21" s="462"/>
      <c r="J21" s="462"/>
      <c r="K21" s="462"/>
      <c r="L21" s="463"/>
      <c r="M21" s="16"/>
      <c r="O21" s="496"/>
      <c r="P21" s="496"/>
    </row>
    <row r="22" spans="1:21" ht="12" customHeight="1" x14ac:dyDescent="0.25">
      <c r="A22" s="16"/>
      <c r="M22" s="16"/>
      <c r="O22" s="6"/>
    </row>
    <row r="23" spans="1:21" ht="12.75" customHeight="1" x14ac:dyDescent="0.3">
      <c r="A23" s="16"/>
      <c r="B23" s="456" t="s">
        <v>10</v>
      </c>
      <c r="C23" s="412" t="s">
        <v>63</v>
      </c>
      <c r="D23" s="485"/>
      <c r="E23" s="413"/>
      <c r="F23" s="41" t="s">
        <v>11</v>
      </c>
      <c r="G23" s="41" t="s">
        <v>12</v>
      </c>
      <c r="H23" s="70" t="s">
        <v>9</v>
      </c>
      <c r="I23" s="484" t="s">
        <v>77</v>
      </c>
      <c r="J23" s="485"/>
      <c r="K23" s="485"/>
      <c r="L23" s="486"/>
      <c r="M23" s="16"/>
      <c r="O23" s="499" t="s">
        <v>13</v>
      </c>
      <c r="P23" s="66" t="s">
        <v>78</v>
      </c>
    </row>
    <row r="24" spans="1:21" ht="13.8" x14ac:dyDescent="0.3">
      <c r="A24" s="16"/>
      <c r="B24" s="457"/>
      <c r="C24" s="414"/>
      <c r="D24" s="488"/>
      <c r="E24" s="415"/>
      <c r="F24" s="42" t="s">
        <v>18</v>
      </c>
      <c r="G24" s="42" t="s">
        <v>18</v>
      </c>
      <c r="H24" s="69" t="s">
        <v>18</v>
      </c>
      <c r="I24" s="487"/>
      <c r="J24" s="488"/>
      <c r="K24" s="488"/>
      <c r="L24" s="489"/>
      <c r="M24" s="16"/>
      <c r="O24" s="500"/>
      <c r="P24" s="67" t="s">
        <v>79</v>
      </c>
    </row>
    <row r="25" spans="1:21" ht="6" customHeight="1" x14ac:dyDescent="0.25">
      <c r="A25" s="16"/>
      <c r="B25" s="20"/>
      <c r="C25" s="406"/>
      <c r="D25" s="407"/>
      <c r="E25" s="408"/>
      <c r="F25" s="21"/>
      <c r="G25" s="21"/>
      <c r="H25" s="71"/>
      <c r="I25" s="490"/>
      <c r="J25" s="407"/>
      <c r="K25" s="407"/>
      <c r="L25" s="491"/>
      <c r="M25" s="16"/>
      <c r="O25" s="60"/>
      <c r="P25" s="61"/>
    </row>
    <row r="26" spans="1:21" x14ac:dyDescent="0.25">
      <c r="A26" s="16"/>
      <c r="B26" s="55" t="str">
        <f>IF(Offerteblad!E16=0,"",Offerteblad!E16)</f>
        <v/>
      </c>
      <c r="C26" s="401" t="str">
        <f>IF(Offerteblad!B16="  &lt;selecteer&gt;","",Offerteblad!B16)</f>
        <v/>
      </c>
      <c r="D26" s="405"/>
      <c r="E26" s="402"/>
      <c r="F26" s="53" t="str">
        <f>IF(Offerteblad!F16= 0, "",Offerteblad!F16)</f>
        <v/>
      </c>
      <c r="G26" s="53" t="str">
        <f>IF(Offerteblad!G16= 0, "",Offerteblad!G16-P26)</f>
        <v/>
      </c>
      <c r="H26" s="72" t="str">
        <f>IF(Offerteblad!C16="&lt;selecteer&gt;", "", Offerteblad!C16)</f>
        <v/>
      </c>
      <c r="I26" s="479"/>
      <c r="J26" s="480"/>
      <c r="K26" s="480"/>
      <c r="L26" s="481"/>
      <c r="M26" s="16"/>
      <c r="O26" s="62" t="str">
        <f>IF(Offerteblad!H16=_Prijzenblad!$E$5,"",Offerteblad!H16)</f>
        <v/>
      </c>
      <c r="P26" s="63">
        <f>VLOOKUP(Offerteblad!H16,vent.rooster,4,FALSE)</f>
        <v>0</v>
      </c>
      <c r="Q26" s="2"/>
      <c r="R26" s="2"/>
      <c r="S26" s="2"/>
      <c r="T26" s="2"/>
      <c r="U26" s="1"/>
    </row>
    <row r="27" spans="1:21" x14ac:dyDescent="0.25">
      <c r="A27" s="16"/>
      <c r="B27" s="55" t="str">
        <f>IF(Offerteblad!E17=0,"",Offerteblad!E17)</f>
        <v/>
      </c>
      <c r="C27" s="401" t="str">
        <f>IF(Offerteblad!B17="  &lt;selecteer&gt;","",Offerteblad!B17)</f>
        <v/>
      </c>
      <c r="D27" s="405"/>
      <c r="E27" s="402"/>
      <c r="F27" s="53" t="str">
        <f>IF(Offerteblad!F17= 0, "",Offerteblad!F17)</f>
        <v/>
      </c>
      <c r="G27" s="53" t="str">
        <f>IF(Offerteblad!G17= 0, "",Offerteblad!G17-P27)</f>
        <v/>
      </c>
      <c r="H27" s="72" t="str">
        <f>IF(Offerteblad!C17="&lt;selecteer&gt;", "", Offerteblad!C17)</f>
        <v/>
      </c>
      <c r="I27" s="479"/>
      <c r="J27" s="480"/>
      <c r="K27" s="480"/>
      <c r="L27" s="481"/>
      <c r="M27" s="16"/>
      <c r="O27" s="62" t="str">
        <f>IF(Offerteblad!H17=_Prijzenblad!$E$5,"",Offerteblad!H17)</f>
        <v/>
      </c>
      <c r="P27" s="63">
        <f>VLOOKUP(Offerteblad!H17,vent.rooster,4,FALSE)</f>
        <v>0</v>
      </c>
    </row>
    <row r="28" spans="1:21" x14ac:dyDescent="0.25">
      <c r="A28" s="16"/>
      <c r="B28" s="55" t="str">
        <f>IF(Offerteblad!E18=0,"",Offerteblad!E18)</f>
        <v/>
      </c>
      <c r="C28" s="401" t="str">
        <f>IF(Offerteblad!B18="  &lt;selecteer&gt;","",Offerteblad!B18)</f>
        <v/>
      </c>
      <c r="D28" s="405"/>
      <c r="E28" s="402"/>
      <c r="F28" s="53" t="str">
        <f>IF(Offerteblad!F18= 0, "",Offerteblad!F18)</f>
        <v/>
      </c>
      <c r="G28" s="53" t="str">
        <f>IF(Offerteblad!G18= 0, "",Offerteblad!G18-P28)</f>
        <v/>
      </c>
      <c r="H28" s="72" t="str">
        <f>IF(Offerteblad!C18="&lt;selecteer&gt;", "", Offerteblad!C18)</f>
        <v/>
      </c>
      <c r="I28" s="479"/>
      <c r="J28" s="480"/>
      <c r="K28" s="480"/>
      <c r="L28" s="481"/>
      <c r="M28" s="16"/>
      <c r="O28" s="62" t="str">
        <f>IF(Offerteblad!H18=_Prijzenblad!$E$5,"",Offerteblad!H18)</f>
        <v/>
      </c>
      <c r="P28" s="63">
        <f>VLOOKUP(Offerteblad!H18,vent.rooster,4,FALSE)</f>
        <v>0</v>
      </c>
    </row>
    <row r="29" spans="1:21" x14ac:dyDescent="0.25">
      <c r="A29" s="16"/>
      <c r="B29" s="55" t="str">
        <f>IF(Offerteblad!E19=0,"",Offerteblad!E19)</f>
        <v/>
      </c>
      <c r="C29" s="401" t="str">
        <f>IF(Offerteblad!B19="  &lt;selecteer&gt;","",Offerteblad!B19)</f>
        <v/>
      </c>
      <c r="D29" s="405"/>
      <c r="E29" s="402"/>
      <c r="F29" s="53" t="str">
        <f>IF(Offerteblad!F19= 0, "",Offerteblad!F19)</f>
        <v/>
      </c>
      <c r="G29" s="53" t="str">
        <f>IF(Offerteblad!G19= 0, "",Offerteblad!G19-P29)</f>
        <v/>
      </c>
      <c r="H29" s="72" t="str">
        <f>IF(Offerteblad!C19="&lt;selecteer&gt;", "", Offerteblad!C19)</f>
        <v/>
      </c>
      <c r="I29" s="479"/>
      <c r="J29" s="480"/>
      <c r="K29" s="480"/>
      <c r="L29" s="481"/>
      <c r="M29" s="16"/>
      <c r="O29" s="62" t="str">
        <f>IF(Offerteblad!H19=_Prijzenblad!$E$5,"",Offerteblad!H19)</f>
        <v/>
      </c>
      <c r="P29" s="63">
        <f>VLOOKUP(Offerteblad!H19,vent.rooster,4,FALSE)</f>
        <v>0</v>
      </c>
    </row>
    <row r="30" spans="1:21" x14ac:dyDescent="0.25">
      <c r="A30" s="16"/>
      <c r="B30" s="55" t="str">
        <f>IF(Offerteblad!E20=0,"",Offerteblad!E20)</f>
        <v/>
      </c>
      <c r="C30" s="401" t="str">
        <f>IF(Offerteblad!B20="  &lt;selecteer&gt;","",Offerteblad!B20)</f>
        <v/>
      </c>
      <c r="D30" s="405"/>
      <c r="E30" s="402"/>
      <c r="F30" s="53" t="str">
        <f>IF(Offerteblad!F20= 0, "",Offerteblad!F20)</f>
        <v/>
      </c>
      <c r="G30" s="53" t="str">
        <f>IF(Offerteblad!G20= 0, "",Offerteblad!G20-P30)</f>
        <v/>
      </c>
      <c r="H30" s="72" t="str">
        <f>IF(Offerteblad!C20="&lt;selecteer&gt;", "", Offerteblad!C20)</f>
        <v/>
      </c>
      <c r="I30" s="479"/>
      <c r="J30" s="480"/>
      <c r="K30" s="480"/>
      <c r="L30" s="481"/>
      <c r="M30" s="16"/>
      <c r="O30" s="62" t="str">
        <f>IF(Offerteblad!H20=_Prijzenblad!$E$5,"",Offerteblad!H20)</f>
        <v>Ducoline 10/17/23 RAL standaard</v>
      </c>
      <c r="P30" s="63">
        <f>VLOOKUP(Offerteblad!H20,vent.rooster,4,FALSE)</f>
        <v>80</v>
      </c>
    </row>
    <row r="31" spans="1:21" x14ac:dyDescent="0.25">
      <c r="A31" s="16"/>
      <c r="B31" s="55">
        <f>IF(Offerteblad!E21=0,"",Offerteblad!E21)</f>
        <v>5</v>
      </c>
      <c r="C31" s="401" t="str">
        <f>IF(Offerteblad!B21="  &lt;selecteer&gt;","",Offerteblad!B21)</f>
        <v>HR++ 4 - 4*</v>
      </c>
      <c r="D31" s="405"/>
      <c r="E31" s="402"/>
      <c r="F31" s="53">
        <f>IF(Offerteblad!F21= 0, "",Offerteblad!F21)</f>
        <v>50</v>
      </c>
      <c r="G31" s="53">
        <f>IF(Offerteblad!G21= 0, "",Offerteblad!G21-P31)</f>
        <v>20</v>
      </c>
      <c r="H31" s="72" t="str">
        <f>IF(Offerteblad!C21="&lt;selecteer&gt;", "", Offerteblad!C21)</f>
        <v>13 mm</v>
      </c>
      <c r="I31" s="479"/>
      <c r="J31" s="480"/>
      <c r="K31" s="480"/>
      <c r="L31" s="481"/>
      <c r="M31" s="16"/>
      <c r="O31" s="62" t="str">
        <f>IF(Offerteblad!H21=_Prijzenblad!$E$5,"",Offerteblad!H21)</f>
        <v>Ducoline 10/17/23 ZR F1 Alu</v>
      </c>
      <c r="P31" s="63">
        <f>VLOOKUP(Offerteblad!H21,vent.rooster,4,FALSE)</f>
        <v>80</v>
      </c>
    </row>
    <row r="32" spans="1:21" x14ac:dyDescent="0.25">
      <c r="A32" s="16"/>
      <c r="B32" s="55" t="str">
        <f>IF(Offerteblad!E22=0,"",Offerteblad!E22)</f>
        <v/>
      </c>
      <c r="C32" s="401" t="str">
        <f>IF(Offerteblad!B22="  &lt;selecteer&gt;","",Offerteblad!B22)</f>
        <v/>
      </c>
      <c r="D32" s="405"/>
      <c r="E32" s="402"/>
      <c r="F32" s="53" t="str">
        <f>IF(Offerteblad!F22= 0, "",Offerteblad!F22)</f>
        <v/>
      </c>
      <c r="G32" s="53" t="str">
        <f>IF(Offerteblad!G22= 0, "",Offerteblad!G22-P32)</f>
        <v/>
      </c>
      <c r="H32" s="72" t="str">
        <f>IF(Offerteblad!C22="&lt;selecteer&gt;", "", Offerteblad!C22)</f>
        <v/>
      </c>
      <c r="I32" s="479"/>
      <c r="J32" s="480"/>
      <c r="K32" s="480"/>
      <c r="L32" s="481"/>
      <c r="M32" s="16"/>
      <c r="O32" s="62" t="str">
        <f>IF(Offerteblad!H22=_Prijzenblad!$E$5,"",Offerteblad!H22)</f>
        <v/>
      </c>
      <c r="P32" s="63">
        <f>VLOOKUP(Offerteblad!H22,vent.rooster,4,FALSE)</f>
        <v>0</v>
      </c>
    </row>
    <row r="33" spans="1:16" x14ac:dyDescent="0.25">
      <c r="A33" s="16"/>
      <c r="B33" s="55" t="str">
        <f>IF(Offerteblad!E23=0,"",Offerteblad!E23)</f>
        <v/>
      </c>
      <c r="C33" s="401" t="str">
        <f>IF(Offerteblad!B23="  &lt;selecteer&gt;","",Offerteblad!B23)</f>
        <v/>
      </c>
      <c r="D33" s="405"/>
      <c r="E33" s="402"/>
      <c r="F33" s="53" t="str">
        <f>IF(Offerteblad!F23= 0, "",Offerteblad!F23)</f>
        <v/>
      </c>
      <c r="G33" s="53" t="str">
        <f>IF(Offerteblad!G23= 0, "",Offerteblad!G23-P33)</f>
        <v/>
      </c>
      <c r="H33" s="72" t="str">
        <f>IF(Offerteblad!C23="&lt;selecteer&gt;", "", Offerteblad!C23)</f>
        <v/>
      </c>
      <c r="I33" s="479"/>
      <c r="J33" s="480"/>
      <c r="K33" s="480"/>
      <c r="L33" s="481"/>
      <c r="M33" s="16"/>
      <c r="O33" s="62" t="str">
        <f>IF(Offerteblad!H23=_Prijzenblad!$E$5,"",Offerteblad!H23)</f>
        <v/>
      </c>
      <c r="P33" s="63">
        <f>VLOOKUP(Offerteblad!H23,vent.rooster,4,FALSE)</f>
        <v>0</v>
      </c>
    </row>
    <row r="34" spans="1:16" x14ac:dyDescent="0.25">
      <c r="A34" s="16"/>
      <c r="B34" s="55" t="str">
        <f>IF(Offerteblad!E24=0,"",Offerteblad!E24)</f>
        <v/>
      </c>
      <c r="C34" s="401" t="str">
        <f>IF(Offerteblad!B24="  &lt;selecteer&gt;","",Offerteblad!B24)</f>
        <v/>
      </c>
      <c r="D34" s="405"/>
      <c r="E34" s="402"/>
      <c r="F34" s="53" t="str">
        <f>IF(Offerteblad!F24= 0, "",Offerteblad!F24)</f>
        <v/>
      </c>
      <c r="G34" s="53" t="str">
        <f>IF(Offerteblad!G24= 0, "",Offerteblad!G24-P34)</f>
        <v/>
      </c>
      <c r="H34" s="72" t="str">
        <f>IF(Offerteblad!C24="&lt;selecteer&gt;", "", Offerteblad!C24)</f>
        <v/>
      </c>
      <c r="I34" s="479"/>
      <c r="J34" s="480"/>
      <c r="K34" s="480"/>
      <c r="L34" s="481"/>
      <c r="M34" s="16"/>
      <c r="O34" s="62" t="str">
        <f>IF(Offerteblad!H24=_Prijzenblad!$E$5,"",Offerteblad!H24)</f>
        <v/>
      </c>
      <c r="P34" s="63">
        <f>VLOOKUP(Offerteblad!H24,vent.rooster,4,FALSE)</f>
        <v>0</v>
      </c>
    </row>
    <row r="35" spans="1:16" x14ac:dyDescent="0.25">
      <c r="A35" s="16"/>
      <c r="B35" s="55" t="str">
        <f>IF(Offerteblad!E25=0,"",Offerteblad!E25)</f>
        <v/>
      </c>
      <c r="C35" s="401" t="str">
        <f>IF(Offerteblad!B25="  &lt;selecteer&gt;","",Offerteblad!B25)</f>
        <v/>
      </c>
      <c r="D35" s="405"/>
      <c r="E35" s="402"/>
      <c r="F35" s="53" t="str">
        <f>IF(Offerteblad!F25= 0, "",Offerteblad!F25)</f>
        <v/>
      </c>
      <c r="G35" s="53" t="str">
        <f>IF(Offerteblad!G25= 0, "",Offerteblad!G25-P35)</f>
        <v/>
      </c>
      <c r="H35" s="72" t="str">
        <f>IF(Offerteblad!C25="&lt;selecteer&gt;", "", Offerteblad!C25)</f>
        <v/>
      </c>
      <c r="I35" s="479"/>
      <c r="J35" s="480"/>
      <c r="K35" s="480"/>
      <c r="L35" s="481"/>
      <c r="M35" s="16"/>
      <c r="O35" s="62" t="str">
        <f>IF(Offerteblad!H25=_Prijzenblad!$E$5,"",Offerteblad!H25)</f>
        <v/>
      </c>
      <c r="P35" s="63">
        <f>VLOOKUP(Offerteblad!H25,vent.rooster,4,FALSE)</f>
        <v>0</v>
      </c>
    </row>
    <row r="36" spans="1:16" x14ac:dyDescent="0.25">
      <c r="A36" s="16"/>
      <c r="B36" s="55" t="str">
        <f>IF(Offerteblad!E26=0,"",Offerteblad!E26)</f>
        <v/>
      </c>
      <c r="C36" s="401" t="str">
        <f>IF(Offerteblad!B26="  &lt;selecteer&gt;","",Offerteblad!B26)</f>
        <v/>
      </c>
      <c r="D36" s="405"/>
      <c r="E36" s="402"/>
      <c r="F36" s="53" t="str">
        <f>IF(Offerteblad!F26= 0, "",Offerteblad!F26)</f>
        <v/>
      </c>
      <c r="G36" s="53" t="str">
        <f>IF(Offerteblad!G26= 0, "",Offerteblad!G26-P36)</f>
        <v/>
      </c>
      <c r="H36" s="72" t="str">
        <f>IF(Offerteblad!C26="&lt;selecteer&gt;", "", Offerteblad!C26)</f>
        <v/>
      </c>
      <c r="I36" s="479"/>
      <c r="J36" s="480"/>
      <c r="K36" s="480"/>
      <c r="L36" s="481"/>
      <c r="M36" s="16"/>
      <c r="O36" s="62" t="str">
        <f>IF(Offerteblad!H26=_Prijzenblad!$E$5,"",Offerteblad!H26)</f>
        <v/>
      </c>
      <c r="P36" s="63">
        <f>VLOOKUP(Offerteblad!H26,vent.rooster,4,FALSE)</f>
        <v>0</v>
      </c>
    </row>
    <row r="37" spans="1:16" x14ac:dyDescent="0.25">
      <c r="A37" s="16"/>
      <c r="B37" s="55" t="str">
        <f>IF(Offerteblad!E27=0,"",Offerteblad!E27)</f>
        <v/>
      </c>
      <c r="C37" s="401" t="str">
        <f>IF(Offerteblad!B27="  &lt;selecteer&gt;","",Offerteblad!B27)</f>
        <v/>
      </c>
      <c r="D37" s="405"/>
      <c r="E37" s="402"/>
      <c r="F37" s="53" t="str">
        <f>IF(Offerteblad!F27= 0, "",Offerteblad!F27)</f>
        <v/>
      </c>
      <c r="G37" s="53" t="str">
        <f>IF(Offerteblad!G27= 0, "",Offerteblad!G27-P37)</f>
        <v/>
      </c>
      <c r="H37" s="72" t="str">
        <f>IF(Offerteblad!C27="&lt;selecteer&gt;", "", Offerteblad!C27)</f>
        <v/>
      </c>
      <c r="I37" s="479"/>
      <c r="J37" s="480"/>
      <c r="K37" s="480"/>
      <c r="L37" s="481"/>
      <c r="M37" s="16"/>
      <c r="O37" s="62" t="str">
        <f>IF(Offerteblad!H27=_Prijzenblad!$E$5,"",Offerteblad!H27)</f>
        <v/>
      </c>
      <c r="P37" s="63">
        <f>VLOOKUP(Offerteblad!H27,vent.rooster,4,FALSE)</f>
        <v>0</v>
      </c>
    </row>
    <row r="38" spans="1:16" x14ac:dyDescent="0.25">
      <c r="A38" s="16"/>
      <c r="B38" s="55" t="str">
        <f>IF(Offerteblad!E28=0,"",Offerteblad!E28)</f>
        <v/>
      </c>
      <c r="C38" s="401" t="str">
        <f>IF(Offerteblad!B28="  &lt;selecteer&gt;","",Offerteblad!B28)</f>
        <v/>
      </c>
      <c r="D38" s="405"/>
      <c r="E38" s="402"/>
      <c r="F38" s="53" t="str">
        <f>IF(Offerteblad!F28= 0, "",Offerteblad!F28)</f>
        <v/>
      </c>
      <c r="G38" s="53" t="str">
        <f>IF(Offerteblad!G28= 0, "",Offerteblad!G28-P38)</f>
        <v/>
      </c>
      <c r="H38" s="72" t="str">
        <f>IF(Offerteblad!C28="&lt;selecteer&gt;", "", Offerteblad!C28)</f>
        <v/>
      </c>
      <c r="I38" s="479"/>
      <c r="J38" s="480"/>
      <c r="K38" s="480"/>
      <c r="L38" s="481"/>
      <c r="M38" s="16"/>
      <c r="O38" s="62" t="str">
        <f>IF(Offerteblad!H28=_Prijzenblad!$E$5,"",Offerteblad!H28)</f>
        <v/>
      </c>
      <c r="P38" s="63">
        <f>VLOOKUP(Offerteblad!H28,vent.rooster,4,FALSE)</f>
        <v>0</v>
      </c>
    </row>
    <row r="39" spans="1:16" x14ac:dyDescent="0.25">
      <c r="A39" s="16"/>
      <c r="B39" s="55" t="str">
        <f>IF(Offerteblad!E29=0,"",Offerteblad!E29)</f>
        <v/>
      </c>
      <c r="C39" s="401" t="str">
        <f>IF(Offerteblad!B29="  &lt;selecteer&gt;","",Offerteblad!B29)</f>
        <v/>
      </c>
      <c r="D39" s="405"/>
      <c r="E39" s="402"/>
      <c r="F39" s="53" t="str">
        <f>IF(Offerteblad!F29= 0, "",Offerteblad!F29)</f>
        <v/>
      </c>
      <c r="G39" s="53" t="str">
        <f>IF(Offerteblad!G29= 0, "",Offerteblad!G29-P39)</f>
        <v/>
      </c>
      <c r="H39" s="72" t="str">
        <f>IF(Offerteblad!C29="&lt;selecteer&gt;", "", Offerteblad!C29)</f>
        <v/>
      </c>
      <c r="I39" s="479"/>
      <c r="J39" s="480"/>
      <c r="K39" s="480"/>
      <c r="L39" s="481"/>
      <c r="M39" s="16"/>
      <c r="O39" s="62" t="str">
        <f>IF(Offerteblad!H29=_Prijzenblad!$E$5,"",Offerteblad!H29)</f>
        <v/>
      </c>
      <c r="P39" s="63">
        <f>VLOOKUP(Offerteblad!H29,vent.rooster,4,FALSE)</f>
        <v>0</v>
      </c>
    </row>
    <row r="40" spans="1:16" x14ac:dyDescent="0.25">
      <c r="A40" s="16"/>
      <c r="B40" s="55" t="str">
        <f>IF(Offerteblad!E30=0,"",Offerteblad!E30)</f>
        <v/>
      </c>
      <c r="C40" s="401" t="str">
        <f>IF(Offerteblad!B30="  &lt;selecteer&gt;","",Offerteblad!B30)</f>
        <v/>
      </c>
      <c r="D40" s="405"/>
      <c r="E40" s="402"/>
      <c r="F40" s="53" t="str">
        <f>IF(Offerteblad!F30= 0, "",Offerteblad!F30)</f>
        <v/>
      </c>
      <c r="G40" s="53" t="str">
        <f>IF(Offerteblad!G30= 0, "",Offerteblad!G30-P40)</f>
        <v/>
      </c>
      <c r="H40" s="72" t="str">
        <f>IF(Offerteblad!C30="&lt;selecteer&gt;", "", Offerteblad!C30)</f>
        <v/>
      </c>
      <c r="I40" s="479"/>
      <c r="J40" s="480"/>
      <c r="K40" s="480"/>
      <c r="L40" s="481"/>
      <c r="M40" s="16"/>
      <c r="O40" s="62" t="str">
        <f>IF(Offerteblad!H30=_Prijzenblad!$E$5,"",Offerteblad!H30)</f>
        <v/>
      </c>
      <c r="P40" s="63">
        <f>VLOOKUP(Offerteblad!H30,vent.rooster,4,FALSE)</f>
        <v>0</v>
      </c>
    </row>
    <row r="41" spans="1:16" x14ac:dyDescent="0.25">
      <c r="A41" s="16"/>
      <c r="B41" s="55" t="str">
        <f>IF(Offerteblad!E31=0,"",Offerteblad!E31)</f>
        <v/>
      </c>
      <c r="C41" s="401" t="str">
        <f>IF(Offerteblad!B31="  &lt;selecteer&gt;","",Offerteblad!B31)</f>
        <v/>
      </c>
      <c r="D41" s="405"/>
      <c r="E41" s="402"/>
      <c r="F41" s="53" t="str">
        <f>IF(Offerteblad!F31= 0, "",Offerteblad!F31)</f>
        <v/>
      </c>
      <c r="G41" s="53" t="str">
        <f>IF(Offerteblad!G31= 0, "",Offerteblad!G31-P41)</f>
        <v/>
      </c>
      <c r="H41" s="72" t="str">
        <f>IF(Offerteblad!C31="&lt;selecteer&gt;", "", Offerteblad!C31)</f>
        <v/>
      </c>
      <c r="I41" s="479"/>
      <c r="J41" s="480"/>
      <c r="K41" s="480"/>
      <c r="L41" s="481"/>
      <c r="M41" s="16"/>
      <c r="O41" s="62" t="str">
        <f>IF(Offerteblad!H31=_Prijzenblad!$E$5,"",Offerteblad!H31)</f>
        <v/>
      </c>
      <c r="P41" s="63">
        <f>VLOOKUP(Offerteblad!H31,vent.rooster,4,FALSE)</f>
        <v>0</v>
      </c>
    </row>
    <row r="42" spans="1:16" x14ac:dyDescent="0.25">
      <c r="A42" s="16"/>
      <c r="B42" s="55" t="str">
        <f>IF(Offerteblad!E32=0,"",Offerteblad!E32)</f>
        <v/>
      </c>
      <c r="C42" s="401" t="str">
        <f>IF(Offerteblad!B32="  &lt;selecteer&gt;","",Offerteblad!B32)</f>
        <v/>
      </c>
      <c r="D42" s="405"/>
      <c r="E42" s="402"/>
      <c r="F42" s="53" t="str">
        <f>IF(Offerteblad!F32= 0, "",Offerteblad!F32)</f>
        <v/>
      </c>
      <c r="G42" s="53" t="str">
        <f>IF(Offerteblad!G32= 0, "",Offerteblad!G32-P42)</f>
        <v/>
      </c>
      <c r="H42" s="72" t="str">
        <f>IF(Offerteblad!C32="&lt;selecteer&gt;", "", Offerteblad!C32)</f>
        <v/>
      </c>
      <c r="I42" s="479"/>
      <c r="J42" s="480"/>
      <c r="K42" s="480"/>
      <c r="L42" s="481"/>
      <c r="M42" s="16"/>
      <c r="O42" s="62" t="str">
        <f>IF(Offerteblad!H32=_Prijzenblad!$E$5,"",Offerteblad!H32)</f>
        <v/>
      </c>
      <c r="P42" s="63">
        <f>VLOOKUP(Offerteblad!H32,vent.rooster,4,FALSE)</f>
        <v>0</v>
      </c>
    </row>
    <row r="43" spans="1:16" x14ac:dyDescent="0.25">
      <c r="A43" s="16"/>
      <c r="B43" s="55" t="str">
        <f>IF(Offerteblad!E33=0,"",Offerteblad!E33)</f>
        <v/>
      </c>
      <c r="C43" s="401" t="str">
        <f>IF(Offerteblad!B33="  &lt;selecteer&gt;","",Offerteblad!B33)</f>
        <v/>
      </c>
      <c r="D43" s="405"/>
      <c r="E43" s="402"/>
      <c r="F43" s="53" t="str">
        <f>IF(Offerteblad!F33= 0, "",Offerteblad!F33)</f>
        <v/>
      </c>
      <c r="G43" s="53" t="str">
        <f>IF(Offerteblad!G33= 0, "",Offerteblad!G33-P43)</f>
        <v/>
      </c>
      <c r="H43" s="72" t="str">
        <f>IF(Offerteblad!C33="&lt;selecteer&gt;", "", Offerteblad!C33)</f>
        <v/>
      </c>
      <c r="I43" s="479"/>
      <c r="J43" s="480"/>
      <c r="K43" s="480"/>
      <c r="L43" s="481"/>
      <c r="M43" s="16"/>
      <c r="O43" s="62" t="str">
        <f>IF(Offerteblad!H33=_Prijzenblad!$E$5,"",Offerteblad!H33)</f>
        <v/>
      </c>
      <c r="P43" s="63">
        <f>VLOOKUP(Offerteblad!H33,vent.rooster,4,FALSE)</f>
        <v>0</v>
      </c>
    </row>
    <row r="44" spans="1:16" x14ac:dyDescent="0.25">
      <c r="A44" s="16"/>
      <c r="B44" s="55" t="str">
        <f>IF(Offerteblad!E34=0,"",Offerteblad!E34)</f>
        <v/>
      </c>
      <c r="C44" s="401" t="str">
        <f>IF(Offerteblad!B34="  &lt;selecteer&gt;","",Offerteblad!B34)</f>
        <v/>
      </c>
      <c r="D44" s="405"/>
      <c r="E44" s="402"/>
      <c r="F44" s="53" t="str">
        <f>IF(Offerteblad!F34= 0, "",Offerteblad!F34)</f>
        <v/>
      </c>
      <c r="G44" s="53" t="str">
        <f>IF(Offerteblad!G34= 0, "",Offerteblad!G34-P44)</f>
        <v/>
      </c>
      <c r="H44" s="72" t="str">
        <f>IF(Offerteblad!C34="&lt;selecteer&gt;", "", Offerteblad!C34)</f>
        <v/>
      </c>
      <c r="I44" s="479"/>
      <c r="J44" s="480"/>
      <c r="K44" s="480"/>
      <c r="L44" s="481"/>
      <c r="M44" s="16"/>
      <c r="O44" s="62" t="str">
        <f>IF(Offerteblad!H34=_Prijzenblad!$E$5,"",Offerteblad!H34)</f>
        <v/>
      </c>
      <c r="P44" s="63">
        <f>VLOOKUP(Offerteblad!H34,vent.rooster,4,FALSE)</f>
        <v>0</v>
      </c>
    </row>
    <row r="45" spans="1:16" ht="6" customHeight="1" x14ac:dyDescent="0.25">
      <c r="A45" s="16"/>
      <c r="B45" s="24"/>
      <c r="C45" s="430"/>
      <c r="D45" s="459"/>
      <c r="E45" s="431"/>
      <c r="F45" s="25"/>
      <c r="G45" s="25"/>
      <c r="H45" s="73"/>
      <c r="I45" s="492"/>
      <c r="J45" s="459"/>
      <c r="K45" s="459"/>
      <c r="L45" s="493"/>
      <c r="M45" s="16"/>
      <c r="O45" s="64"/>
      <c r="P45" s="65"/>
    </row>
    <row r="46" spans="1:16" ht="6" customHeight="1" x14ac:dyDescent="0.25">
      <c r="A46" s="16"/>
      <c r="B46" s="57"/>
      <c r="C46" s="497"/>
      <c r="D46" s="497"/>
      <c r="E46" s="497"/>
      <c r="F46" s="497"/>
      <c r="G46" s="497"/>
      <c r="H46" s="497"/>
      <c r="I46" s="497"/>
      <c r="J46" s="497"/>
      <c r="K46" s="498"/>
      <c r="L46" s="498"/>
      <c r="M46" s="16"/>
    </row>
    <row r="47" spans="1:16" ht="18.75" customHeight="1" x14ac:dyDescent="0.25">
      <c r="A47" s="16"/>
      <c r="B47" s="483" t="s">
        <v>80</v>
      </c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16"/>
    </row>
    <row r="48" spans="1:16" ht="6" customHeight="1" x14ac:dyDescent="0.25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5">
      <c r="A49" s="16"/>
      <c r="B49" s="482" t="s">
        <v>4</v>
      </c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16"/>
    </row>
    <row r="50" spans="1:13" x14ac:dyDescent="0.25">
      <c r="A50" s="16"/>
      <c r="B50" s="482"/>
      <c r="C50" s="482"/>
      <c r="D50" s="482"/>
      <c r="E50" s="482"/>
      <c r="F50" s="482"/>
      <c r="G50" s="482"/>
      <c r="H50" s="482"/>
      <c r="I50" s="482"/>
      <c r="J50" s="482"/>
      <c r="K50" s="482"/>
      <c r="L50" s="482"/>
      <c r="M50" s="16"/>
    </row>
    <row r="51" spans="1:13" x14ac:dyDescent="0.25">
      <c r="A51" s="16"/>
      <c r="B51" s="482"/>
      <c r="C51" s="482"/>
      <c r="D51" s="482"/>
      <c r="E51" s="482"/>
      <c r="F51" s="482"/>
      <c r="G51" s="482"/>
      <c r="H51" s="482"/>
      <c r="I51" s="482"/>
      <c r="J51" s="482"/>
      <c r="K51" s="482"/>
      <c r="L51" s="482"/>
      <c r="M51" s="16"/>
    </row>
    <row r="52" spans="1:13" x14ac:dyDescent="0.25">
      <c r="A52" s="16"/>
      <c r="B52" s="482"/>
      <c r="C52" s="482"/>
      <c r="D52" s="482"/>
      <c r="E52" s="482"/>
      <c r="F52" s="482"/>
      <c r="G52" s="482"/>
      <c r="H52" s="482"/>
      <c r="I52" s="482"/>
      <c r="J52" s="482"/>
      <c r="K52" s="482"/>
      <c r="L52" s="482"/>
      <c r="M52" s="16"/>
    </row>
    <row r="53" spans="1:13" x14ac:dyDescent="0.25">
      <c r="A53" s="16"/>
      <c r="B53" s="482"/>
      <c r="C53" s="482"/>
      <c r="D53" s="482"/>
      <c r="E53" s="482"/>
      <c r="F53" s="482"/>
      <c r="G53" s="482"/>
      <c r="H53" s="482"/>
      <c r="I53" s="482"/>
      <c r="J53" s="482"/>
      <c r="K53" s="482"/>
      <c r="L53" s="482"/>
      <c r="M53" s="16"/>
    </row>
    <row r="54" spans="1:13" x14ac:dyDescent="0.25">
      <c r="A54" s="16"/>
      <c r="B54" s="482"/>
      <c r="C54" s="482"/>
      <c r="D54" s="482"/>
      <c r="E54" s="482"/>
      <c r="F54" s="482"/>
      <c r="G54" s="482"/>
      <c r="H54" s="482"/>
      <c r="I54" s="482"/>
      <c r="J54" s="482"/>
      <c r="K54" s="482"/>
      <c r="L54" s="482"/>
      <c r="M54" s="16"/>
    </row>
    <row r="55" spans="1:13" x14ac:dyDescent="0.25">
      <c r="A55" s="16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16"/>
    </row>
    <row r="56" spans="1:13" x14ac:dyDescent="0.25">
      <c r="A56" s="16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16"/>
    </row>
    <row r="57" spans="1:13" x14ac:dyDescent="0.25">
      <c r="A57" s="16"/>
      <c r="B57" s="482"/>
      <c r="C57" s="482"/>
      <c r="D57" s="482"/>
      <c r="E57" s="482"/>
      <c r="F57" s="482"/>
      <c r="G57" s="482"/>
      <c r="H57" s="482"/>
      <c r="I57" s="482"/>
      <c r="J57" s="482"/>
      <c r="K57" s="482"/>
      <c r="L57" s="482"/>
      <c r="M57" s="16"/>
    </row>
    <row r="58" spans="1:13" x14ac:dyDescent="0.25">
      <c r="A58" s="16"/>
      <c r="B58" s="482"/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16"/>
    </row>
    <row r="59" spans="1:13" ht="6" customHeight="1" x14ac:dyDescent="0.25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5">
      <c r="A60" s="16"/>
      <c r="B60" s="503" t="s">
        <v>81</v>
      </c>
      <c r="C60" s="503"/>
      <c r="D60" s="503"/>
      <c r="E60" s="503"/>
      <c r="F60" s="503"/>
      <c r="G60" s="503"/>
      <c r="H60" s="503"/>
      <c r="I60" s="503"/>
      <c r="J60" s="503"/>
      <c r="K60" s="503"/>
      <c r="L60" s="503"/>
      <c r="M60" s="16"/>
    </row>
    <row r="61" spans="1:13" ht="12.75" customHeight="1" x14ac:dyDescent="0.25">
      <c r="A61" s="16"/>
      <c r="B61" s="503"/>
      <c r="C61" s="503"/>
      <c r="D61" s="503"/>
      <c r="E61" s="503"/>
      <c r="F61" s="503"/>
      <c r="G61" s="503"/>
      <c r="H61" s="503"/>
      <c r="I61" s="503"/>
      <c r="J61" s="503"/>
      <c r="K61" s="503"/>
      <c r="L61" s="503"/>
      <c r="M61" s="16"/>
    </row>
    <row r="62" spans="1:13" s="8" customFormat="1" ht="12.75" customHeight="1" x14ac:dyDescent="0.25">
      <c r="A62" s="17"/>
      <c r="B62" s="503"/>
      <c r="C62" s="503"/>
      <c r="D62" s="503"/>
      <c r="E62" s="503"/>
      <c r="F62" s="503"/>
      <c r="G62" s="503"/>
      <c r="H62" s="503"/>
      <c r="I62" s="503"/>
      <c r="J62" s="503"/>
      <c r="K62" s="503"/>
      <c r="L62" s="503"/>
      <c r="M62" s="17"/>
    </row>
    <row r="63" spans="1:13" ht="12.75" customHeight="1" x14ac:dyDescent="0.25">
      <c r="A63" s="16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16"/>
    </row>
    <row r="64" spans="1:13" ht="7.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ht="13.8" x14ac:dyDescent="0.3">
      <c r="B66" s="461" t="str">
        <f>'© Copyright'!A1</f>
        <v>© 2004 - 2019 Glasdiscount.nl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61"/>
    </row>
    <row r="67" spans="2:12" ht="13.8" x14ac:dyDescent="0.3">
      <c r="B67" s="461" t="str">
        <f>'© Copyright'!A3</f>
        <v>Deze spreadsheet is eigendom van Glasdiscount.nl en mag uitsluitend gebruikt worden door (potentiële) relaties en klanten van Glasdiscount.nl</v>
      </c>
      <c r="C67" s="461"/>
      <c r="D67" s="461"/>
      <c r="E67" s="461"/>
      <c r="F67" s="461"/>
      <c r="G67" s="461"/>
      <c r="H67" s="461"/>
      <c r="I67" s="461"/>
      <c r="J67" s="461"/>
      <c r="K67" s="461"/>
      <c r="L67" s="461"/>
    </row>
    <row r="68" spans="2:12" ht="13.8" x14ac:dyDescent="0.3">
      <c r="B68" s="461" t="str">
        <f>'© Copyright'!A4</f>
        <v>Op geen enkele wijze mag dit programma gekopieerd of hergebruikt worden tenzij schriftelijke toestemming is verleend door Glasdiscount.nl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</row>
  </sheetData>
  <sheetProtection algorithmName="SHA-512" hashValue="Z8OozpwKFDYsdqe8cBycBTk63KhaaHMmn9nQgutDjRuL3gZE5kJWzYZKWLHqWVuzE/lTbcEb8V4/1EsMpnLx8w==" saltValue="3/7zHTRUjTgbQ7aqrOYLKg==" spinCount="100000" sheet="1" objects="1" scenarios="1" selectLockedCells="1"/>
  <mergeCells count="88">
    <mergeCell ref="B68:L68"/>
    <mergeCell ref="H16:L16"/>
    <mergeCell ref="H9:L9"/>
    <mergeCell ref="H19:L19"/>
    <mergeCell ref="H21:L21"/>
    <mergeCell ref="C23:E24"/>
    <mergeCell ref="C26:E26"/>
    <mergeCell ref="C28:E28"/>
    <mergeCell ref="I28:L28"/>
    <mergeCell ref="B66:L66"/>
    <mergeCell ref="B67:L67"/>
    <mergeCell ref="C44:E44"/>
    <mergeCell ref="C39:E39"/>
    <mergeCell ref="C40:E40"/>
    <mergeCell ref="B60:L63"/>
    <mergeCell ref="H18:L18"/>
    <mergeCell ref="O17:P21"/>
    <mergeCell ref="C46:J46"/>
    <mergeCell ref="K46:L46"/>
    <mergeCell ref="C36:E36"/>
    <mergeCell ref="C37:E37"/>
    <mergeCell ref="C38:E38"/>
    <mergeCell ref="C33:E33"/>
    <mergeCell ref="C34:E34"/>
    <mergeCell ref="O23:O24"/>
    <mergeCell ref="C35:E35"/>
    <mergeCell ref="C32:E32"/>
    <mergeCell ref="C29:E29"/>
    <mergeCell ref="C30:E30"/>
    <mergeCell ref="C31:E31"/>
    <mergeCell ref="B19:G19"/>
    <mergeCell ref="B20:G20"/>
    <mergeCell ref="I20:L20"/>
    <mergeCell ref="C27:E27"/>
    <mergeCell ref="B8:G8"/>
    <mergeCell ref="H8:L8"/>
    <mergeCell ref="H15:L15"/>
    <mergeCell ref="B9:G9"/>
    <mergeCell ref="B10:G10"/>
    <mergeCell ref="H10:L10"/>
    <mergeCell ref="B11:G11"/>
    <mergeCell ref="H11:L11"/>
    <mergeCell ref="B12:C12"/>
    <mergeCell ref="D12:G12"/>
    <mergeCell ref="B21:G21"/>
    <mergeCell ref="B23:B24"/>
    <mergeCell ref="C25:E25"/>
    <mergeCell ref="B13:G13"/>
    <mergeCell ref="B16:G16"/>
    <mergeCell ref="B18:G18"/>
    <mergeCell ref="B2:L2"/>
    <mergeCell ref="B4:C4"/>
    <mergeCell ref="G4:H4"/>
    <mergeCell ref="I4:L5"/>
    <mergeCell ref="B5:C5"/>
    <mergeCell ref="B15:G15"/>
    <mergeCell ref="H13:L13"/>
    <mergeCell ref="B14:D14"/>
    <mergeCell ref="E14:G14"/>
    <mergeCell ref="H14:L14"/>
    <mergeCell ref="D5:G5"/>
    <mergeCell ref="I39:L39"/>
    <mergeCell ref="I23:L24"/>
    <mergeCell ref="I25:L25"/>
    <mergeCell ref="I45:L45"/>
    <mergeCell ref="I26:L26"/>
    <mergeCell ref="I27:L27"/>
    <mergeCell ref="I29:L29"/>
    <mergeCell ref="I30:L30"/>
    <mergeCell ref="I31:L31"/>
    <mergeCell ref="I32:L32"/>
    <mergeCell ref="I33:L33"/>
    <mergeCell ref="I34:L34"/>
    <mergeCell ref="I35:L35"/>
    <mergeCell ref="I36:L36"/>
    <mergeCell ref="I37:L37"/>
    <mergeCell ref="I38:L38"/>
    <mergeCell ref="B49:L58"/>
    <mergeCell ref="C41:E41"/>
    <mergeCell ref="C45:E45"/>
    <mergeCell ref="C42:E42"/>
    <mergeCell ref="C43:E43"/>
    <mergeCell ref="B47:L47"/>
    <mergeCell ref="I40:L40"/>
    <mergeCell ref="I41:L41"/>
    <mergeCell ref="I42:L42"/>
    <mergeCell ref="I43:L43"/>
    <mergeCell ref="I44:L44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M68"/>
  <sheetViews>
    <sheetView zoomScaleNormal="100" workbookViewId="0">
      <selection activeCell="B20" sqref="B20:G20"/>
    </sheetView>
  </sheetViews>
  <sheetFormatPr defaultColWidth="9.109375" defaultRowHeight="13.2" x14ac:dyDescent="0.25"/>
  <cols>
    <col min="1" max="1" width="1.44140625" style="5" customWidth="1"/>
    <col min="2" max="2" width="5" style="5" customWidth="1"/>
    <col min="3" max="3" width="5.6640625" style="5" customWidth="1"/>
    <col min="4" max="4" width="19.33203125" style="5" customWidth="1"/>
    <col min="5" max="7" width="5.5546875" style="5" customWidth="1"/>
    <col min="8" max="8" width="10.6640625" style="5" customWidth="1"/>
    <col min="9" max="9" width="16.44140625" style="5" customWidth="1"/>
    <col min="10" max="10" width="7.5546875" style="5" customWidth="1"/>
    <col min="11" max="12" width="9.6640625" style="5" customWidth="1"/>
    <col min="13" max="13" width="1.44140625" style="5" customWidth="1"/>
    <col min="14" max="16384" width="9.109375" style="5"/>
  </cols>
  <sheetData>
    <row r="1" spans="1:13" ht="7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60" customHeight="1" x14ac:dyDescent="0.25">
      <c r="A2" s="16"/>
      <c r="B2" s="434" t="s">
        <v>0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16"/>
    </row>
    <row r="3" spans="1:13" ht="6" customHeight="1" x14ac:dyDescent="0.25">
      <c r="A3" s="16"/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16"/>
    </row>
    <row r="4" spans="1:13" ht="12.75" customHeight="1" x14ac:dyDescent="0.25">
      <c r="A4" s="16"/>
      <c r="B4" s="423" t="s">
        <v>1</v>
      </c>
      <c r="C4" s="424"/>
      <c r="D4" s="247">
        <f ca="1">TODAY()</f>
        <v>43055</v>
      </c>
      <c r="E4" s="49"/>
      <c r="F4" s="7"/>
      <c r="G4" s="447"/>
      <c r="H4" s="447"/>
      <c r="I4" s="445" t="s">
        <v>82</v>
      </c>
      <c r="J4" s="445"/>
      <c r="K4" s="445"/>
      <c r="L4" s="446"/>
      <c r="M4" s="16"/>
    </row>
    <row r="5" spans="1:13" ht="12.75" customHeight="1" x14ac:dyDescent="0.25">
      <c r="A5" s="16"/>
      <c r="B5" s="423" t="s">
        <v>3</v>
      </c>
      <c r="C5" s="424"/>
      <c r="D5" s="474" t="str">
        <f>Offerteblad!C5</f>
        <v>……</v>
      </c>
      <c r="E5" s="474"/>
      <c r="F5" s="474"/>
      <c r="G5" s="474"/>
      <c r="H5" s="7"/>
      <c r="I5" s="445"/>
      <c r="J5" s="445"/>
      <c r="K5" s="445"/>
      <c r="L5" s="446"/>
      <c r="M5" s="16"/>
    </row>
    <row r="6" spans="1:13" ht="6" customHeight="1" x14ac:dyDescent="0.25">
      <c r="A6" s="16"/>
      <c r="B6" s="36"/>
      <c r="C6" s="37"/>
      <c r="D6" s="38"/>
      <c r="E6" s="39"/>
      <c r="F6" s="39"/>
      <c r="G6" s="39"/>
      <c r="H6" s="39"/>
      <c r="I6" s="39"/>
      <c r="J6" s="39"/>
      <c r="K6" s="39"/>
      <c r="L6" s="40"/>
      <c r="M6" s="16"/>
    </row>
    <row r="7" spans="1:13" ht="6" customHeight="1" x14ac:dyDescent="0.25">
      <c r="A7" s="16"/>
      <c r="M7" s="16"/>
    </row>
    <row r="8" spans="1:13" ht="18" customHeight="1" x14ac:dyDescent="0.25">
      <c r="A8" s="16"/>
      <c r="B8" s="416" t="s">
        <v>44</v>
      </c>
      <c r="C8" s="416"/>
      <c r="D8" s="416"/>
      <c r="E8" s="416"/>
      <c r="F8" s="416"/>
      <c r="G8" s="416"/>
      <c r="H8" s="416" t="str">
        <f>Offerteblad!H65</f>
        <v>Afleveradres</v>
      </c>
      <c r="I8" s="416"/>
      <c r="J8" s="416"/>
      <c r="K8" s="416"/>
      <c r="L8" s="416"/>
      <c r="M8" s="16"/>
    </row>
    <row r="9" spans="1:13" ht="6" customHeight="1" x14ac:dyDescent="0.25">
      <c r="A9" s="16"/>
      <c r="B9" s="417"/>
      <c r="C9" s="418"/>
      <c r="D9" s="419"/>
      <c r="E9" s="419"/>
      <c r="F9" s="419"/>
      <c r="G9" s="419"/>
      <c r="H9" s="464"/>
      <c r="I9" s="464"/>
      <c r="J9" s="464"/>
      <c r="K9" s="464"/>
      <c r="L9" s="465"/>
      <c r="M9" s="16"/>
    </row>
    <row r="10" spans="1:13" x14ac:dyDescent="0.25">
      <c r="A10" s="16"/>
      <c r="B10" s="420" t="str">
        <f>IF(Offerteblad!C67="","",Offerteblad!C67)</f>
        <v/>
      </c>
      <c r="C10" s="421"/>
      <c r="D10" s="422"/>
      <c r="E10" s="422"/>
      <c r="F10" s="422"/>
      <c r="G10" s="422"/>
      <c r="H10" s="422" t="str">
        <f>IF(Offerteblad!I67="","",Offerteblad!I67)</f>
        <v/>
      </c>
      <c r="I10" s="422"/>
      <c r="J10" s="422"/>
      <c r="K10" s="422"/>
      <c r="L10" s="425"/>
      <c r="M10" s="16"/>
    </row>
    <row r="11" spans="1:13" x14ac:dyDescent="0.25">
      <c r="A11" s="16"/>
      <c r="B11" s="420" t="str">
        <f>IF(Offerteblad!C68="","",Offerteblad!C68)</f>
        <v/>
      </c>
      <c r="C11" s="421"/>
      <c r="D11" s="422"/>
      <c r="E11" s="422"/>
      <c r="F11" s="422"/>
      <c r="G11" s="422"/>
      <c r="H11" s="422" t="str">
        <f>IF(Offerteblad!I68="","",Offerteblad!I68)</f>
        <v/>
      </c>
      <c r="I11" s="422"/>
      <c r="J11" s="422"/>
      <c r="K11" s="422"/>
      <c r="L11" s="425"/>
      <c r="M11" s="16"/>
    </row>
    <row r="12" spans="1:13" x14ac:dyDescent="0.25">
      <c r="A12" s="16"/>
      <c r="B12" s="428" t="str">
        <f>IF(Offerteblad!C69="","",Offerteblad!C69)</f>
        <v/>
      </c>
      <c r="C12" s="429"/>
      <c r="D12" s="442" t="str">
        <f>IF(Offerteblad!C70="","",Offerteblad!C70)</f>
        <v/>
      </c>
      <c r="E12" s="442"/>
      <c r="F12" s="442"/>
      <c r="G12" s="442"/>
      <c r="H12" s="245" t="str">
        <f>IF(Offerteblad!I69="","",Offerteblad!I69)</f>
        <v/>
      </c>
      <c r="I12" s="11" t="str">
        <f>IF(Offerteblad!I70="","",Offerteblad!I70)</f>
        <v/>
      </c>
      <c r="J12" s="8"/>
      <c r="K12" s="8"/>
      <c r="L12" s="18"/>
      <c r="M12" s="16"/>
    </row>
    <row r="13" spans="1:13" x14ac:dyDescent="0.25">
      <c r="A13" s="16"/>
      <c r="B13" s="420" t="str">
        <f>IF(Offerteblad!C71="&lt;selecteer&gt;","",Offerteblad!C71)</f>
        <v/>
      </c>
      <c r="C13" s="421"/>
      <c r="D13" s="422"/>
      <c r="E13" s="422"/>
      <c r="F13" s="422"/>
      <c r="G13" s="422"/>
      <c r="H13" s="421" t="str">
        <f>IF(Offerteblad!I71="&lt;selecteer&gt;","",Offerteblad!I71)</f>
        <v/>
      </c>
      <c r="I13" s="422"/>
      <c r="J13" s="422"/>
      <c r="K13" s="422"/>
      <c r="L13" s="425"/>
      <c r="M13" s="16"/>
    </row>
    <row r="14" spans="1:13" x14ac:dyDescent="0.25">
      <c r="A14" s="16"/>
      <c r="B14" s="420" t="str">
        <f>IF(Offerteblad!C72="","",Offerteblad!C72)</f>
        <v/>
      </c>
      <c r="C14" s="421"/>
      <c r="D14" s="421"/>
      <c r="E14" s="466" t="str">
        <f>IF(Offerteblad!C73="","",Offerteblad!C73)</f>
        <v/>
      </c>
      <c r="F14" s="466"/>
      <c r="G14" s="466"/>
      <c r="H14" s="422" t="str">
        <f>IF(Offerteblad!I72="","",Offerteblad!I72)</f>
        <v/>
      </c>
      <c r="I14" s="422"/>
      <c r="J14" s="422"/>
      <c r="K14" s="422"/>
      <c r="L14" s="425"/>
      <c r="M14" s="16"/>
    </row>
    <row r="15" spans="1:13" x14ac:dyDescent="0.25">
      <c r="A15" s="16"/>
      <c r="B15" s="420" t="str">
        <f>IF(Offerteblad!C74="","",Offerteblad!C74)</f>
        <v/>
      </c>
      <c r="C15" s="421"/>
      <c r="D15" s="422"/>
      <c r="E15" s="422"/>
      <c r="F15" s="422"/>
      <c r="G15" s="422"/>
      <c r="H15" s="426"/>
      <c r="I15" s="426"/>
      <c r="J15" s="426"/>
      <c r="K15" s="426"/>
      <c r="L15" s="427"/>
      <c r="M15" s="16"/>
    </row>
    <row r="16" spans="1:13" ht="6" customHeight="1" x14ac:dyDescent="0.25">
      <c r="A16" s="16"/>
      <c r="B16" s="432"/>
      <c r="C16" s="433"/>
      <c r="D16" s="433"/>
      <c r="E16" s="433"/>
      <c r="F16" s="433"/>
      <c r="G16" s="433"/>
      <c r="H16" s="462"/>
      <c r="I16" s="462"/>
      <c r="J16" s="462"/>
      <c r="K16" s="462"/>
      <c r="L16" s="463"/>
      <c r="M16" s="16"/>
    </row>
    <row r="17" spans="1:13" ht="6" customHeight="1" x14ac:dyDescent="0.25">
      <c r="A17" s="16"/>
      <c r="M17" s="16"/>
    </row>
    <row r="18" spans="1:13" ht="18" customHeight="1" x14ac:dyDescent="0.25">
      <c r="A18" s="16"/>
      <c r="B18" s="416" t="s">
        <v>242</v>
      </c>
      <c r="C18" s="416"/>
      <c r="D18" s="416"/>
      <c r="E18" s="416"/>
      <c r="F18" s="416"/>
      <c r="G18" s="416"/>
      <c r="H18" s="416" t="s">
        <v>240</v>
      </c>
      <c r="I18" s="416"/>
      <c r="J18" s="416"/>
      <c r="K18" s="416"/>
      <c r="L18" s="416"/>
      <c r="M18" s="16"/>
    </row>
    <row r="19" spans="1:13" ht="7.5" customHeight="1" x14ac:dyDescent="0.25">
      <c r="A19" s="16"/>
      <c r="B19" s="417"/>
      <c r="C19" s="418"/>
      <c r="D19" s="419"/>
      <c r="E19" s="419"/>
      <c r="F19" s="419"/>
      <c r="G19" s="419"/>
      <c r="H19" s="464"/>
      <c r="I19" s="464"/>
      <c r="J19" s="464"/>
      <c r="K19" s="464"/>
      <c r="L19" s="465"/>
      <c r="M19" s="16"/>
    </row>
    <row r="20" spans="1:13" x14ac:dyDescent="0.25">
      <c r="A20" s="16"/>
      <c r="B20" s="501" t="s">
        <v>76</v>
      </c>
      <c r="C20" s="502"/>
      <c r="D20" s="502"/>
      <c r="E20" s="502"/>
      <c r="F20" s="502"/>
      <c r="G20" s="502"/>
      <c r="H20" s="238" t="str">
        <f>IF(Offerteblad!C79="&lt;selecteer&gt;","",Offerteblad!C79)</f>
        <v>Bezorgen</v>
      </c>
      <c r="I20" s="494" t="str">
        <f>IF(Offerteblad!E79="&lt;kies locatie&gt;","",Offerteblad!E79)</f>
        <v/>
      </c>
      <c r="J20" s="494"/>
      <c r="K20" s="494"/>
      <c r="L20" s="59"/>
      <c r="M20" s="16"/>
    </row>
    <row r="21" spans="1:13" ht="7.5" customHeight="1" x14ac:dyDescent="0.25">
      <c r="A21" s="16"/>
      <c r="B21" s="432"/>
      <c r="C21" s="433"/>
      <c r="D21" s="433"/>
      <c r="E21" s="433"/>
      <c r="F21" s="433"/>
      <c r="G21" s="433"/>
      <c r="H21" s="462"/>
      <c r="I21" s="462"/>
      <c r="J21" s="462"/>
      <c r="K21" s="462"/>
      <c r="L21" s="463"/>
      <c r="M21" s="16"/>
    </row>
    <row r="22" spans="1:13" ht="12" customHeight="1" x14ac:dyDescent="0.25">
      <c r="A22" s="16"/>
      <c r="M22" s="16"/>
    </row>
    <row r="23" spans="1:13" ht="13.8" x14ac:dyDescent="0.25">
      <c r="A23" s="16"/>
      <c r="B23" s="456" t="s">
        <v>10</v>
      </c>
      <c r="C23" s="412" t="s">
        <v>13</v>
      </c>
      <c r="D23" s="485"/>
      <c r="E23" s="485"/>
      <c r="F23" s="413"/>
      <c r="G23" s="81" t="s">
        <v>11</v>
      </c>
      <c r="H23" s="510" t="s">
        <v>22</v>
      </c>
      <c r="I23" s="484" t="s">
        <v>77</v>
      </c>
      <c r="J23" s="485"/>
      <c r="K23" s="485"/>
      <c r="L23" s="486"/>
      <c r="M23" s="16"/>
    </row>
    <row r="24" spans="1:13" ht="13.8" x14ac:dyDescent="0.3">
      <c r="A24" s="16"/>
      <c r="B24" s="457"/>
      <c r="C24" s="414"/>
      <c r="D24" s="488"/>
      <c r="E24" s="488"/>
      <c r="F24" s="415"/>
      <c r="G24" s="42" t="s">
        <v>18</v>
      </c>
      <c r="H24" s="511"/>
      <c r="I24" s="487"/>
      <c r="J24" s="488"/>
      <c r="K24" s="488"/>
      <c r="L24" s="489"/>
      <c r="M24" s="16"/>
    </row>
    <row r="25" spans="1:13" ht="6" customHeight="1" x14ac:dyDescent="0.25">
      <c r="A25" s="16"/>
      <c r="B25" s="20"/>
      <c r="C25" s="406"/>
      <c r="D25" s="407"/>
      <c r="E25" s="407"/>
      <c r="F25" s="408"/>
      <c r="G25" s="76"/>
      <c r="H25" s="78"/>
      <c r="I25" s="507"/>
      <c r="J25" s="508"/>
      <c r="K25" s="508"/>
      <c r="L25" s="509"/>
      <c r="M25" s="16"/>
    </row>
    <row r="26" spans="1:13" x14ac:dyDescent="0.25">
      <c r="A26" s="16"/>
      <c r="B26" s="55" t="str">
        <f>IF(Offerteblad!H16="  &lt;selecteer&gt;","",Offerteblad!E16)</f>
        <v/>
      </c>
      <c r="C26" s="401" t="str">
        <f>IF(Offerteblad!H16="  &lt;selecteer&gt;","",Offerteblad!H16)</f>
        <v/>
      </c>
      <c r="D26" s="405"/>
      <c r="E26" s="405"/>
      <c r="F26" s="402"/>
      <c r="G26" s="82" t="str">
        <f>IF(Offerteblad!H16= "  &lt;selecteer&gt;", "",Offerteblad!F16)</f>
        <v/>
      </c>
      <c r="H26" s="79" t="str">
        <f>IF(Offerteblad!I16="","",Offerteblad!I16)</f>
        <v/>
      </c>
      <c r="I26" s="479"/>
      <c r="J26" s="480"/>
      <c r="K26" s="480"/>
      <c r="L26" s="481"/>
      <c r="M26" s="16"/>
    </row>
    <row r="27" spans="1:13" x14ac:dyDescent="0.25">
      <c r="A27" s="16"/>
      <c r="B27" s="55" t="str">
        <f>IF(Offerteblad!H17="  &lt;selecteer&gt;","",Offerteblad!E17)</f>
        <v/>
      </c>
      <c r="C27" s="401" t="str">
        <f>IF(Offerteblad!H17="  &lt;selecteer&gt;","",Offerteblad!H17)</f>
        <v/>
      </c>
      <c r="D27" s="405"/>
      <c r="E27" s="405"/>
      <c r="F27" s="402"/>
      <c r="G27" s="82" t="str">
        <f>IF(Offerteblad!H17= "  &lt;selecteer&gt;", "",Offerteblad!F17)</f>
        <v/>
      </c>
      <c r="H27" s="79" t="str">
        <f>IF(Offerteblad!I17="","",Offerteblad!I17)</f>
        <v/>
      </c>
      <c r="I27" s="479"/>
      <c r="J27" s="480"/>
      <c r="K27" s="480"/>
      <c r="L27" s="481"/>
      <c r="M27" s="16"/>
    </row>
    <row r="28" spans="1:13" x14ac:dyDescent="0.25">
      <c r="A28" s="16"/>
      <c r="B28" s="55" t="str">
        <f>IF(Offerteblad!H18="  &lt;selecteer&gt;","",Offerteblad!E18)</f>
        <v/>
      </c>
      <c r="C28" s="401" t="str">
        <f>IF(Offerteblad!H18="  &lt;selecteer&gt;","",Offerteblad!H18)</f>
        <v/>
      </c>
      <c r="D28" s="405"/>
      <c r="E28" s="405"/>
      <c r="F28" s="402"/>
      <c r="G28" s="82" t="str">
        <f>IF(Offerteblad!H18= "  &lt;selecteer&gt;", "",Offerteblad!F18)</f>
        <v/>
      </c>
      <c r="H28" s="79" t="str">
        <f>IF(Offerteblad!I18="","",Offerteblad!I18)</f>
        <v/>
      </c>
      <c r="I28" s="479"/>
      <c r="J28" s="480"/>
      <c r="K28" s="480"/>
      <c r="L28" s="481"/>
      <c r="M28" s="16"/>
    </row>
    <row r="29" spans="1:13" x14ac:dyDescent="0.25">
      <c r="A29" s="16"/>
      <c r="B29" s="55" t="str">
        <f>IF(Offerteblad!H19="  &lt;selecteer&gt;","",Offerteblad!E19)</f>
        <v/>
      </c>
      <c r="C29" s="401" t="str">
        <f>IF(Offerteblad!H19="  &lt;selecteer&gt;","",Offerteblad!H19)</f>
        <v/>
      </c>
      <c r="D29" s="405"/>
      <c r="E29" s="405"/>
      <c r="F29" s="402"/>
      <c r="G29" s="82" t="str">
        <f>IF(Offerteblad!H19= "  &lt;selecteer&gt;", "",Offerteblad!F19)</f>
        <v/>
      </c>
      <c r="H29" s="79" t="str">
        <f>IF(Offerteblad!I19="","",Offerteblad!I19)</f>
        <v/>
      </c>
      <c r="I29" s="479"/>
      <c r="J29" s="480"/>
      <c r="K29" s="480"/>
      <c r="L29" s="481"/>
      <c r="M29" s="16"/>
    </row>
    <row r="30" spans="1:13" x14ac:dyDescent="0.25">
      <c r="A30" s="16"/>
      <c r="B30" s="55">
        <f>IF(Offerteblad!H20="  &lt;selecteer&gt;","",Offerteblad!E20)</f>
        <v>0</v>
      </c>
      <c r="C30" s="401" t="str">
        <f>IF(Offerteblad!H20="  &lt;selecteer&gt;","",Offerteblad!H20)</f>
        <v>Ducoline 10/17/23 RAL standaard</v>
      </c>
      <c r="D30" s="405"/>
      <c r="E30" s="405"/>
      <c r="F30" s="402"/>
      <c r="G30" s="82">
        <f>IF(Offerteblad!H20= "  &lt;selecteer&gt;", "",Offerteblad!F20)</f>
        <v>0</v>
      </c>
      <c r="H30" s="79" t="str">
        <f>IF(Offerteblad!I20="","",Offerteblad!I20)</f>
        <v/>
      </c>
      <c r="I30" s="479"/>
      <c r="J30" s="480"/>
      <c r="K30" s="480"/>
      <c r="L30" s="481"/>
      <c r="M30" s="16"/>
    </row>
    <row r="31" spans="1:13" x14ac:dyDescent="0.25">
      <c r="A31" s="16"/>
      <c r="B31" s="55">
        <f>IF(Offerteblad!H21="  &lt;selecteer&gt;","",Offerteblad!E21)</f>
        <v>5</v>
      </c>
      <c r="C31" s="401" t="str">
        <f>IF(Offerteblad!H21="  &lt;selecteer&gt;","",Offerteblad!H21)</f>
        <v>Ducoline 10/17/23 ZR F1 Alu</v>
      </c>
      <c r="D31" s="405"/>
      <c r="E31" s="405"/>
      <c r="F31" s="402"/>
      <c r="G31" s="82">
        <f>IF(Offerteblad!H21= "  &lt;selecteer&gt;", "",Offerteblad!F21)</f>
        <v>50</v>
      </c>
      <c r="H31" s="79" t="str">
        <f>IF(Offerteblad!I21="","",Offerteblad!I21)</f>
        <v>RAL 9010</v>
      </c>
      <c r="I31" s="479"/>
      <c r="J31" s="480"/>
      <c r="K31" s="480"/>
      <c r="L31" s="481"/>
      <c r="M31" s="16"/>
    </row>
    <row r="32" spans="1:13" x14ac:dyDescent="0.25">
      <c r="A32" s="16"/>
      <c r="B32" s="55" t="str">
        <f>IF(Offerteblad!H22="  &lt;selecteer&gt;","",Offerteblad!E22)</f>
        <v/>
      </c>
      <c r="C32" s="401" t="str">
        <f>IF(Offerteblad!H22="  &lt;selecteer&gt;","",Offerteblad!H22)</f>
        <v/>
      </c>
      <c r="D32" s="405"/>
      <c r="E32" s="405"/>
      <c r="F32" s="402"/>
      <c r="G32" s="82" t="str">
        <f>IF(Offerteblad!H22= "  &lt;selecteer&gt;", "",Offerteblad!F22)</f>
        <v/>
      </c>
      <c r="H32" s="79" t="str">
        <f>IF(Offerteblad!I22="","",Offerteblad!I22)</f>
        <v/>
      </c>
      <c r="I32" s="479"/>
      <c r="J32" s="480"/>
      <c r="K32" s="480"/>
      <c r="L32" s="481"/>
      <c r="M32" s="16"/>
    </row>
    <row r="33" spans="1:13" x14ac:dyDescent="0.25">
      <c r="A33" s="16"/>
      <c r="B33" s="55" t="str">
        <f>IF(Offerteblad!H23="  &lt;selecteer&gt;","",Offerteblad!E23)</f>
        <v/>
      </c>
      <c r="C33" s="401" t="str">
        <f>IF(Offerteblad!H23="  &lt;selecteer&gt;","",Offerteblad!H23)</f>
        <v/>
      </c>
      <c r="D33" s="405"/>
      <c r="E33" s="405"/>
      <c r="F33" s="402"/>
      <c r="G33" s="82" t="str">
        <f>IF(Offerteblad!H23= "  &lt;selecteer&gt;", "",Offerteblad!F23)</f>
        <v/>
      </c>
      <c r="H33" s="79" t="str">
        <f>IF(Offerteblad!I23="","",Offerteblad!I23)</f>
        <v/>
      </c>
      <c r="I33" s="479"/>
      <c r="J33" s="480"/>
      <c r="K33" s="480"/>
      <c r="L33" s="481"/>
      <c r="M33" s="16"/>
    </row>
    <row r="34" spans="1:13" x14ac:dyDescent="0.25">
      <c r="A34" s="16"/>
      <c r="B34" s="55" t="str">
        <f>IF(Offerteblad!H24="  &lt;selecteer&gt;","",Offerteblad!E24)</f>
        <v/>
      </c>
      <c r="C34" s="401" t="str">
        <f>IF(Offerteblad!H24="  &lt;selecteer&gt;","",Offerteblad!H24)</f>
        <v/>
      </c>
      <c r="D34" s="405"/>
      <c r="E34" s="405"/>
      <c r="F34" s="402"/>
      <c r="G34" s="82" t="str">
        <f>IF(Offerteblad!H24= "  &lt;selecteer&gt;", "",Offerteblad!F24)</f>
        <v/>
      </c>
      <c r="H34" s="79" t="str">
        <f>IF(Offerteblad!I24="","",Offerteblad!I24)</f>
        <v/>
      </c>
      <c r="I34" s="479"/>
      <c r="J34" s="480"/>
      <c r="K34" s="480"/>
      <c r="L34" s="481"/>
      <c r="M34" s="16"/>
    </row>
    <row r="35" spans="1:13" x14ac:dyDescent="0.25">
      <c r="A35" s="16"/>
      <c r="B35" s="55" t="str">
        <f>IF(Offerteblad!H25="  &lt;selecteer&gt;","",Offerteblad!E25)</f>
        <v/>
      </c>
      <c r="C35" s="401" t="str">
        <f>IF(Offerteblad!H25="  &lt;selecteer&gt;","",Offerteblad!H25)</f>
        <v/>
      </c>
      <c r="D35" s="405"/>
      <c r="E35" s="405"/>
      <c r="F35" s="402"/>
      <c r="G35" s="82" t="str">
        <f>IF(Offerteblad!H25= "  &lt;selecteer&gt;", "",Offerteblad!F25)</f>
        <v/>
      </c>
      <c r="H35" s="79" t="str">
        <f>IF(Offerteblad!I25="","",Offerteblad!I25)</f>
        <v/>
      </c>
      <c r="I35" s="479"/>
      <c r="J35" s="480"/>
      <c r="K35" s="480"/>
      <c r="L35" s="481"/>
      <c r="M35" s="16"/>
    </row>
    <row r="36" spans="1:13" x14ac:dyDescent="0.25">
      <c r="A36" s="16"/>
      <c r="B36" s="55" t="str">
        <f>IF(Offerteblad!H26="  &lt;selecteer&gt;","",Offerteblad!E26)</f>
        <v/>
      </c>
      <c r="C36" s="401" t="str">
        <f>IF(Offerteblad!H26="  &lt;selecteer&gt;","",Offerteblad!H26)</f>
        <v/>
      </c>
      <c r="D36" s="405"/>
      <c r="E36" s="405"/>
      <c r="F36" s="402"/>
      <c r="G36" s="82" t="str">
        <f>IF(Offerteblad!H26= "  &lt;selecteer&gt;", "",Offerteblad!F26)</f>
        <v/>
      </c>
      <c r="H36" s="79" t="str">
        <f>IF(Offerteblad!I26="","",Offerteblad!I26)</f>
        <v/>
      </c>
      <c r="I36" s="479"/>
      <c r="J36" s="480"/>
      <c r="K36" s="480"/>
      <c r="L36" s="481"/>
      <c r="M36" s="16"/>
    </row>
    <row r="37" spans="1:13" x14ac:dyDescent="0.25">
      <c r="A37" s="16"/>
      <c r="B37" s="55" t="str">
        <f>IF(Offerteblad!H27="  &lt;selecteer&gt;","",Offerteblad!E27)</f>
        <v/>
      </c>
      <c r="C37" s="401" t="str">
        <f>IF(Offerteblad!H27="  &lt;selecteer&gt;","",Offerteblad!H27)</f>
        <v/>
      </c>
      <c r="D37" s="405"/>
      <c r="E37" s="405"/>
      <c r="F37" s="402"/>
      <c r="G37" s="82" t="str">
        <f>IF(Offerteblad!H27= "  &lt;selecteer&gt;", "",Offerteblad!F27)</f>
        <v/>
      </c>
      <c r="H37" s="79" t="str">
        <f>IF(Offerteblad!I27="","",Offerteblad!I27)</f>
        <v/>
      </c>
      <c r="I37" s="479"/>
      <c r="J37" s="480"/>
      <c r="K37" s="480"/>
      <c r="L37" s="481"/>
      <c r="M37" s="16"/>
    </row>
    <row r="38" spans="1:13" x14ac:dyDescent="0.25">
      <c r="A38" s="16"/>
      <c r="B38" s="55" t="str">
        <f>IF(Offerteblad!H28="  &lt;selecteer&gt;","",Offerteblad!E28)</f>
        <v/>
      </c>
      <c r="C38" s="401" t="str">
        <f>IF(Offerteblad!H28="  &lt;selecteer&gt;","",Offerteblad!H28)</f>
        <v/>
      </c>
      <c r="D38" s="405"/>
      <c r="E38" s="405"/>
      <c r="F38" s="402"/>
      <c r="G38" s="82" t="str">
        <f>IF(Offerteblad!H28= "  &lt;selecteer&gt;", "",Offerteblad!F28)</f>
        <v/>
      </c>
      <c r="H38" s="79" t="str">
        <f>IF(Offerteblad!I28="","",Offerteblad!I28)</f>
        <v/>
      </c>
      <c r="I38" s="479"/>
      <c r="J38" s="480"/>
      <c r="K38" s="480"/>
      <c r="L38" s="481"/>
      <c r="M38" s="16"/>
    </row>
    <row r="39" spans="1:13" x14ac:dyDescent="0.25">
      <c r="A39" s="16"/>
      <c r="B39" s="55" t="str">
        <f>IF(Offerteblad!H29="  &lt;selecteer&gt;","",Offerteblad!E29)</f>
        <v/>
      </c>
      <c r="C39" s="401" t="str">
        <f>IF(Offerteblad!H29="  &lt;selecteer&gt;","",Offerteblad!H29)</f>
        <v/>
      </c>
      <c r="D39" s="405"/>
      <c r="E39" s="405"/>
      <c r="F39" s="402"/>
      <c r="G39" s="82" t="str">
        <f>IF(Offerteblad!H29= "  &lt;selecteer&gt;", "",Offerteblad!F29)</f>
        <v/>
      </c>
      <c r="H39" s="79" t="str">
        <f>IF(Offerteblad!I29="","",Offerteblad!I29)</f>
        <v/>
      </c>
      <c r="I39" s="479"/>
      <c r="J39" s="480"/>
      <c r="K39" s="480"/>
      <c r="L39" s="481"/>
      <c r="M39" s="16"/>
    </row>
    <row r="40" spans="1:13" x14ac:dyDescent="0.25">
      <c r="A40" s="16"/>
      <c r="B40" s="55" t="str">
        <f>IF(Offerteblad!H30="  &lt;selecteer&gt;","",Offerteblad!E30)</f>
        <v/>
      </c>
      <c r="C40" s="401" t="str">
        <f>IF(Offerteblad!H30="  &lt;selecteer&gt;","",Offerteblad!H30)</f>
        <v/>
      </c>
      <c r="D40" s="405"/>
      <c r="E40" s="405"/>
      <c r="F40" s="402"/>
      <c r="G40" s="82" t="str">
        <f>IF(Offerteblad!H30= "  &lt;selecteer&gt;", "",Offerteblad!F30)</f>
        <v/>
      </c>
      <c r="H40" s="79" t="str">
        <f>IF(Offerteblad!I30="","",Offerteblad!I30)</f>
        <v/>
      </c>
      <c r="I40" s="479"/>
      <c r="J40" s="480"/>
      <c r="K40" s="480"/>
      <c r="L40" s="481"/>
      <c r="M40" s="16"/>
    </row>
    <row r="41" spans="1:13" x14ac:dyDescent="0.25">
      <c r="A41" s="16"/>
      <c r="B41" s="55" t="str">
        <f>IF(Offerteblad!H31="  &lt;selecteer&gt;","",Offerteblad!E31)</f>
        <v/>
      </c>
      <c r="C41" s="401" t="str">
        <f>IF(Offerteblad!H31="  &lt;selecteer&gt;","",Offerteblad!H31)</f>
        <v/>
      </c>
      <c r="D41" s="405"/>
      <c r="E41" s="405"/>
      <c r="F41" s="402"/>
      <c r="G41" s="82" t="str">
        <f>IF(Offerteblad!H31= "  &lt;selecteer&gt;", "",Offerteblad!F31)</f>
        <v/>
      </c>
      <c r="H41" s="79" t="str">
        <f>IF(Offerteblad!I31="","",Offerteblad!I31)</f>
        <v/>
      </c>
      <c r="I41" s="479"/>
      <c r="J41" s="480"/>
      <c r="K41" s="480"/>
      <c r="L41" s="481"/>
      <c r="M41" s="16"/>
    </row>
    <row r="42" spans="1:13" x14ac:dyDescent="0.25">
      <c r="A42" s="16"/>
      <c r="B42" s="55" t="str">
        <f>IF(Offerteblad!H32="  &lt;selecteer&gt;","",Offerteblad!E32)</f>
        <v/>
      </c>
      <c r="C42" s="401" t="str">
        <f>IF(Offerteblad!H32="  &lt;selecteer&gt;","",Offerteblad!H32)</f>
        <v/>
      </c>
      <c r="D42" s="405"/>
      <c r="E42" s="405"/>
      <c r="F42" s="402"/>
      <c r="G42" s="82" t="str">
        <f>IF(Offerteblad!H32= "  &lt;selecteer&gt;", "",Offerteblad!F32)</f>
        <v/>
      </c>
      <c r="H42" s="79" t="str">
        <f>IF(Offerteblad!I32="","",Offerteblad!I32)</f>
        <v/>
      </c>
      <c r="I42" s="479"/>
      <c r="J42" s="480"/>
      <c r="K42" s="480"/>
      <c r="L42" s="481"/>
      <c r="M42" s="16"/>
    </row>
    <row r="43" spans="1:13" x14ac:dyDescent="0.25">
      <c r="A43" s="16"/>
      <c r="B43" s="55" t="str">
        <f>IF(Offerteblad!H33="  &lt;selecteer&gt;","",Offerteblad!E33)</f>
        <v/>
      </c>
      <c r="C43" s="401" t="str">
        <f>IF(Offerteblad!H33="  &lt;selecteer&gt;","",Offerteblad!H33)</f>
        <v/>
      </c>
      <c r="D43" s="405"/>
      <c r="E43" s="405"/>
      <c r="F43" s="402"/>
      <c r="G43" s="82" t="str">
        <f>IF(Offerteblad!H33= "  &lt;selecteer&gt;", "",Offerteblad!F33)</f>
        <v/>
      </c>
      <c r="H43" s="79" t="str">
        <f>IF(Offerteblad!I33="","",Offerteblad!I33)</f>
        <v/>
      </c>
      <c r="I43" s="479"/>
      <c r="J43" s="480"/>
      <c r="K43" s="480"/>
      <c r="L43" s="481"/>
      <c r="M43" s="16"/>
    </row>
    <row r="44" spans="1:13" x14ac:dyDescent="0.25">
      <c r="A44" s="16"/>
      <c r="B44" s="55" t="str">
        <f>IF(Offerteblad!H34="  &lt;selecteer&gt;","",Offerteblad!E34)</f>
        <v/>
      </c>
      <c r="C44" s="401" t="str">
        <f>IF(Offerteblad!H34="  &lt;selecteer&gt;","",Offerteblad!H34)</f>
        <v/>
      </c>
      <c r="D44" s="405"/>
      <c r="E44" s="405"/>
      <c r="F44" s="402"/>
      <c r="G44" s="82" t="str">
        <f>IF(Offerteblad!H34= "  &lt;selecteer&gt;", "",Offerteblad!F34)</f>
        <v/>
      </c>
      <c r="H44" s="79" t="str">
        <f>IF(Offerteblad!I34="","",Offerteblad!I34)</f>
        <v/>
      </c>
      <c r="I44" s="479"/>
      <c r="J44" s="480"/>
      <c r="K44" s="480"/>
      <c r="L44" s="481"/>
      <c r="M44" s="16"/>
    </row>
    <row r="45" spans="1:13" ht="6" customHeight="1" x14ac:dyDescent="0.25">
      <c r="A45" s="16"/>
      <c r="B45" s="24"/>
      <c r="C45" s="430"/>
      <c r="D45" s="459"/>
      <c r="E45" s="459"/>
      <c r="F45" s="431"/>
      <c r="G45" s="77"/>
      <c r="H45" s="80"/>
      <c r="I45" s="504"/>
      <c r="J45" s="505"/>
      <c r="K45" s="505"/>
      <c r="L45" s="506"/>
      <c r="M45" s="16"/>
    </row>
    <row r="46" spans="1:13" ht="6" customHeight="1" x14ac:dyDescent="0.25">
      <c r="A46" s="16"/>
      <c r="B46" s="57"/>
      <c r="C46" s="497"/>
      <c r="D46" s="497"/>
      <c r="E46" s="497"/>
      <c r="F46" s="497"/>
      <c r="G46" s="497"/>
      <c r="H46" s="497"/>
      <c r="I46" s="497"/>
      <c r="J46" s="497"/>
      <c r="K46" s="498"/>
      <c r="L46" s="498"/>
      <c r="M46" s="16"/>
    </row>
    <row r="47" spans="1:13" ht="18.75" customHeight="1" x14ac:dyDescent="0.25">
      <c r="A47" s="16"/>
      <c r="B47" s="483" t="s">
        <v>80</v>
      </c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16"/>
    </row>
    <row r="48" spans="1:13" ht="6" customHeight="1" x14ac:dyDescent="0.25">
      <c r="A48" s="16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6"/>
    </row>
    <row r="49" spans="1:13" x14ac:dyDescent="0.25">
      <c r="A49" s="16"/>
      <c r="B49" s="482" t="s">
        <v>4</v>
      </c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16"/>
    </row>
    <row r="50" spans="1:13" x14ac:dyDescent="0.25">
      <c r="A50" s="16"/>
      <c r="B50" s="482"/>
      <c r="C50" s="482"/>
      <c r="D50" s="482"/>
      <c r="E50" s="482"/>
      <c r="F50" s="482"/>
      <c r="G50" s="482"/>
      <c r="H50" s="482"/>
      <c r="I50" s="482"/>
      <c r="J50" s="482"/>
      <c r="K50" s="482"/>
      <c r="L50" s="482"/>
      <c r="M50" s="16"/>
    </row>
    <row r="51" spans="1:13" x14ac:dyDescent="0.25">
      <c r="A51" s="16"/>
      <c r="B51" s="482"/>
      <c r="C51" s="482"/>
      <c r="D51" s="482"/>
      <c r="E51" s="482"/>
      <c r="F51" s="482"/>
      <c r="G51" s="482"/>
      <c r="H51" s="482"/>
      <c r="I51" s="482"/>
      <c r="J51" s="482"/>
      <c r="K51" s="482"/>
      <c r="L51" s="482"/>
      <c r="M51" s="16"/>
    </row>
    <row r="52" spans="1:13" x14ac:dyDescent="0.25">
      <c r="A52" s="16"/>
      <c r="B52" s="482"/>
      <c r="C52" s="482"/>
      <c r="D52" s="482"/>
      <c r="E52" s="482"/>
      <c r="F52" s="482"/>
      <c r="G52" s="482"/>
      <c r="H52" s="482"/>
      <c r="I52" s="482"/>
      <c r="J52" s="482"/>
      <c r="K52" s="482"/>
      <c r="L52" s="482"/>
      <c r="M52" s="16"/>
    </row>
    <row r="53" spans="1:13" x14ac:dyDescent="0.25">
      <c r="A53" s="16"/>
      <c r="B53" s="482"/>
      <c r="C53" s="482"/>
      <c r="D53" s="482"/>
      <c r="E53" s="482"/>
      <c r="F53" s="482"/>
      <c r="G53" s="482"/>
      <c r="H53" s="482"/>
      <c r="I53" s="482"/>
      <c r="J53" s="482"/>
      <c r="K53" s="482"/>
      <c r="L53" s="482"/>
      <c r="M53" s="16"/>
    </row>
    <row r="54" spans="1:13" x14ac:dyDescent="0.25">
      <c r="A54" s="16"/>
      <c r="B54" s="482"/>
      <c r="C54" s="482"/>
      <c r="D54" s="482"/>
      <c r="E54" s="482"/>
      <c r="F54" s="482"/>
      <c r="G54" s="482"/>
      <c r="H54" s="482"/>
      <c r="I54" s="482"/>
      <c r="J54" s="482"/>
      <c r="K54" s="482"/>
      <c r="L54" s="482"/>
      <c r="M54" s="16"/>
    </row>
    <row r="55" spans="1:13" x14ac:dyDescent="0.25">
      <c r="A55" s="16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16"/>
    </row>
    <row r="56" spans="1:13" x14ac:dyDescent="0.25">
      <c r="A56" s="16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16"/>
    </row>
    <row r="57" spans="1:13" x14ac:dyDescent="0.25">
      <c r="A57" s="16"/>
      <c r="B57" s="482"/>
      <c r="C57" s="482"/>
      <c r="D57" s="482"/>
      <c r="E57" s="482"/>
      <c r="F57" s="482"/>
      <c r="G57" s="482"/>
      <c r="H57" s="482"/>
      <c r="I57" s="482"/>
      <c r="J57" s="482"/>
      <c r="K57" s="482"/>
      <c r="L57" s="482"/>
      <c r="M57" s="16"/>
    </row>
    <row r="58" spans="1:13" x14ac:dyDescent="0.25">
      <c r="A58" s="16"/>
      <c r="B58" s="482"/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16"/>
    </row>
    <row r="59" spans="1:13" ht="6" customHeight="1" x14ac:dyDescent="0.25">
      <c r="A59" s="1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16"/>
    </row>
    <row r="60" spans="1:13" ht="12.75" customHeight="1" x14ac:dyDescent="0.25">
      <c r="A60" s="16"/>
      <c r="B60" s="503" t="s">
        <v>83</v>
      </c>
      <c r="C60" s="503"/>
      <c r="D60" s="503"/>
      <c r="E60" s="503"/>
      <c r="F60" s="503"/>
      <c r="G60" s="503"/>
      <c r="H60" s="503"/>
      <c r="I60" s="503"/>
      <c r="J60" s="503"/>
      <c r="K60" s="503"/>
      <c r="L60" s="503"/>
      <c r="M60" s="16"/>
    </row>
    <row r="61" spans="1:13" ht="12.75" customHeight="1" x14ac:dyDescent="0.25">
      <c r="A61" s="16"/>
      <c r="B61" s="503"/>
      <c r="C61" s="503"/>
      <c r="D61" s="503"/>
      <c r="E61" s="503"/>
      <c r="F61" s="503"/>
      <c r="G61" s="503"/>
      <c r="H61" s="503"/>
      <c r="I61" s="503"/>
      <c r="J61" s="503"/>
      <c r="K61" s="503"/>
      <c r="L61" s="503"/>
      <c r="M61" s="16"/>
    </row>
    <row r="62" spans="1:13" s="8" customFormat="1" ht="12.75" customHeight="1" x14ac:dyDescent="0.25">
      <c r="A62" s="17"/>
      <c r="B62" s="503"/>
      <c r="C62" s="503"/>
      <c r="D62" s="503"/>
      <c r="E62" s="503"/>
      <c r="F62" s="503"/>
      <c r="G62" s="503"/>
      <c r="H62" s="503"/>
      <c r="I62" s="503"/>
      <c r="J62" s="503"/>
      <c r="K62" s="503"/>
      <c r="L62" s="503"/>
      <c r="M62" s="17"/>
    </row>
    <row r="63" spans="1:13" ht="12.75" customHeight="1" x14ac:dyDescent="0.25">
      <c r="A63" s="16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16"/>
    </row>
    <row r="64" spans="1:13" ht="7.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6" spans="2:12" ht="13.8" x14ac:dyDescent="0.3">
      <c r="B66" s="461" t="str">
        <f>'© Copyright'!A1</f>
        <v>© 2004 - 2019 Glasdiscount.nl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61"/>
    </row>
    <row r="67" spans="2:12" ht="13.8" x14ac:dyDescent="0.3">
      <c r="B67" s="461" t="str">
        <f>'© Copyright'!A3</f>
        <v>Deze spreadsheet is eigendom van Glasdiscount.nl en mag uitsluitend gebruikt worden door (potentiële) relaties en klanten van Glasdiscount.nl</v>
      </c>
      <c r="C67" s="461"/>
      <c r="D67" s="461"/>
      <c r="E67" s="461"/>
      <c r="F67" s="461"/>
      <c r="G67" s="461"/>
      <c r="H67" s="461"/>
      <c r="I67" s="461"/>
      <c r="J67" s="461"/>
      <c r="K67" s="461"/>
      <c r="L67" s="461"/>
    </row>
    <row r="68" spans="2:12" ht="13.8" x14ac:dyDescent="0.3">
      <c r="B68" s="461" t="str">
        <f>'© Copyright'!A4</f>
        <v>Op geen enkele wijze mag dit programma gekopieerd of hergebruikt worden tenzij schriftelijke toestemming is verleend door Glasdiscount.nl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</row>
  </sheetData>
  <sheetProtection algorithmName="SHA-512" hashValue="9HpHqJUK5SKfDnk7BrSsixU/6CJLMF/Zca0dx635e9ruNtF4QRIUvwX9oislNtXv0moiHsIpwn2ObBCITgPULA==" saltValue="aZnd+QdTRUklfOhOvZ383Q==" spinCount="100000" sheet="1" objects="1" scenarios="1" selectLockedCells="1"/>
  <mergeCells count="87">
    <mergeCell ref="B67:L67"/>
    <mergeCell ref="B68:L68"/>
    <mergeCell ref="C25:F25"/>
    <mergeCell ref="C28:F28"/>
    <mergeCell ref="C46:J46"/>
    <mergeCell ref="K46:L46"/>
    <mergeCell ref="C34:F34"/>
    <mergeCell ref="B60:L63"/>
    <mergeCell ref="C26:F26"/>
    <mergeCell ref="C27:F27"/>
    <mergeCell ref="C29:F29"/>
    <mergeCell ref="C30:F30"/>
    <mergeCell ref="C31:F31"/>
    <mergeCell ref="C39:F39"/>
    <mergeCell ref="C38:F38"/>
    <mergeCell ref="I38:L38"/>
    <mergeCell ref="H9:L9"/>
    <mergeCell ref="H19:L19"/>
    <mergeCell ref="H21:L21"/>
    <mergeCell ref="H23:H24"/>
    <mergeCell ref="I32:L32"/>
    <mergeCell ref="I28:L28"/>
    <mergeCell ref="I33:L33"/>
    <mergeCell ref="I34:L34"/>
    <mergeCell ref="I35:L35"/>
    <mergeCell ref="I36:L36"/>
    <mergeCell ref="I37:L37"/>
    <mergeCell ref="B66:L66"/>
    <mergeCell ref="C37:F37"/>
    <mergeCell ref="B21:G21"/>
    <mergeCell ref="B23:B24"/>
    <mergeCell ref="C32:F32"/>
    <mergeCell ref="I23:L24"/>
    <mergeCell ref="I25:L25"/>
    <mergeCell ref="C23:F24"/>
    <mergeCell ref="C33:F33"/>
    <mergeCell ref="I26:L26"/>
    <mergeCell ref="C35:F35"/>
    <mergeCell ref="C36:F36"/>
    <mergeCell ref="I27:L27"/>
    <mergeCell ref="I29:L29"/>
    <mergeCell ref="I30:L30"/>
    <mergeCell ref="I31:L31"/>
    <mergeCell ref="B16:G16"/>
    <mergeCell ref="B18:G18"/>
    <mergeCell ref="H18:L18"/>
    <mergeCell ref="B19:G19"/>
    <mergeCell ref="B20:G20"/>
    <mergeCell ref="H16:L16"/>
    <mergeCell ref="I20:K20"/>
    <mergeCell ref="B8:G8"/>
    <mergeCell ref="H8:L8"/>
    <mergeCell ref="B15:G15"/>
    <mergeCell ref="H15:L15"/>
    <mergeCell ref="B9:G9"/>
    <mergeCell ref="B10:G10"/>
    <mergeCell ref="H10:L10"/>
    <mergeCell ref="B11:G11"/>
    <mergeCell ref="H11:L11"/>
    <mergeCell ref="B12:C12"/>
    <mergeCell ref="D12:G12"/>
    <mergeCell ref="B13:G13"/>
    <mergeCell ref="H13:L13"/>
    <mergeCell ref="B14:D14"/>
    <mergeCell ref="E14:G14"/>
    <mergeCell ref="H14:L14"/>
    <mergeCell ref="B2:L2"/>
    <mergeCell ref="B4:C4"/>
    <mergeCell ref="G4:H4"/>
    <mergeCell ref="I4:L5"/>
    <mergeCell ref="B5:C5"/>
    <mergeCell ref="D5:G5"/>
    <mergeCell ref="B49:L58"/>
    <mergeCell ref="C44:F44"/>
    <mergeCell ref="I39:L39"/>
    <mergeCell ref="I40:L40"/>
    <mergeCell ref="I41:L41"/>
    <mergeCell ref="I42:L42"/>
    <mergeCell ref="I43:L43"/>
    <mergeCell ref="I44:L44"/>
    <mergeCell ref="C40:F40"/>
    <mergeCell ref="C41:F41"/>
    <mergeCell ref="I45:L45"/>
    <mergeCell ref="C45:F45"/>
    <mergeCell ref="C42:F42"/>
    <mergeCell ref="C43:F43"/>
    <mergeCell ref="B47:L47"/>
  </mergeCells>
  <printOptions horizontalCentered="1"/>
  <pageMargins left="0.23622047244094491" right="0.23622047244094491" top="0.47244094488188981" bottom="0.62992125984251968" header="0.27559055118110237" footer="0.31496062992125984"/>
  <pageSetup paperSize="9" orientation="portrait" r:id="rId1"/>
  <headerFooter>
    <oddHeader>&amp;L&amp;"Arial,Cursief"&amp;8&amp;K06506FVersie 07-05-2014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/>
  </sheetViews>
  <sheetFormatPr defaultColWidth="9.109375" defaultRowHeight="13.8" x14ac:dyDescent="0.25"/>
  <cols>
    <col min="1" max="16384" width="9.109375" style="4"/>
  </cols>
  <sheetData>
    <row r="1" spans="1:14" x14ac:dyDescent="0.25">
      <c r="A1" s="83" t="s">
        <v>238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83" t="s">
        <v>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83" t="s">
        <v>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sheetProtection algorithmName="SHA-512" hashValue="Ds1faJezlzcnsHXSqjhQb3wAujqP7gEIAo2+Vw+JtHNQELj19F2VUZWGFhD3Q6DHVOa3LWhJch5tZITU7SIpsg==" saltValue="2bT4+VR1ZBszVff/bXjhMA==" spinCount="100000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Q200"/>
  <sheetViews>
    <sheetView workbookViewId="0"/>
  </sheetViews>
  <sheetFormatPr defaultColWidth="9.109375" defaultRowHeight="13.2" x14ac:dyDescent="0.25"/>
  <cols>
    <col min="1" max="1" width="5.6640625" style="159" customWidth="1"/>
    <col min="2" max="2" width="37.6640625" style="159" customWidth="1"/>
    <col min="3" max="3" width="15" style="159" bestFit="1" customWidth="1"/>
    <col min="4" max="4" width="5.6640625" style="159" customWidth="1"/>
    <col min="5" max="5" width="33.33203125" style="159" customWidth="1"/>
    <col min="6" max="6" width="21" style="159" customWidth="1"/>
    <col min="7" max="7" width="22.44140625" style="159" bestFit="1" customWidth="1"/>
    <col min="8" max="8" width="10.33203125" style="159" customWidth="1"/>
    <col min="9" max="9" width="5.6640625" style="159" customWidth="1"/>
    <col min="10" max="10" width="17.6640625" style="159" bestFit="1" customWidth="1"/>
    <col min="11" max="11" width="41.88671875" style="159" bestFit="1" customWidth="1"/>
    <col min="12" max="12" width="7.6640625" style="159" customWidth="1"/>
    <col min="13" max="13" width="5.6640625" style="159" customWidth="1"/>
    <col min="14" max="14" width="12.33203125" style="159" bestFit="1" customWidth="1"/>
    <col min="15" max="15" width="8.33203125" style="159" bestFit="1" customWidth="1"/>
    <col min="16" max="16" width="9.33203125" style="159" bestFit="1" customWidth="1"/>
    <col min="17" max="17" width="10" style="159" bestFit="1" customWidth="1"/>
    <col min="18" max="16384" width="9.109375" style="159"/>
  </cols>
  <sheetData>
    <row r="1" spans="2:17" x14ac:dyDescent="0.25">
      <c r="B1" s="514" t="s">
        <v>86</v>
      </c>
      <c r="C1" s="514"/>
      <c r="E1" s="514" t="s">
        <v>87</v>
      </c>
      <c r="F1" s="514"/>
      <c r="G1" s="514"/>
      <c r="H1" s="514"/>
      <c r="K1" s="514" t="s">
        <v>88</v>
      </c>
      <c r="L1" s="514"/>
      <c r="O1" s="514" t="s">
        <v>89</v>
      </c>
      <c r="P1" s="514"/>
    </row>
    <row r="2" spans="2:17" x14ac:dyDescent="0.25">
      <c r="B2" s="515" t="s">
        <v>90</v>
      </c>
      <c r="C2" s="515"/>
      <c r="E2" s="515" t="s">
        <v>91</v>
      </c>
      <c r="F2" s="515"/>
      <c r="G2" s="515"/>
      <c r="H2" s="515"/>
      <c r="K2" s="253" t="s">
        <v>92</v>
      </c>
      <c r="L2" s="254" t="s">
        <v>93</v>
      </c>
      <c r="O2" s="253" t="s">
        <v>94</v>
      </c>
      <c r="P2" s="253" t="s">
        <v>95</v>
      </c>
    </row>
    <row r="3" spans="2:17" x14ac:dyDescent="0.25">
      <c r="B3" s="255" t="s">
        <v>96</v>
      </c>
      <c r="C3" s="255" t="s">
        <v>97</v>
      </c>
      <c r="E3" s="255" t="s">
        <v>98</v>
      </c>
      <c r="F3" s="255" t="s">
        <v>99</v>
      </c>
      <c r="G3" s="255" t="s">
        <v>100</v>
      </c>
      <c r="H3" s="255" t="s">
        <v>101</v>
      </c>
      <c r="J3" s="256" t="s">
        <v>102</v>
      </c>
      <c r="K3" s="257" t="s">
        <v>237</v>
      </c>
      <c r="L3" s="258">
        <v>3.9</v>
      </c>
      <c r="N3" s="256" t="s">
        <v>103</v>
      </c>
      <c r="O3" s="259">
        <v>23</v>
      </c>
      <c r="P3" s="512">
        <v>400</v>
      </c>
      <c r="Q3" s="513" t="s">
        <v>104</v>
      </c>
    </row>
    <row r="4" spans="2:17" x14ac:dyDescent="0.25">
      <c r="B4" s="253" t="s">
        <v>17</v>
      </c>
      <c r="C4" s="253" t="s">
        <v>105</v>
      </c>
      <c r="E4" s="253"/>
      <c r="F4" s="254" t="s">
        <v>106</v>
      </c>
      <c r="G4" s="254" t="s">
        <v>107</v>
      </c>
      <c r="H4" s="253" t="s">
        <v>108</v>
      </c>
      <c r="J4" s="260" t="s">
        <v>109</v>
      </c>
      <c r="K4" s="261" t="s">
        <v>110</v>
      </c>
      <c r="L4" s="258">
        <v>3</v>
      </c>
      <c r="N4" s="256" t="s">
        <v>111</v>
      </c>
      <c r="O4" s="259">
        <v>7</v>
      </c>
      <c r="P4" s="512"/>
      <c r="Q4" s="513"/>
    </row>
    <row r="5" spans="2:17" x14ac:dyDescent="0.25">
      <c r="B5" s="262" t="s">
        <v>24</v>
      </c>
      <c r="C5" s="263">
        <v>0</v>
      </c>
      <c r="D5" s="264"/>
      <c r="E5" s="265" t="s">
        <v>24</v>
      </c>
      <c r="F5" s="263">
        <v>0</v>
      </c>
      <c r="G5" s="263">
        <v>0</v>
      </c>
      <c r="H5" s="266">
        <v>0</v>
      </c>
      <c r="J5" s="260" t="s">
        <v>112</v>
      </c>
      <c r="K5" s="261" t="s">
        <v>113</v>
      </c>
      <c r="L5" s="258">
        <v>1</v>
      </c>
    </row>
    <row r="6" spans="2:17" x14ac:dyDescent="0.25">
      <c r="B6" s="262" t="s">
        <v>114</v>
      </c>
      <c r="C6" s="267">
        <v>36.49</v>
      </c>
      <c r="D6" s="264"/>
      <c r="E6" s="265" t="s">
        <v>115</v>
      </c>
      <c r="F6" s="263">
        <v>37.950000000000003</v>
      </c>
      <c r="G6" s="263">
        <v>6</v>
      </c>
      <c r="H6" s="266">
        <v>80</v>
      </c>
      <c r="I6" s="171"/>
      <c r="J6" s="171"/>
      <c r="K6" s="171"/>
      <c r="L6" s="171"/>
      <c r="M6" s="171"/>
    </row>
    <row r="7" spans="2:17" x14ac:dyDescent="0.25">
      <c r="B7" s="262" t="s">
        <v>116</v>
      </c>
      <c r="C7" s="267">
        <v>36.479999999999997</v>
      </c>
      <c r="D7" s="264"/>
      <c r="E7" s="265" t="s">
        <v>119</v>
      </c>
      <c r="F7" s="263">
        <v>40.15</v>
      </c>
      <c r="G7" s="263">
        <v>6.6</v>
      </c>
      <c r="H7" s="266">
        <v>80</v>
      </c>
      <c r="I7" s="171"/>
      <c r="J7" s="171"/>
      <c r="K7" s="171"/>
      <c r="L7" s="171"/>
      <c r="M7" s="171"/>
    </row>
    <row r="8" spans="2:17" x14ac:dyDescent="0.25">
      <c r="B8" s="262" t="s">
        <v>118</v>
      </c>
      <c r="C8" s="267">
        <v>88.83</v>
      </c>
      <c r="D8" s="264"/>
      <c r="E8" s="265" t="s">
        <v>117</v>
      </c>
      <c r="F8" s="263">
        <v>50.6</v>
      </c>
      <c r="G8" s="263">
        <v>8.8000000000000007</v>
      </c>
      <c r="H8" s="266">
        <v>80</v>
      </c>
      <c r="I8" s="171"/>
      <c r="J8" s="171"/>
      <c r="K8" s="171"/>
      <c r="L8" s="171"/>
      <c r="M8" s="171"/>
    </row>
    <row r="9" spans="2:17" x14ac:dyDescent="0.25">
      <c r="B9" s="262" t="s">
        <v>120</v>
      </c>
      <c r="C9" s="267">
        <v>35</v>
      </c>
      <c r="D9" s="264"/>
      <c r="E9" s="265" t="s">
        <v>121</v>
      </c>
      <c r="F9" s="263">
        <v>42.35</v>
      </c>
      <c r="G9" s="263">
        <v>6</v>
      </c>
      <c r="H9" s="266">
        <v>80</v>
      </c>
      <c r="I9" s="171"/>
      <c r="J9" s="171"/>
      <c r="K9" s="171"/>
      <c r="L9" s="171"/>
      <c r="M9" s="171"/>
    </row>
    <row r="10" spans="2:17" x14ac:dyDescent="0.25">
      <c r="B10" s="262" t="s">
        <v>122</v>
      </c>
      <c r="C10" s="267">
        <v>36.49</v>
      </c>
      <c r="D10" s="264"/>
      <c r="E10" s="265" t="s">
        <v>125</v>
      </c>
      <c r="F10" s="263">
        <v>45</v>
      </c>
      <c r="G10" s="263">
        <v>6.6</v>
      </c>
      <c r="H10" s="266">
        <v>80</v>
      </c>
      <c r="I10" s="171"/>
      <c r="J10" s="171"/>
      <c r="K10" s="171"/>
      <c r="L10" s="171"/>
      <c r="M10" s="171"/>
    </row>
    <row r="11" spans="2:17" x14ac:dyDescent="0.25">
      <c r="B11" s="262" t="s">
        <v>260</v>
      </c>
      <c r="C11" s="267">
        <v>41.48</v>
      </c>
      <c r="D11" s="264"/>
      <c r="E11" s="265" t="s">
        <v>123</v>
      </c>
      <c r="F11" s="263">
        <v>62.7</v>
      </c>
      <c r="G11" s="263">
        <v>8.8000000000000007</v>
      </c>
      <c r="H11" s="266">
        <v>80</v>
      </c>
      <c r="I11" s="171"/>
      <c r="J11" s="171"/>
      <c r="K11" s="171"/>
      <c r="L11" s="171"/>
      <c r="M11" s="171"/>
    </row>
    <row r="12" spans="2:17" x14ac:dyDescent="0.25">
      <c r="B12" s="262" t="s">
        <v>124</v>
      </c>
      <c r="C12" s="267">
        <v>41.24</v>
      </c>
      <c r="D12" s="264"/>
      <c r="E12" s="265" t="s">
        <v>127</v>
      </c>
      <c r="F12" s="263">
        <v>37.950000000000003</v>
      </c>
      <c r="G12" s="263">
        <v>6</v>
      </c>
      <c r="H12" s="266">
        <v>80</v>
      </c>
      <c r="I12" s="171"/>
      <c r="J12" s="171"/>
      <c r="K12" s="171"/>
      <c r="L12" s="171"/>
      <c r="M12" s="171"/>
    </row>
    <row r="13" spans="2:17" x14ac:dyDescent="0.25">
      <c r="B13" s="262" t="s">
        <v>126</v>
      </c>
      <c r="C13" s="267">
        <v>43.9</v>
      </c>
      <c r="D13" s="264"/>
      <c r="E13" s="265" t="s">
        <v>129</v>
      </c>
      <c r="F13" s="263">
        <v>37</v>
      </c>
      <c r="G13" s="263">
        <v>6.6</v>
      </c>
      <c r="H13" s="266">
        <v>80</v>
      </c>
      <c r="I13" s="171"/>
      <c r="J13" s="171"/>
      <c r="K13" s="171"/>
      <c r="L13" s="171"/>
      <c r="M13" s="171"/>
    </row>
    <row r="14" spans="2:17" x14ac:dyDescent="0.25">
      <c r="B14" s="262" t="s">
        <v>261</v>
      </c>
      <c r="C14" s="267">
        <v>46.81</v>
      </c>
      <c r="D14" s="264"/>
      <c r="E14" s="265" t="s">
        <v>128</v>
      </c>
      <c r="F14" s="263">
        <v>52</v>
      </c>
      <c r="G14" s="263">
        <v>8.8000000000000007</v>
      </c>
      <c r="H14" s="266">
        <v>80</v>
      </c>
      <c r="I14" s="171"/>
      <c r="J14" s="171"/>
      <c r="K14" s="171"/>
      <c r="L14" s="171"/>
      <c r="M14" s="171"/>
    </row>
    <row r="15" spans="2:17" x14ac:dyDescent="0.25">
      <c r="B15" s="262" t="s">
        <v>130</v>
      </c>
      <c r="C15" s="267">
        <v>59.65</v>
      </c>
      <c r="D15" s="264"/>
      <c r="E15" s="265" t="s">
        <v>131</v>
      </c>
      <c r="F15" s="263">
        <v>42.35</v>
      </c>
      <c r="G15" s="263">
        <v>6</v>
      </c>
      <c r="H15" s="266">
        <v>80</v>
      </c>
      <c r="I15" s="171"/>
      <c r="J15" s="171"/>
      <c r="K15" s="171"/>
      <c r="L15" s="171"/>
      <c r="M15" s="171"/>
    </row>
    <row r="16" spans="2:17" x14ac:dyDescent="0.25">
      <c r="B16" s="262" t="s">
        <v>132</v>
      </c>
      <c r="C16" s="267">
        <v>61.91</v>
      </c>
      <c r="D16" s="264"/>
      <c r="E16" s="265" t="s">
        <v>292</v>
      </c>
      <c r="F16" s="263">
        <v>45</v>
      </c>
      <c r="G16" s="263">
        <v>6.6</v>
      </c>
      <c r="H16" s="266">
        <v>80</v>
      </c>
      <c r="I16" s="171"/>
      <c r="J16" s="171"/>
      <c r="K16" s="171"/>
      <c r="L16" s="171"/>
      <c r="M16" s="171"/>
    </row>
    <row r="17" spans="2:13" x14ac:dyDescent="0.25">
      <c r="B17" s="262" t="s">
        <v>262</v>
      </c>
      <c r="C17" s="267">
        <v>64.33</v>
      </c>
      <c r="D17" s="264"/>
      <c r="E17" s="265" t="s">
        <v>133</v>
      </c>
      <c r="F17" s="263">
        <v>62.7</v>
      </c>
      <c r="G17" s="263">
        <v>8.8000000000000007</v>
      </c>
      <c r="H17" s="266">
        <v>80</v>
      </c>
      <c r="I17" s="171"/>
      <c r="J17" s="171"/>
      <c r="K17" s="171"/>
      <c r="L17" s="171"/>
      <c r="M17" s="171"/>
    </row>
    <row r="18" spans="2:13" x14ac:dyDescent="0.25">
      <c r="B18" s="262" t="s">
        <v>263</v>
      </c>
      <c r="C18" s="267">
        <v>70.78</v>
      </c>
      <c r="D18" s="264"/>
      <c r="E18" s="265" t="s">
        <v>134</v>
      </c>
      <c r="F18" s="263">
        <v>39.6</v>
      </c>
      <c r="G18" s="263">
        <v>6</v>
      </c>
      <c r="H18" s="266">
        <v>120</v>
      </c>
      <c r="I18" s="171"/>
      <c r="J18" s="171"/>
      <c r="K18" s="171"/>
      <c r="L18" s="171"/>
      <c r="M18" s="171"/>
    </row>
    <row r="19" spans="2:13" x14ac:dyDescent="0.25">
      <c r="B19" s="262" t="s">
        <v>264</v>
      </c>
      <c r="C19" s="267">
        <v>73.03</v>
      </c>
      <c r="D19" s="264"/>
      <c r="E19" s="265" t="s">
        <v>136</v>
      </c>
      <c r="F19" s="263">
        <v>42.9</v>
      </c>
      <c r="G19" s="263">
        <v>6.6</v>
      </c>
      <c r="H19" s="266">
        <v>120</v>
      </c>
      <c r="I19" s="171"/>
      <c r="J19" s="171"/>
      <c r="K19" s="171"/>
      <c r="L19" s="171"/>
      <c r="M19" s="171"/>
    </row>
    <row r="20" spans="2:13" x14ac:dyDescent="0.25">
      <c r="B20" s="262" t="s">
        <v>265</v>
      </c>
      <c r="C20" s="267">
        <v>75.459999999999994</v>
      </c>
      <c r="D20" s="264"/>
      <c r="E20" s="265" t="s">
        <v>135</v>
      </c>
      <c r="F20" s="263">
        <v>57.75</v>
      </c>
      <c r="G20" s="263">
        <v>8.8000000000000007</v>
      </c>
      <c r="H20" s="266">
        <v>120</v>
      </c>
      <c r="I20" s="171"/>
      <c r="J20" s="171"/>
      <c r="K20" s="171"/>
      <c r="L20" s="171"/>
      <c r="M20" s="171"/>
    </row>
    <row r="21" spans="2:13" x14ac:dyDescent="0.25">
      <c r="B21" s="262" t="s">
        <v>266</v>
      </c>
      <c r="C21" s="267">
        <v>53.26</v>
      </c>
      <c r="D21" s="264"/>
      <c r="E21" s="265" t="s">
        <v>137</v>
      </c>
      <c r="F21" s="263">
        <v>47</v>
      </c>
      <c r="G21" s="263">
        <v>6</v>
      </c>
      <c r="H21" s="266">
        <v>75</v>
      </c>
      <c r="I21" s="171"/>
      <c r="M21" s="171"/>
    </row>
    <row r="22" spans="2:13" x14ac:dyDescent="0.25">
      <c r="B22" s="262" t="s">
        <v>267</v>
      </c>
      <c r="C22" s="267">
        <v>64.400000000000006</v>
      </c>
      <c r="D22" s="264"/>
      <c r="E22" s="265" t="s">
        <v>139</v>
      </c>
      <c r="F22" s="263">
        <v>50.76</v>
      </c>
      <c r="G22" s="263">
        <v>6.48</v>
      </c>
      <c r="H22" s="266">
        <v>75</v>
      </c>
      <c r="I22" s="171"/>
      <c r="M22" s="171"/>
    </row>
    <row r="23" spans="2:13" x14ac:dyDescent="0.25">
      <c r="B23" s="262" t="s">
        <v>268</v>
      </c>
      <c r="C23" s="267">
        <v>55.92</v>
      </c>
      <c r="D23" s="264"/>
      <c r="E23" s="265" t="s">
        <v>138</v>
      </c>
      <c r="F23" s="263">
        <v>56.4</v>
      </c>
      <c r="G23" s="263">
        <v>7.2</v>
      </c>
      <c r="H23" s="266">
        <v>75</v>
      </c>
      <c r="I23" s="171"/>
      <c r="M23" s="171"/>
    </row>
    <row r="24" spans="2:13" x14ac:dyDescent="0.25">
      <c r="B24" s="262" t="s">
        <v>269</v>
      </c>
      <c r="C24" s="267">
        <v>83.79</v>
      </c>
      <c r="D24" s="264"/>
      <c r="E24" s="265" t="s">
        <v>140</v>
      </c>
      <c r="F24" s="263">
        <v>47</v>
      </c>
      <c r="G24" s="263">
        <v>6</v>
      </c>
      <c r="H24" s="266">
        <v>75</v>
      </c>
    </row>
    <row r="25" spans="2:13" x14ac:dyDescent="0.25">
      <c r="B25" s="262" t="s">
        <v>270</v>
      </c>
      <c r="C25" s="267">
        <v>58.83</v>
      </c>
      <c r="D25" s="264"/>
      <c r="E25" s="265" t="s">
        <v>142</v>
      </c>
      <c r="F25" s="263">
        <v>50.76</v>
      </c>
      <c r="G25" s="263">
        <v>6.48</v>
      </c>
      <c r="H25" s="266">
        <v>75</v>
      </c>
    </row>
    <row r="26" spans="2:13" x14ac:dyDescent="0.25">
      <c r="B26" s="262" t="s">
        <v>271</v>
      </c>
      <c r="C26" s="267">
        <v>69.97</v>
      </c>
      <c r="D26" s="264"/>
      <c r="E26" s="265" t="s">
        <v>141</v>
      </c>
      <c r="F26" s="263">
        <v>56.4</v>
      </c>
      <c r="G26" s="263">
        <v>7.2</v>
      </c>
      <c r="H26" s="266">
        <v>75</v>
      </c>
    </row>
    <row r="27" spans="2:13" x14ac:dyDescent="0.25">
      <c r="B27" s="262" t="s">
        <v>298</v>
      </c>
      <c r="C27" s="267">
        <v>76.349999999999994</v>
      </c>
      <c r="D27" s="264"/>
      <c r="E27" s="265" t="s">
        <v>143</v>
      </c>
      <c r="F27" s="263">
        <v>47</v>
      </c>
      <c r="G27" s="263">
        <v>6</v>
      </c>
      <c r="H27" s="266">
        <v>75</v>
      </c>
    </row>
    <row r="28" spans="2:13" x14ac:dyDescent="0.25">
      <c r="B28" s="262" t="s">
        <v>299</v>
      </c>
      <c r="C28" s="267">
        <v>87.49</v>
      </c>
      <c r="D28" s="264"/>
      <c r="E28" s="265" t="s">
        <v>145</v>
      </c>
      <c r="F28" s="263">
        <v>50.76</v>
      </c>
      <c r="G28" s="263">
        <v>6.48</v>
      </c>
      <c r="H28" s="266">
        <v>75</v>
      </c>
    </row>
    <row r="29" spans="2:13" x14ac:dyDescent="0.25">
      <c r="B29" s="262" t="s">
        <v>300</v>
      </c>
      <c r="C29" s="267">
        <v>87.46</v>
      </c>
      <c r="D29" s="264"/>
      <c r="E29" s="265" t="s">
        <v>144</v>
      </c>
      <c r="F29" s="263">
        <v>56.4</v>
      </c>
      <c r="G29" s="263">
        <v>7.2</v>
      </c>
      <c r="H29" s="266">
        <v>75</v>
      </c>
    </row>
    <row r="30" spans="2:13" x14ac:dyDescent="0.25">
      <c r="B30" s="262" t="s">
        <v>301</v>
      </c>
      <c r="C30" s="267">
        <v>98.62</v>
      </c>
      <c r="D30" s="264"/>
      <c r="E30" s="265" t="s">
        <v>146</v>
      </c>
      <c r="F30" s="263">
        <v>47</v>
      </c>
      <c r="G30" s="263">
        <v>6</v>
      </c>
      <c r="H30" s="266">
        <v>75</v>
      </c>
    </row>
    <row r="31" spans="2:13" x14ac:dyDescent="0.25">
      <c r="B31" s="262" t="s">
        <v>152</v>
      </c>
      <c r="C31" s="267">
        <v>35</v>
      </c>
      <c r="E31" s="265" t="s">
        <v>148</v>
      </c>
      <c r="F31" s="263">
        <v>50.76</v>
      </c>
      <c r="G31" s="263">
        <v>6.48</v>
      </c>
      <c r="H31" s="266">
        <v>75</v>
      </c>
    </row>
    <row r="32" spans="2:13" x14ac:dyDescent="0.25">
      <c r="B32" s="262" t="s">
        <v>153</v>
      </c>
      <c r="C32" s="267">
        <v>36.479999999999997</v>
      </c>
      <c r="E32" s="265" t="s">
        <v>147</v>
      </c>
      <c r="F32" s="263">
        <v>56.4</v>
      </c>
      <c r="G32" s="263">
        <v>7.2</v>
      </c>
      <c r="H32" s="266">
        <v>75</v>
      </c>
    </row>
    <row r="33" spans="2:8" x14ac:dyDescent="0.25">
      <c r="B33" s="262" t="s">
        <v>154</v>
      </c>
      <c r="C33" s="267">
        <v>40.51</v>
      </c>
      <c r="E33" s="265" t="s">
        <v>149</v>
      </c>
      <c r="F33" s="263">
        <v>47</v>
      </c>
      <c r="G33" s="263">
        <v>6</v>
      </c>
      <c r="H33" s="266">
        <v>88</v>
      </c>
    </row>
    <row r="34" spans="2:8" x14ac:dyDescent="0.25">
      <c r="B34" s="262" t="s">
        <v>155</v>
      </c>
      <c r="C34" s="267">
        <v>43.12</v>
      </c>
      <c r="E34" s="265" t="s">
        <v>151</v>
      </c>
      <c r="F34" s="263">
        <v>56.4</v>
      </c>
      <c r="G34" s="263">
        <v>7.2</v>
      </c>
      <c r="H34" s="266">
        <v>88</v>
      </c>
    </row>
    <row r="35" spans="2:8" x14ac:dyDescent="0.25">
      <c r="B35" s="262" t="s">
        <v>156</v>
      </c>
      <c r="C35" s="267">
        <v>63.23</v>
      </c>
      <c r="E35" s="265" t="s">
        <v>150</v>
      </c>
      <c r="F35" s="263">
        <v>50.76</v>
      </c>
      <c r="G35" s="263">
        <v>6.48</v>
      </c>
      <c r="H35" s="266">
        <v>88</v>
      </c>
    </row>
    <row r="36" spans="2:8" x14ac:dyDescent="0.25">
      <c r="B36" s="262" t="s">
        <v>157</v>
      </c>
      <c r="C36" s="267">
        <v>55.53</v>
      </c>
      <c r="E36" s="265"/>
      <c r="F36" s="263"/>
      <c r="G36" s="263"/>
      <c r="H36" s="266"/>
    </row>
    <row r="37" spans="2:8" x14ac:dyDescent="0.25">
      <c r="B37" s="262" t="s">
        <v>244</v>
      </c>
      <c r="C37" s="267">
        <v>69.06</v>
      </c>
      <c r="E37" s="268"/>
      <c r="F37" s="269"/>
      <c r="G37" s="269"/>
    </row>
    <row r="38" spans="2:8" x14ac:dyDescent="0.25">
      <c r="B38" s="262" t="s">
        <v>158</v>
      </c>
      <c r="C38" s="267">
        <v>58.14</v>
      </c>
      <c r="E38" s="268"/>
      <c r="F38" s="269"/>
      <c r="G38" s="269"/>
    </row>
    <row r="39" spans="2:8" x14ac:dyDescent="0.25">
      <c r="B39" s="262" t="s">
        <v>159</v>
      </c>
      <c r="C39" s="267">
        <v>71.67</v>
      </c>
      <c r="E39" s="268"/>
      <c r="F39" s="269"/>
      <c r="G39" s="269"/>
    </row>
    <row r="40" spans="2:8" x14ac:dyDescent="0.25">
      <c r="B40" s="262" t="s">
        <v>160</v>
      </c>
      <c r="C40" s="267">
        <v>60.96</v>
      </c>
    </row>
    <row r="41" spans="2:8" x14ac:dyDescent="0.25">
      <c r="B41" s="262" t="s">
        <v>161</v>
      </c>
      <c r="C41" s="267">
        <v>74.489999999999995</v>
      </c>
    </row>
    <row r="42" spans="2:8" x14ac:dyDescent="0.25">
      <c r="B42" s="262" t="s">
        <v>243</v>
      </c>
      <c r="C42" s="267">
        <v>71.89</v>
      </c>
    </row>
    <row r="43" spans="2:8" x14ac:dyDescent="0.25">
      <c r="B43" s="262" t="s">
        <v>297</v>
      </c>
      <c r="C43" s="267">
        <v>84.68</v>
      </c>
    </row>
    <row r="44" spans="2:8" x14ac:dyDescent="0.25">
      <c r="B44" s="262" t="s">
        <v>162</v>
      </c>
      <c r="C44" s="267">
        <v>97.45</v>
      </c>
    </row>
    <row r="45" spans="2:8" x14ac:dyDescent="0.25">
      <c r="B45" s="262" t="s">
        <v>272</v>
      </c>
      <c r="C45" s="267">
        <v>80.84</v>
      </c>
    </row>
    <row r="46" spans="2:8" x14ac:dyDescent="0.25">
      <c r="B46" s="262" t="s">
        <v>248</v>
      </c>
      <c r="C46" s="267">
        <v>88.83</v>
      </c>
      <c r="D46" s="264"/>
    </row>
    <row r="47" spans="2:8" x14ac:dyDescent="0.25">
      <c r="B47" s="262" t="s">
        <v>247</v>
      </c>
      <c r="C47" s="267">
        <v>91.89</v>
      </c>
      <c r="D47" s="264"/>
    </row>
    <row r="48" spans="2:8" x14ac:dyDescent="0.25">
      <c r="B48" s="262" t="s">
        <v>249</v>
      </c>
      <c r="C48" s="267">
        <v>95.21</v>
      </c>
      <c r="D48" s="264"/>
    </row>
    <row r="49" spans="2:4" x14ac:dyDescent="0.25">
      <c r="B49" s="262" t="s">
        <v>245</v>
      </c>
      <c r="C49" s="267">
        <v>114</v>
      </c>
      <c r="D49" s="264"/>
    </row>
    <row r="50" spans="2:4" x14ac:dyDescent="0.25">
      <c r="B50" s="262" t="s">
        <v>246</v>
      </c>
      <c r="C50" s="267">
        <v>130.49</v>
      </c>
      <c r="D50" s="264"/>
    </row>
    <row r="51" spans="2:4" x14ac:dyDescent="0.25">
      <c r="B51" s="262" t="s">
        <v>250</v>
      </c>
      <c r="C51" s="267">
        <v>64.650000000000006</v>
      </c>
      <c r="D51" s="264"/>
    </row>
    <row r="52" spans="2:4" x14ac:dyDescent="0.25">
      <c r="B52" s="262" t="s">
        <v>251</v>
      </c>
      <c r="C52" s="267">
        <v>68.459999999999994</v>
      </c>
      <c r="D52" s="264"/>
    </row>
    <row r="53" spans="2:4" x14ac:dyDescent="0.25">
      <c r="B53" s="262" t="s">
        <v>252</v>
      </c>
      <c r="C53" s="267">
        <v>76.27</v>
      </c>
      <c r="D53" s="264"/>
    </row>
    <row r="54" spans="2:4" x14ac:dyDescent="0.25">
      <c r="B54" s="262" t="s">
        <v>253</v>
      </c>
      <c r="C54" s="267">
        <v>80.36</v>
      </c>
      <c r="D54" s="264"/>
    </row>
    <row r="55" spans="2:4" x14ac:dyDescent="0.25">
      <c r="B55" s="262" t="s">
        <v>254</v>
      </c>
      <c r="C55" s="267">
        <v>99.9</v>
      </c>
      <c r="D55" s="264"/>
    </row>
    <row r="56" spans="2:4" x14ac:dyDescent="0.25">
      <c r="B56" s="262" t="s">
        <v>255</v>
      </c>
      <c r="C56" s="267">
        <v>103.63</v>
      </c>
      <c r="D56" s="264"/>
    </row>
    <row r="57" spans="2:4" x14ac:dyDescent="0.25">
      <c r="B57" s="262" t="s">
        <v>256</v>
      </c>
      <c r="C57" s="267">
        <v>107.71</v>
      </c>
      <c r="D57" s="264"/>
    </row>
    <row r="58" spans="2:4" x14ac:dyDescent="0.25">
      <c r="B58" s="262" t="s">
        <v>257</v>
      </c>
      <c r="C58" s="267">
        <v>124.2</v>
      </c>
      <c r="D58" s="264"/>
    </row>
    <row r="59" spans="2:4" x14ac:dyDescent="0.25">
      <c r="B59" s="262" t="s">
        <v>258</v>
      </c>
      <c r="C59" s="267">
        <v>135.13999999999999</v>
      </c>
      <c r="D59" s="264"/>
    </row>
    <row r="60" spans="2:4" x14ac:dyDescent="0.25">
      <c r="B60" s="262" t="s">
        <v>259</v>
      </c>
      <c r="C60" s="267">
        <v>172.94</v>
      </c>
      <c r="D60" s="264"/>
    </row>
    <row r="61" spans="2:4" x14ac:dyDescent="0.25">
      <c r="B61" s="262"/>
      <c r="C61" s="267"/>
      <c r="D61" s="264"/>
    </row>
    <row r="62" spans="2:4" x14ac:dyDescent="0.25">
      <c r="B62" s="249"/>
      <c r="C62" s="269"/>
      <c r="D62" s="264"/>
    </row>
    <row r="63" spans="2:4" x14ac:dyDescent="0.25">
      <c r="B63" s="262" t="s">
        <v>279</v>
      </c>
      <c r="C63" s="267">
        <v>77.92</v>
      </c>
      <c r="D63" s="264"/>
    </row>
    <row r="64" spans="2:4" x14ac:dyDescent="0.25">
      <c r="B64" s="262" t="s">
        <v>274</v>
      </c>
      <c r="C64" s="267">
        <v>107.45</v>
      </c>
      <c r="D64" s="264"/>
    </row>
    <row r="65" spans="2:5" x14ac:dyDescent="0.25">
      <c r="B65" s="262" t="s">
        <v>273</v>
      </c>
      <c r="C65" s="267">
        <v>95.66</v>
      </c>
      <c r="D65" s="264"/>
    </row>
    <row r="66" spans="2:5" x14ac:dyDescent="0.25">
      <c r="B66" s="262" t="s">
        <v>276</v>
      </c>
      <c r="C66" s="267">
        <v>90.57</v>
      </c>
      <c r="D66" s="264"/>
      <c r="E66" s="153"/>
    </row>
    <row r="67" spans="2:5" x14ac:dyDescent="0.25">
      <c r="B67" s="262" t="s">
        <v>275</v>
      </c>
      <c r="C67" s="267">
        <v>90.57</v>
      </c>
      <c r="D67" s="264"/>
      <c r="E67" s="153"/>
    </row>
    <row r="68" spans="2:5" x14ac:dyDescent="0.25">
      <c r="B68" s="262" t="s">
        <v>277</v>
      </c>
      <c r="C68" s="267">
        <v>101.26</v>
      </c>
      <c r="D68" s="264"/>
    </row>
    <row r="69" spans="2:5" x14ac:dyDescent="0.25">
      <c r="B69" s="262" t="s">
        <v>280</v>
      </c>
      <c r="C69" s="267">
        <v>66.13</v>
      </c>
      <c r="D69" s="264"/>
    </row>
    <row r="70" spans="2:5" x14ac:dyDescent="0.25">
      <c r="B70" s="262" t="s">
        <v>281</v>
      </c>
      <c r="C70" s="267">
        <v>66.13</v>
      </c>
      <c r="D70" s="264" t="s">
        <v>278</v>
      </c>
    </row>
    <row r="71" spans="2:5" x14ac:dyDescent="0.25">
      <c r="B71" s="262" t="s">
        <v>282</v>
      </c>
      <c r="C71" s="267">
        <v>84.1</v>
      </c>
      <c r="D71" s="264"/>
    </row>
    <row r="72" spans="2:5" x14ac:dyDescent="0.25">
      <c r="B72" s="262" t="s">
        <v>283</v>
      </c>
      <c r="C72" s="267">
        <v>105.22</v>
      </c>
      <c r="D72" s="264"/>
    </row>
    <row r="73" spans="2:5" x14ac:dyDescent="0.25">
      <c r="B73" s="262" t="s">
        <v>284</v>
      </c>
      <c r="C73" s="267">
        <v>61.04</v>
      </c>
      <c r="D73" s="264"/>
    </row>
    <row r="74" spans="2:5" x14ac:dyDescent="0.25">
      <c r="B74" s="262" t="s">
        <v>285</v>
      </c>
      <c r="C74" s="267">
        <v>61.04</v>
      </c>
      <c r="D74" s="264"/>
    </row>
    <row r="75" spans="2:5" x14ac:dyDescent="0.25">
      <c r="B75" s="262" t="s">
        <v>286</v>
      </c>
      <c r="C75" s="267">
        <v>71.73</v>
      </c>
      <c r="D75" s="264"/>
    </row>
    <row r="76" spans="2:5" x14ac:dyDescent="0.25">
      <c r="B76" s="262" t="s">
        <v>287</v>
      </c>
      <c r="C76" s="267">
        <v>64.260000000000005</v>
      </c>
      <c r="D76" s="264"/>
    </row>
    <row r="77" spans="2:5" x14ac:dyDescent="0.25">
      <c r="B77" s="262" t="s">
        <v>288</v>
      </c>
      <c r="C77" s="267">
        <v>74.95</v>
      </c>
      <c r="D77" s="264" t="s">
        <v>278</v>
      </c>
    </row>
    <row r="78" spans="2:5" x14ac:dyDescent="0.25">
      <c r="B78" s="262" t="s">
        <v>289</v>
      </c>
      <c r="C78" s="267">
        <v>55.05</v>
      </c>
      <c r="D78" s="264"/>
    </row>
    <row r="79" spans="2:5" x14ac:dyDescent="0.25">
      <c r="B79" s="262" t="s">
        <v>290</v>
      </c>
      <c r="C79" s="267">
        <v>73.739999999999995</v>
      </c>
      <c r="D79" s="264" t="s">
        <v>278</v>
      </c>
    </row>
    <row r="80" spans="2:5" x14ac:dyDescent="0.25">
      <c r="B80" s="262" t="s">
        <v>291</v>
      </c>
      <c r="C80" s="267">
        <v>76.78</v>
      </c>
      <c r="D80" s="264"/>
    </row>
    <row r="81" spans="2:4" x14ac:dyDescent="0.25">
      <c r="B81" s="249"/>
      <c r="C81" s="269"/>
      <c r="D81" s="264"/>
    </row>
    <row r="82" spans="2:4" x14ac:dyDescent="0.25">
      <c r="B82" s="249"/>
      <c r="C82" s="269"/>
      <c r="D82" s="264"/>
    </row>
    <row r="83" spans="2:4" x14ac:dyDescent="0.25">
      <c r="B83" s="85"/>
      <c r="C83" s="269"/>
      <c r="D83" s="264"/>
    </row>
    <row r="84" spans="2:4" x14ac:dyDescent="0.25">
      <c r="B84" s="85"/>
      <c r="C84" s="269"/>
      <c r="D84" s="264"/>
    </row>
    <row r="85" spans="2:4" x14ac:dyDescent="0.25">
      <c r="B85" s="85"/>
      <c r="C85" s="269"/>
    </row>
    <row r="86" spans="2:4" x14ac:dyDescent="0.25">
      <c r="B86" s="85"/>
      <c r="C86" s="269"/>
    </row>
    <row r="87" spans="2:4" x14ac:dyDescent="0.25">
      <c r="B87" s="85"/>
      <c r="C87" s="269"/>
    </row>
    <row r="88" spans="2:4" x14ac:dyDescent="0.25">
      <c r="B88" s="85"/>
      <c r="C88" s="269"/>
    </row>
    <row r="89" spans="2:4" x14ac:dyDescent="0.25">
      <c r="B89" s="85"/>
      <c r="C89" s="269"/>
    </row>
    <row r="90" spans="2:4" x14ac:dyDescent="0.25">
      <c r="B90" s="85"/>
      <c r="C90" s="269"/>
    </row>
    <row r="91" spans="2:4" x14ac:dyDescent="0.25">
      <c r="B91" s="85"/>
      <c r="C91" s="269"/>
    </row>
    <row r="92" spans="2:4" x14ac:dyDescent="0.25">
      <c r="B92" s="85"/>
      <c r="C92" s="269"/>
    </row>
    <row r="93" spans="2:4" x14ac:dyDescent="0.25">
      <c r="B93" s="85"/>
      <c r="C93" s="269"/>
    </row>
    <row r="94" spans="2:4" x14ac:dyDescent="0.25">
      <c r="B94" s="85"/>
      <c r="C94" s="269"/>
    </row>
    <row r="95" spans="2:4" x14ac:dyDescent="0.25">
      <c r="B95" s="85"/>
      <c r="C95" s="269"/>
      <c r="D95" s="264"/>
    </row>
    <row r="96" spans="2:4" x14ac:dyDescent="0.25">
      <c r="B96" s="85"/>
      <c r="C96" s="269"/>
      <c r="D96" s="264"/>
    </row>
    <row r="97" spans="2:4" x14ac:dyDescent="0.25">
      <c r="B97" s="85"/>
      <c r="C97" s="269"/>
      <c r="D97" s="264"/>
    </row>
    <row r="98" spans="2:4" x14ac:dyDescent="0.25">
      <c r="B98" s="85"/>
      <c r="C98" s="269"/>
      <c r="D98" s="264"/>
    </row>
    <row r="99" spans="2:4" x14ac:dyDescent="0.25">
      <c r="B99" s="85"/>
      <c r="C99" s="269"/>
      <c r="D99" s="264"/>
    </row>
    <row r="100" spans="2:4" x14ac:dyDescent="0.25">
      <c r="B100" s="85"/>
      <c r="C100" s="269"/>
      <c r="D100" s="264"/>
    </row>
    <row r="101" spans="2:4" x14ac:dyDescent="0.25">
      <c r="B101" s="85"/>
      <c r="C101" s="269"/>
      <c r="D101" s="264"/>
    </row>
    <row r="102" spans="2:4" x14ac:dyDescent="0.25">
      <c r="B102" s="85"/>
      <c r="C102" s="269"/>
      <c r="D102" s="264"/>
    </row>
    <row r="103" spans="2:4" x14ac:dyDescent="0.25">
      <c r="B103" s="85"/>
      <c r="C103" s="269"/>
      <c r="D103" s="264"/>
    </row>
    <row r="104" spans="2:4" x14ac:dyDescent="0.25">
      <c r="B104" s="85"/>
      <c r="C104" s="269"/>
      <c r="D104" s="264"/>
    </row>
    <row r="105" spans="2:4" x14ac:dyDescent="0.25">
      <c r="C105" s="171"/>
      <c r="D105" s="264"/>
    </row>
    <row r="106" spans="2:4" x14ac:dyDescent="0.25">
      <c r="B106" s="85"/>
      <c r="C106" s="269"/>
      <c r="D106" s="264"/>
    </row>
    <row r="107" spans="2:4" x14ac:dyDescent="0.25">
      <c r="B107" s="85"/>
      <c r="C107" s="269"/>
      <c r="D107" s="264"/>
    </row>
    <row r="108" spans="2:4" x14ac:dyDescent="0.25">
      <c r="B108" s="85"/>
      <c r="C108" s="269"/>
      <c r="D108" s="264"/>
    </row>
    <row r="109" spans="2:4" x14ac:dyDescent="0.25">
      <c r="B109" s="85"/>
      <c r="C109" s="269"/>
      <c r="D109" s="264"/>
    </row>
    <row r="110" spans="2:4" x14ac:dyDescent="0.25">
      <c r="B110" s="85"/>
      <c r="C110" s="269"/>
      <c r="D110" s="264"/>
    </row>
    <row r="111" spans="2:4" x14ac:dyDescent="0.25">
      <c r="B111" s="85"/>
      <c r="C111" s="269"/>
      <c r="D111" s="264"/>
    </row>
    <row r="112" spans="2:4" x14ac:dyDescent="0.25">
      <c r="B112" s="85"/>
      <c r="C112" s="269"/>
      <c r="D112" s="264"/>
    </row>
    <row r="113" spans="2:4" x14ac:dyDescent="0.25">
      <c r="B113" s="85"/>
      <c r="C113" s="269"/>
      <c r="D113" s="264"/>
    </row>
    <row r="114" spans="2:4" x14ac:dyDescent="0.25">
      <c r="B114" s="249"/>
      <c r="C114" s="269"/>
      <c r="D114" s="264"/>
    </row>
    <row r="115" spans="2:4" x14ac:dyDescent="0.25">
      <c r="B115" s="249"/>
      <c r="C115" s="269"/>
      <c r="D115" s="264"/>
    </row>
    <row r="116" spans="2:4" x14ac:dyDescent="0.25">
      <c r="B116" s="249"/>
      <c r="C116" s="269"/>
      <c r="D116" s="264"/>
    </row>
    <row r="117" spans="2:4" x14ac:dyDescent="0.25">
      <c r="D117" s="264"/>
    </row>
    <row r="118" spans="2:4" x14ac:dyDescent="0.25">
      <c r="D118" s="264"/>
    </row>
    <row r="119" spans="2:4" x14ac:dyDescent="0.25">
      <c r="D119" s="264"/>
    </row>
    <row r="120" spans="2:4" x14ac:dyDescent="0.25">
      <c r="D120" s="264"/>
    </row>
    <row r="121" spans="2:4" x14ac:dyDescent="0.25">
      <c r="D121" s="264"/>
    </row>
    <row r="122" spans="2:4" x14ac:dyDescent="0.25">
      <c r="D122" s="264"/>
    </row>
    <row r="123" spans="2:4" x14ac:dyDescent="0.25">
      <c r="D123" s="264"/>
    </row>
    <row r="124" spans="2:4" x14ac:dyDescent="0.25">
      <c r="D124" s="264"/>
    </row>
    <row r="125" spans="2:4" x14ac:dyDescent="0.25">
      <c r="D125" s="264"/>
    </row>
    <row r="126" spans="2:4" x14ac:dyDescent="0.25">
      <c r="D126" s="264"/>
    </row>
    <row r="127" spans="2:4" x14ac:dyDescent="0.25">
      <c r="D127" s="264"/>
    </row>
    <row r="128" spans="2:4" x14ac:dyDescent="0.25">
      <c r="D128" s="264"/>
    </row>
    <row r="129" spans="2:4" x14ac:dyDescent="0.25">
      <c r="D129" s="264"/>
    </row>
    <row r="130" spans="2:4" x14ac:dyDescent="0.25">
      <c r="D130" s="264"/>
    </row>
    <row r="131" spans="2:4" x14ac:dyDescent="0.25">
      <c r="D131" s="264"/>
    </row>
    <row r="132" spans="2:4" x14ac:dyDescent="0.25">
      <c r="D132" s="264"/>
    </row>
    <row r="133" spans="2:4" x14ac:dyDescent="0.25">
      <c r="D133" s="264"/>
    </row>
    <row r="134" spans="2:4" x14ac:dyDescent="0.25">
      <c r="D134" s="264"/>
    </row>
    <row r="135" spans="2:4" x14ac:dyDescent="0.25">
      <c r="D135" s="264"/>
    </row>
    <row r="136" spans="2:4" x14ac:dyDescent="0.25">
      <c r="B136" s="249"/>
      <c r="C136" s="269"/>
      <c r="D136" s="264"/>
    </row>
    <row r="137" spans="2:4" x14ac:dyDescent="0.25">
      <c r="D137" s="264"/>
    </row>
    <row r="138" spans="2:4" x14ac:dyDescent="0.25">
      <c r="D138" s="264"/>
    </row>
    <row r="139" spans="2:4" x14ac:dyDescent="0.25">
      <c r="D139" s="264"/>
    </row>
    <row r="140" spans="2:4" x14ac:dyDescent="0.25">
      <c r="D140" s="264"/>
    </row>
    <row r="141" spans="2:4" x14ac:dyDescent="0.25">
      <c r="D141" s="264"/>
    </row>
    <row r="142" spans="2:4" x14ac:dyDescent="0.25">
      <c r="D142" s="264"/>
    </row>
    <row r="143" spans="2:4" x14ac:dyDescent="0.25">
      <c r="D143" s="264"/>
    </row>
    <row r="144" spans="2:4" x14ac:dyDescent="0.25">
      <c r="D144" s="264"/>
    </row>
    <row r="145" spans="2:4" x14ac:dyDescent="0.25">
      <c r="D145" s="264"/>
    </row>
    <row r="146" spans="2:4" x14ac:dyDescent="0.25">
      <c r="D146" s="264"/>
    </row>
    <row r="147" spans="2:4" x14ac:dyDescent="0.25">
      <c r="D147" s="264"/>
    </row>
    <row r="148" spans="2:4" x14ac:dyDescent="0.25">
      <c r="D148" s="264"/>
    </row>
    <row r="149" spans="2:4" x14ac:dyDescent="0.25">
      <c r="D149" s="264"/>
    </row>
    <row r="150" spans="2:4" x14ac:dyDescent="0.25">
      <c r="B150" s="249"/>
      <c r="C150" s="269"/>
      <c r="D150" s="264"/>
    </row>
    <row r="151" spans="2:4" x14ac:dyDescent="0.25">
      <c r="B151" s="249"/>
      <c r="C151" s="269"/>
      <c r="D151" s="264"/>
    </row>
    <row r="152" spans="2:4" x14ac:dyDescent="0.25">
      <c r="B152" s="249"/>
      <c r="C152" s="269"/>
      <c r="D152" s="264"/>
    </row>
    <row r="153" spans="2:4" x14ac:dyDescent="0.25">
      <c r="B153" s="249"/>
      <c r="C153" s="269"/>
      <c r="D153" s="264"/>
    </row>
    <row r="154" spans="2:4" x14ac:dyDescent="0.25">
      <c r="D154" s="264"/>
    </row>
    <row r="155" spans="2:4" x14ac:dyDescent="0.25">
      <c r="D155" s="264"/>
    </row>
    <row r="156" spans="2:4" x14ac:dyDescent="0.25">
      <c r="D156" s="264"/>
    </row>
    <row r="157" spans="2:4" x14ac:dyDescent="0.25">
      <c r="D157" s="264"/>
    </row>
    <row r="158" spans="2:4" x14ac:dyDescent="0.25">
      <c r="D158" s="264"/>
    </row>
    <row r="159" spans="2:4" x14ac:dyDescent="0.25">
      <c r="D159" s="264"/>
    </row>
    <row r="160" spans="2:4" x14ac:dyDescent="0.25">
      <c r="D160" s="264"/>
    </row>
    <row r="161" spans="2:4" x14ac:dyDescent="0.25">
      <c r="D161" s="264"/>
    </row>
    <row r="162" spans="2:4" x14ac:dyDescent="0.25">
      <c r="D162" s="264"/>
    </row>
    <row r="163" spans="2:4" x14ac:dyDescent="0.25">
      <c r="D163" s="264"/>
    </row>
    <row r="164" spans="2:4" x14ac:dyDescent="0.25">
      <c r="B164" s="85"/>
      <c r="D164" s="264"/>
    </row>
    <row r="165" spans="2:4" x14ac:dyDescent="0.25">
      <c r="B165" s="85"/>
      <c r="D165" s="264"/>
    </row>
    <row r="166" spans="2:4" x14ac:dyDescent="0.25">
      <c r="B166" s="85"/>
      <c r="D166" s="264"/>
    </row>
    <row r="167" spans="2:4" x14ac:dyDescent="0.25">
      <c r="B167" s="85"/>
    </row>
    <row r="168" spans="2:4" x14ac:dyDescent="0.25">
      <c r="B168" s="85"/>
    </row>
    <row r="169" spans="2:4" x14ac:dyDescent="0.25">
      <c r="B169" s="85"/>
    </row>
    <row r="170" spans="2:4" x14ac:dyDescent="0.25">
      <c r="B170" s="85"/>
    </row>
    <row r="171" spans="2:4" x14ac:dyDescent="0.25">
      <c r="B171" s="85"/>
    </row>
    <row r="172" spans="2:4" x14ac:dyDescent="0.25">
      <c r="B172" s="85"/>
    </row>
    <row r="173" spans="2:4" x14ac:dyDescent="0.25">
      <c r="B173" s="85"/>
    </row>
    <row r="174" spans="2:4" x14ac:dyDescent="0.25">
      <c r="B174" s="85"/>
    </row>
    <row r="175" spans="2:4" x14ac:dyDescent="0.25">
      <c r="B175" s="85"/>
    </row>
    <row r="176" spans="2:4" x14ac:dyDescent="0.25">
      <c r="B176" s="85"/>
    </row>
    <row r="177" spans="2:2" x14ac:dyDescent="0.25">
      <c r="B177" s="85"/>
    </row>
    <row r="178" spans="2:2" x14ac:dyDescent="0.25">
      <c r="B178" s="85"/>
    </row>
    <row r="179" spans="2:2" x14ac:dyDescent="0.25">
      <c r="B179" s="85"/>
    </row>
    <row r="180" spans="2:2" x14ac:dyDescent="0.25">
      <c r="B180" s="85"/>
    </row>
    <row r="181" spans="2:2" x14ac:dyDescent="0.25">
      <c r="B181" s="85"/>
    </row>
    <row r="182" spans="2:2" x14ac:dyDescent="0.25">
      <c r="B182" s="85"/>
    </row>
    <row r="183" spans="2:2" x14ac:dyDescent="0.25">
      <c r="B183" s="85"/>
    </row>
    <row r="184" spans="2:2" x14ac:dyDescent="0.25">
      <c r="B184" s="85"/>
    </row>
    <row r="185" spans="2:2" x14ac:dyDescent="0.25">
      <c r="B185" s="85"/>
    </row>
    <row r="186" spans="2:2" x14ac:dyDescent="0.25">
      <c r="B186" s="85"/>
    </row>
    <row r="187" spans="2:2" x14ac:dyDescent="0.25">
      <c r="B187" s="85"/>
    </row>
    <row r="188" spans="2:2" x14ac:dyDescent="0.25">
      <c r="B188" s="85"/>
    </row>
    <row r="189" spans="2:2" x14ac:dyDescent="0.25">
      <c r="B189" s="85"/>
    </row>
    <row r="190" spans="2:2" x14ac:dyDescent="0.25">
      <c r="B190" s="85"/>
    </row>
    <row r="191" spans="2:2" x14ac:dyDescent="0.25">
      <c r="B191" s="85"/>
    </row>
    <row r="192" spans="2:2" x14ac:dyDescent="0.25">
      <c r="B192" s="85"/>
    </row>
    <row r="193" spans="2:2" x14ac:dyDescent="0.25">
      <c r="B193" s="85"/>
    </row>
    <row r="194" spans="2:2" x14ac:dyDescent="0.25">
      <c r="B194" s="85"/>
    </row>
    <row r="195" spans="2:2" x14ac:dyDescent="0.25">
      <c r="B195" s="85"/>
    </row>
    <row r="196" spans="2:2" x14ac:dyDescent="0.25">
      <c r="B196" s="85"/>
    </row>
    <row r="197" spans="2:2" x14ac:dyDescent="0.25">
      <c r="B197" s="85"/>
    </row>
    <row r="198" spans="2:2" x14ac:dyDescent="0.25">
      <c r="B198" s="85"/>
    </row>
    <row r="199" spans="2:2" x14ac:dyDescent="0.25">
      <c r="B199" s="85"/>
    </row>
    <row r="200" spans="2:2" x14ac:dyDescent="0.25">
      <c r="B200" s="85"/>
    </row>
  </sheetData>
  <sheetProtection algorithmName="SHA-512" hashValue="ESBts17FmMT5u7nLjVXe07G5sxrAPvszA+PW3YqOmV6TceWKX78+yId3WxEhkusUbSwagCZsy8Uw4cUyKWn6/Q==" saltValue="M8aneFtBxWdoRzwvZdS/YA==" spinCount="100000" sheet="1" objects="1" scenarios="1" selectLockedCells="1" selectUnlockedCells="1"/>
  <mergeCells count="8">
    <mergeCell ref="P3:P4"/>
    <mergeCell ref="Q3:Q4"/>
    <mergeCell ref="K1:L1"/>
    <mergeCell ref="B2:C2"/>
    <mergeCell ref="E2:H2"/>
    <mergeCell ref="B1:C1"/>
    <mergeCell ref="E1:H1"/>
    <mergeCell ref="O1:P1"/>
  </mergeCells>
  <phoneticPr fontId="2" type="noConversion"/>
  <pageMargins left="0.25" right="0.25" top="0.75" bottom="0.75" header="0.3" footer="0.3"/>
  <pageSetup paperSize="9"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B1:V17"/>
  <sheetViews>
    <sheetView zoomScaleNormal="100" workbookViewId="0"/>
  </sheetViews>
  <sheetFormatPr defaultColWidth="9.109375" defaultRowHeight="13.2" x14ac:dyDescent="0.25"/>
  <cols>
    <col min="1" max="1" width="5.6640625" style="131" customWidth="1"/>
    <col min="2" max="2" width="14.33203125" style="131" bestFit="1" customWidth="1"/>
    <col min="3" max="3" width="5.6640625" style="131" customWidth="1"/>
    <col min="4" max="4" width="22" style="131" bestFit="1" customWidth="1"/>
    <col min="5" max="5" width="5.6640625" style="131" customWidth="1"/>
    <col min="6" max="8" width="7.6640625" style="131" customWidth="1"/>
    <col min="9" max="9" width="37.5546875" style="131" bestFit="1" customWidth="1"/>
    <col min="10" max="10" width="6.6640625" style="131" customWidth="1"/>
    <col min="11" max="11" width="11.6640625" style="131" customWidth="1"/>
    <col min="12" max="12" width="3" style="131" bestFit="1" customWidth="1"/>
    <col min="13" max="13" width="2.6640625" style="131" bestFit="1" customWidth="1"/>
    <col min="14" max="14" width="9.109375" style="131"/>
    <col min="15" max="15" width="5.6640625" style="131" customWidth="1"/>
    <col min="16" max="16" width="15.109375" style="131" bestFit="1" customWidth="1"/>
    <col min="17" max="17" width="5.6640625" style="131" customWidth="1"/>
    <col min="18" max="18" width="20.6640625" style="131" bestFit="1" customWidth="1"/>
    <col min="19" max="19" width="5.6640625" style="131" customWidth="1"/>
    <col min="20" max="20" width="12.88671875" style="131" bestFit="1" customWidth="1"/>
    <col min="21" max="21" width="5.6640625" style="131" customWidth="1"/>
    <col min="22" max="22" width="16.6640625" style="131" customWidth="1"/>
    <col min="23" max="16384" width="9.109375" style="131"/>
  </cols>
  <sheetData>
    <row r="1" spans="2:22" x14ac:dyDescent="0.25">
      <c r="B1" s="270" t="s">
        <v>86</v>
      </c>
      <c r="C1" s="271"/>
      <c r="D1" s="270" t="s">
        <v>87</v>
      </c>
      <c r="E1" s="271"/>
      <c r="F1" s="514" t="s">
        <v>163</v>
      </c>
      <c r="G1" s="514"/>
      <c r="H1" s="514"/>
      <c r="I1" s="514"/>
      <c r="K1" s="516" t="s">
        <v>168</v>
      </c>
      <c r="L1" s="516"/>
      <c r="M1" s="516"/>
      <c r="P1" s="270" t="s">
        <v>166</v>
      </c>
      <c r="R1" s="270" t="s">
        <v>165</v>
      </c>
      <c r="T1" s="270" t="s">
        <v>164</v>
      </c>
      <c r="V1" s="270" t="s">
        <v>167</v>
      </c>
    </row>
    <row r="2" spans="2:22" x14ac:dyDescent="0.25">
      <c r="B2" s="272" t="s">
        <v>169</v>
      </c>
      <c r="D2" s="272" t="s">
        <v>170</v>
      </c>
      <c r="F2" s="515" t="s">
        <v>171</v>
      </c>
      <c r="G2" s="515"/>
      <c r="H2" s="515"/>
      <c r="I2" s="515"/>
      <c r="K2" s="516" t="s">
        <v>294</v>
      </c>
      <c r="L2" s="516"/>
      <c r="M2" s="516"/>
      <c r="P2" s="272" t="s">
        <v>174</v>
      </c>
      <c r="R2" s="272" t="s">
        <v>173</v>
      </c>
      <c r="T2" s="272" t="s">
        <v>172</v>
      </c>
      <c r="V2" s="272" t="s">
        <v>175</v>
      </c>
    </row>
    <row r="3" spans="2:22" x14ac:dyDescent="0.25">
      <c r="B3" s="222" t="s">
        <v>176</v>
      </c>
      <c r="D3" s="222" t="s">
        <v>177</v>
      </c>
      <c r="F3" s="253" t="s">
        <v>178</v>
      </c>
      <c r="G3" s="253" t="s">
        <v>179</v>
      </c>
      <c r="H3" s="253" t="s">
        <v>180</v>
      </c>
      <c r="I3" s="253" t="s">
        <v>181</v>
      </c>
      <c r="K3" s="222" t="s">
        <v>184</v>
      </c>
      <c r="L3" s="270" t="s">
        <v>185</v>
      </c>
      <c r="P3" s="222" t="s">
        <v>174</v>
      </c>
      <c r="R3" s="222" t="s">
        <v>182</v>
      </c>
      <c r="T3" s="222" t="s">
        <v>182</v>
      </c>
      <c r="V3" s="222" t="s">
        <v>183</v>
      </c>
    </row>
    <row r="4" spans="2:22" x14ac:dyDescent="0.25">
      <c r="B4" s="273" t="s">
        <v>25</v>
      </c>
      <c r="D4" s="273" t="s">
        <v>186</v>
      </c>
      <c r="F4" s="274">
        <v>0</v>
      </c>
      <c r="G4" s="274">
        <v>10</v>
      </c>
      <c r="H4" s="275">
        <v>0</v>
      </c>
      <c r="I4" s="159" t="s">
        <v>187</v>
      </c>
      <c r="K4" s="273" t="s">
        <v>188</v>
      </c>
      <c r="L4" s="273">
        <v>21</v>
      </c>
      <c r="M4" s="273" t="s">
        <v>185</v>
      </c>
      <c r="N4" s="219" t="s">
        <v>189</v>
      </c>
      <c r="P4" s="257" t="s">
        <v>59</v>
      </c>
      <c r="R4" s="257" t="s">
        <v>25</v>
      </c>
      <c r="T4" s="273" t="s">
        <v>25</v>
      </c>
      <c r="V4" s="273" t="s">
        <v>25</v>
      </c>
    </row>
    <row r="5" spans="2:22" x14ac:dyDescent="0.25">
      <c r="B5" s="279" t="s">
        <v>293</v>
      </c>
      <c r="D5" s="273" t="s">
        <v>191</v>
      </c>
      <c r="F5" s="274">
        <f>G4</f>
        <v>10</v>
      </c>
      <c r="G5" s="274">
        <v>20</v>
      </c>
      <c r="H5" s="275">
        <v>0.05</v>
      </c>
      <c r="I5" s="159" t="str">
        <f>H5*100&amp;"% korting op het glas bij "&amp;F5&amp;" tot "&amp;G5&amp;" m²"</f>
        <v>5% korting op het glas bij 10 tot 20 m²</v>
      </c>
      <c r="K5" s="273" t="s">
        <v>195</v>
      </c>
      <c r="L5" s="273">
        <v>6</v>
      </c>
      <c r="M5" s="273" t="s">
        <v>185</v>
      </c>
      <c r="N5" s="219" t="s">
        <v>196</v>
      </c>
      <c r="P5" s="257"/>
      <c r="R5" s="257" t="s">
        <v>193</v>
      </c>
      <c r="T5" s="273" t="s">
        <v>192</v>
      </c>
      <c r="V5" s="273" t="s">
        <v>194</v>
      </c>
    </row>
    <row r="6" spans="2:22" x14ac:dyDescent="0.25">
      <c r="B6" s="273" t="s">
        <v>190</v>
      </c>
      <c r="D6" s="273"/>
      <c r="F6" s="274">
        <v>20</v>
      </c>
      <c r="G6" s="274">
        <v>30</v>
      </c>
      <c r="H6" s="275">
        <v>0.1</v>
      </c>
      <c r="I6" s="159" t="str">
        <f>H6*100&amp;"% korting op het glas bij "&amp;F6&amp;" tot "&amp;G6&amp;" m²"</f>
        <v>10% korting op het glas bij 20 tot 30 m²</v>
      </c>
      <c r="K6" s="273"/>
      <c r="L6" s="273"/>
      <c r="M6" s="273"/>
      <c r="P6" s="273" t="s">
        <v>200</v>
      </c>
      <c r="R6" s="257" t="s">
        <v>199</v>
      </c>
      <c r="T6" s="273" t="s">
        <v>198</v>
      </c>
      <c r="V6" s="273" t="s">
        <v>201</v>
      </c>
    </row>
    <row r="7" spans="2:22" x14ac:dyDescent="0.25">
      <c r="B7" s="273" t="s">
        <v>197</v>
      </c>
      <c r="F7" s="274">
        <f>G6</f>
        <v>30</v>
      </c>
      <c r="G7" s="274" t="s">
        <v>205</v>
      </c>
      <c r="H7" s="275">
        <v>0.15</v>
      </c>
      <c r="I7" s="159" t="str">
        <f>H7*100&amp;"% korting op het glas bij &gt; "&amp;F7&amp;"m²"</f>
        <v>15% korting op het glas bij &gt; 30m²</v>
      </c>
      <c r="K7" s="273"/>
      <c r="L7" s="273"/>
      <c r="M7" s="273"/>
      <c r="P7" s="273" t="s">
        <v>203</v>
      </c>
      <c r="R7" s="273"/>
      <c r="T7" s="273"/>
      <c r="V7" s="273"/>
    </row>
    <row r="8" spans="2:22" x14ac:dyDescent="0.25">
      <c r="B8" s="273" t="s">
        <v>202</v>
      </c>
      <c r="F8" s="274"/>
      <c r="G8" s="274"/>
      <c r="H8" s="275"/>
      <c r="I8" s="159"/>
      <c r="P8" s="273" t="s">
        <v>206</v>
      </c>
    </row>
    <row r="9" spans="2:22" x14ac:dyDescent="0.25">
      <c r="B9" s="273" t="s">
        <v>204</v>
      </c>
      <c r="F9" s="159"/>
      <c r="G9" s="159"/>
      <c r="H9" s="159"/>
      <c r="I9" s="159"/>
      <c r="P9" s="273" t="s">
        <v>208</v>
      </c>
    </row>
    <row r="10" spans="2:22" x14ac:dyDescent="0.25">
      <c r="B10" s="273" t="s">
        <v>207</v>
      </c>
      <c r="F10" s="276" t="s">
        <v>210</v>
      </c>
      <c r="G10" s="159"/>
      <c r="H10" s="159"/>
      <c r="I10" s="159"/>
      <c r="P10" s="273" t="s">
        <v>211</v>
      </c>
    </row>
    <row r="11" spans="2:22" x14ac:dyDescent="0.25">
      <c r="B11" s="273" t="s">
        <v>302</v>
      </c>
      <c r="F11" s="320" t="s">
        <v>212</v>
      </c>
      <c r="G11" s="320"/>
      <c r="H11" s="277">
        <v>0</v>
      </c>
      <c r="I11" s="159"/>
      <c r="P11" s="273" t="s">
        <v>213</v>
      </c>
    </row>
    <row r="12" spans="2:22" x14ac:dyDescent="0.25">
      <c r="B12" s="273" t="s">
        <v>209</v>
      </c>
      <c r="F12" s="320" t="s">
        <v>214</v>
      </c>
      <c r="G12" s="320"/>
      <c r="H12" s="278">
        <f>VLOOKUP(H11,F4:I8,3,TRUE)</f>
        <v>0</v>
      </c>
      <c r="I12" s="159"/>
      <c r="P12" s="273" t="s">
        <v>215</v>
      </c>
    </row>
    <row r="13" spans="2:22" x14ac:dyDescent="0.25">
      <c r="B13" s="273"/>
      <c r="F13" s="320" t="s">
        <v>181</v>
      </c>
      <c r="G13" s="320"/>
      <c r="H13" s="249" t="str">
        <f>VLOOKUP(H11,F4:I8,4,TRUE)</f>
        <v>0% korting</v>
      </c>
      <c r="I13" s="159"/>
      <c r="P13" s="273" t="s">
        <v>216</v>
      </c>
    </row>
    <row r="14" spans="2:22" x14ac:dyDescent="0.25">
      <c r="P14" s="273" t="s">
        <v>217</v>
      </c>
    </row>
    <row r="15" spans="2:22" x14ac:dyDescent="0.25">
      <c r="P15" s="273" t="s">
        <v>218</v>
      </c>
    </row>
    <row r="16" spans="2:22" x14ac:dyDescent="0.25">
      <c r="P16" s="273"/>
    </row>
    <row r="17" spans="9:9" ht="13.8" x14ac:dyDescent="0.3">
      <c r="I17" s="281"/>
    </row>
  </sheetData>
  <sheetProtection selectLockedCells="1" selectUnlockedCells="1"/>
  <mergeCells count="7">
    <mergeCell ref="F12:G12"/>
    <mergeCell ref="F13:G13"/>
    <mergeCell ref="K2:M2"/>
    <mergeCell ref="K1:M1"/>
    <mergeCell ref="F1:I1"/>
    <mergeCell ref="F2:I2"/>
    <mergeCell ref="F11:G11"/>
  </mergeCells>
  <phoneticPr fontId="2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28</vt:i4>
      </vt:variant>
    </vt:vector>
  </HeadingPairs>
  <TitlesOfParts>
    <vt:vector size="38" baseType="lpstr">
      <vt:lpstr>Offerteblad</vt:lpstr>
      <vt:lpstr>Offerte</vt:lpstr>
      <vt:lpstr>Opdrachtbevestiging</vt:lpstr>
      <vt:lpstr>Factuur</vt:lpstr>
      <vt:lpstr>Bestellijst glas</vt:lpstr>
      <vt:lpstr>Bestellijst roosters</vt:lpstr>
      <vt:lpstr>© Copyright</vt:lpstr>
      <vt:lpstr>_Prijzenblad</vt:lpstr>
      <vt:lpstr>_Gegevensblad</vt:lpstr>
      <vt:lpstr>_Rekenblad</vt:lpstr>
      <vt:lpstr>adres_land</vt:lpstr>
      <vt:lpstr>'Bestellijst glas'!Afdrukbereik</vt:lpstr>
      <vt:lpstr>'Bestellijst roosters'!Afdrukbereik</vt:lpstr>
      <vt:lpstr>Factuur!Afdrukbereik</vt:lpstr>
      <vt:lpstr>Offerte!Afdrukbereik</vt:lpstr>
      <vt:lpstr>Offerteblad!Afdrukbereik</vt:lpstr>
      <vt:lpstr>Opdrachtbevestiging!Afdrukbereik</vt:lpstr>
      <vt:lpstr>afhaallocatie</vt:lpstr>
      <vt:lpstr>afhalen_bezorgen</vt:lpstr>
      <vt:lpstr>btw_hoog</vt:lpstr>
      <vt:lpstr>btw_laag</vt:lpstr>
      <vt:lpstr>isoglas</vt:lpstr>
      <vt:lpstr>isoglas_artikel</vt:lpstr>
      <vt:lpstr>isoglas_korting</vt:lpstr>
      <vt:lpstr>isoglas_prijs</vt:lpstr>
      <vt:lpstr>isoglas_spouw</vt:lpstr>
      <vt:lpstr>ja_nee_selectie</vt:lpstr>
      <vt:lpstr>toebehoren_band</vt:lpstr>
      <vt:lpstr>toebehoren_blokjes</vt:lpstr>
      <vt:lpstr>toebehoren_kit</vt:lpstr>
      <vt:lpstr>vent.rooster</vt:lpstr>
      <vt:lpstr>vent.rooster_artikel</vt:lpstr>
      <vt:lpstr>vent.rooster_glasaftrek</vt:lpstr>
      <vt:lpstr>vent.rooster_kleur</vt:lpstr>
      <vt:lpstr>vent.rooster_prijstot500</vt:lpstr>
      <vt:lpstr>vent.rooster_prijsvanaf500</vt:lpstr>
      <vt:lpstr>verzend_hoog</vt:lpstr>
      <vt:lpstr>verzend_laag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Davide Blom</cp:lastModifiedBy>
  <cp:lastPrinted>2014-04-17T12:23:30Z</cp:lastPrinted>
  <dcterms:created xsi:type="dcterms:W3CDTF">2004-09-01T06:34:16Z</dcterms:created>
  <dcterms:modified xsi:type="dcterms:W3CDTF">2017-11-16T15:18:32Z</dcterms:modified>
</cp:coreProperties>
</file>